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<sst xmlns="http://schemas.openxmlformats.org/spreadsheetml/2006/main" count="53370" uniqueCount="4912">
  <si>
    <t>Unique_ID</t>
  </si>
  <si>
    <t>Last_Initial</t>
  </si>
  <si>
    <t>First_Initial</t>
  </si>
  <si>
    <t>Year_of_Birth</t>
  </si>
  <si>
    <t>Gender</t>
  </si>
  <si>
    <t>Country of Origin</t>
  </si>
  <si>
    <t>Borough</t>
  </si>
  <si>
    <t>Zip Code</t>
  </si>
  <si>
    <t>Language</t>
  </si>
  <si>
    <t>Household_Size</t>
  </si>
  <si>
    <t>Number_of_Children</t>
  </si>
  <si>
    <t>Annual_Income</t>
  </si>
  <si>
    <t>Income_Eligible</t>
  </si>
  <si>
    <t>Waiver_Type</t>
  </si>
  <si>
    <t>Waiver_Approval_Date</t>
  </si>
  <si>
    <t>Eligibility_Date</t>
  </si>
  <si>
    <t>Referral_Source</t>
  </si>
  <si>
    <t>Service_Type_Code</t>
  </si>
  <si>
    <t>Proceeding_Type_Code</t>
  </si>
  <si>
    <t>Outcome</t>
  </si>
  <si>
    <t>Outcome_Date</t>
  </si>
  <si>
    <t>Seized_at_Border</t>
  </si>
  <si>
    <t>Group</t>
  </si>
  <si>
    <t>Prior_Enrollment_FY</t>
  </si>
  <si>
    <t>Pro_Bono</t>
  </si>
  <si>
    <t>Special Legal Problem Code</t>
  </si>
  <si>
    <t>HRA Level of Service</t>
  </si>
  <si>
    <t>HRA Case Coding</t>
  </si>
  <si>
    <t>Hyperlinked Case #</t>
  </si>
  <si>
    <t>Office</t>
  </si>
  <si>
    <t>Primary Advocate</t>
  </si>
  <si>
    <t>Client Name</t>
  </si>
  <si>
    <t>Level of Service</t>
  </si>
  <si>
    <t>Needs DHCI?</t>
  </si>
  <si>
    <t>Exclude due to Income?</t>
  </si>
  <si>
    <t>Needs Substantial Activity?</t>
  </si>
  <si>
    <t>Outcome To Report</t>
  </si>
  <si>
    <t>IOI Was client apprehended at border? (IOI 2&amp;3)</t>
  </si>
  <si>
    <t>LSNYC20-1917990</t>
  </si>
  <si>
    <t>LSNYC20-1917999</t>
  </si>
  <si>
    <t>LSNYC19-1915821</t>
  </si>
  <si>
    <t>LSNYC20-1917972</t>
  </si>
  <si>
    <t>LSNYC20-1917976</t>
  </si>
  <si>
    <t>LSNYC20-1917753</t>
  </si>
  <si>
    <t>LSNYC20-1917832</t>
  </si>
  <si>
    <t>LSNYC20-1917845</t>
  </si>
  <si>
    <t>LSNYC19-1917731</t>
  </si>
  <si>
    <t>LSNYC19-1917733</t>
  </si>
  <si>
    <t>LSNYC19-1917564</t>
  </si>
  <si>
    <t>LSNYC19-1917620</t>
  </si>
  <si>
    <t>LSNYC19-1917623</t>
  </si>
  <si>
    <t>LSNYC19-1917638</t>
  </si>
  <si>
    <t>LSNYC19-1917653</t>
  </si>
  <si>
    <t>LSNYC20-1917771</t>
  </si>
  <si>
    <t>LSNYC20-1917785</t>
  </si>
  <si>
    <t>LSNYC20-1917836</t>
  </si>
  <si>
    <t>LSNYC19-1917461</t>
  </si>
  <si>
    <t>LSNYC19-1917462</t>
  </si>
  <si>
    <t>LSNYC19-1917536</t>
  </si>
  <si>
    <t>LSNYC19-1917540</t>
  </si>
  <si>
    <t>LSNYC19-1917545</t>
  </si>
  <si>
    <t>LSNYC19-1917548</t>
  </si>
  <si>
    <t>LSNYC19-1917439</t>
  </si>
  <si>
    <t>LSNYC19-1917444</t>
  </si>
  <si>
    <t>LSNYC19-1917447</t>
  </si>
  <si>
    <t>LSNYC19-1917451</t>
  </si>
  <si>
    <t>LSNYC19-1917454</t>
  </si>
  <si>
    <t>LSNYC19-1917467</t>
  </si>
  <si>
    <t>LSNYC19-1917433</t>
  </si>
  <si>
    <t>LSNYC19-1917468</t>
  </si>
  <si>
    <t>LSNYC19-1917529</t>
  </si>
  <si>
    <t>LSNYC19-1917287</t>
  </si>
  <si>
    <t>LSNYC19-1917288</t>
  </si>
  <si>
    <t>LSNYC19-1917291</t>
  </si>
  <si>
    <t>LSNYC19-1917298</t>
  </si>
  <si>
    <t>LSNYC19-1917190</t>
  </si>
  <si>
    <t>LSNYC19-1917423</t>
  </si>
  <si>
    <t>LSNYC19-1917056</t>
  </si>
  <si>
    <t>LSNYC19-1917077</t>
  </si>
  <si>
    <t>LSNYC19-1917094</t>
  </si>
  <si>
    <t>LSNYC19-1917101</t>
  </si>
  <si>
    <t>LSNYC19-1917112</t>
  </si>
  <si>
    <t>LSNYC19-1917121</t>
  </si>
  <si>
    <t>LSNYC19-1917170</t>
  </si>
  <si>
    <t>LSNYC19-1917328</t>
  </si>
  <si>
    <t>LSNYC19-1917416</t>
  </si>
  <si>
    <t>LSNYC19-1916990</t>
  </si>
  <si>
    <t>LSNYC19-1916997</t>
  </si>
  <si>
    <t>LSNYC19-1917007</t>
  </si>
  <si>
    <t>LSNYC19-1917014</t>
  </si>
  <si>
    <t>LSNYC19-1917019</t>
  </si>
  <si>
    <t>LSNYC19-1917023</t>
  </si>
  <si>
    <t>LSNYC19-1916900</t>
  </si>
  <si>
    <t>LSNYC19-1916941</t>
  </si>
  <si>
    <t>LSNYC19-1916943</t>
  </si>
  <si>
    <t>LSNYC19-1916944</t>
  </si>
  <si>
    <t>LSNYC19-1916946</t>
  </si>
  <si>
    <t>LSNYC19-1916483</t>
  </si>
  <si>
    <t>LSNYC19-1916754</t>
  </si>
  <si>
    <t>LSNYC19-1916781</t>
  </si>
  <si>
    <t>LSNYC19-1916791</t>
  </si>
  <si>
    <t>LSNYC19-1916792</t>
  </si>
  <si>
    <t>LSNYC19-1916818</t>
  </si>
  <si>
    <t>LSNYC19-1916829</t>
  </si>
  <si>
    <t>LSNYC19-1916803</t>
  </si>
  <si>
    <t>LSNYC19-1916451</t>
  </si>
  <si>
    <t>LSNYC19-1916478</t>
  </si>
  <si>
    <t>LSNYC19-1916801</t>
  </si>
  <si>
    <t>LSNYC19-1916316</t>
  </si>
  <si>
    <t>LSNYC19-1916243</t>
  </si>
  <si>
    <t>LSNYC19-1916271</t>
  </si>
  <si>
    <t>LSNYC19-1915048</t>
  </si>
  <si>
    <t>LSNYC19-1915720</t>
  </si>
  <si>
    <t>LSNYC19-1915736</t>
  </si>
  <si>
    <t>LSNYC19-1915763</t>
  </si>
  <si>
    <t>LSNYC19-1915609</t>
  </si>
  <si>
    <t>LSNYC19-1915684</t>
  </si>
  <si>
    <t>LSNYC19-1915453</t>
  </si>
  <si>
    <t>LSNYC19-1915459</t>
  </si>
  <si>
    <t>LSNYC19-1915498</t>
  </si>
  <si>
    <t>LSNYC19-1915345</t>
  </si>
  <si>
    <t>LSNYC19-1915415</t>
  </si>
  <si>
    <t>LSNYC19-1915439</t>
  </si>
  <si>
    <t>LSNYC19-1915441</t>
  </si>
  <si>
    <t>LSNYC19-1916544</t>
  </si>
  <si>
    <t>LSNYC19-1913083</t>
  </si>
  <si>
    <t>LSNYC19-1915227</t>
  </si>
  <si>
    <t>LSNYC19-1915248</t>
  </si>
  <si>
    <t>LSNYC19-1915260</t>
  </si>
  <si>
    <t>LSNYC19-1915282</t>
  </si>
  <si>
    <t>LSNYC19-1915287</t>
  </si>
  <si>
    <t>LSNYC19-1915326</t>
  </si>
  <si>
    <t>LSNYC19-1915328</t>
  </si>
  <si>
    <t>LSNYC19-1915336</t>
  </si>
  <si>
    <t>LSNYC19-1915377</t>
  </si>
  <si>
    <t>LSNYC19-1916819</t>
  </si>
  <si>
    <t>LSNYC19-1915139</t>
  </si>
  <si>
    <t>LSNYC19-1915181</t>
  </si>
  <si>
    <t>LSNYC19-1915198</t>
  </si>
  <si>
    <t>LSNYC19-1914994</t>
  </si>
  <si>
    <t>LSNYC19-1915081</t>
  </si>
  <si>
    <t>LSNYC19-1915380</t>
  </si>
  <si>
    <t>LSNYC19-1915384</t>
  </si>
  <si>
    <t>LSNYC19-1915387</t>
  </si>
  <si>
    <t>LSNYC19-1914956</t>
  </si>
  <si>
    <t>LSNYC19-1914735</t>
  </si>
  <si>
    <t>LSNYC19-1914704</t>
  </si>
  <si>
    <t>LSNYC19-1914708</t>
  </si>
  <si>
    <t>LSNYC19-1914324</t>
  </si>
  <si>
    <t>LSNYC19-1914494</t>
  </si>
  <si>
    <t>LSNYC19-1914549</t>
  </si>
  <si>
    <t>LSNYC19-1914576</t>
  </si>
  <si>
    <t>LSNYC19-1914891</t>
  </si>
  <si>
    <t>LSNYC19-1913086</t>
  </si>
  <si>
    <t>LSNYC19-1914339</t>
  </si>
  <si>
    <t>LSNYC19-1914343</t>
  </si>
  <si>
    <t>LSNYC19-1914351</t>
  </si>
  <si>
    <t>LSNYC19-1914392</t>
  </si>
  <si>
    <t>LSNYC19-1914464</t>
  </si>
  <si>
    <t>LSNYC19-1914233</t>
  </si>
  <si>
    <t>LSNYC19-1914253</t>
  </si>
  <si>
    <t>LSNYC19-1914303</t>
  </si>
  <si>
    <t>LSNYC19-1914307</t>
  </si>
  <si>
    <t>LSNYC19-1914318</t>
  </si>
  <si>
    <t>LSNYC19-1914058</t>
  </si>
  <si>
    <t>LSNYC19-1914439</t>
  </si>
  <si>
    <t>LSNYC19-1913964</t>
  </si>
  <si>
    <t>LSNYC19-1913998</t>
  </si>
  <si>
    <t>LSNYC19-1913780</t>
  </si>
  <si>
    <t>LSNYC19-1913788</t>
  </si>
  <si>
    <t>LSNYC19-1913817</t>
  </si>
  <si>
    <t>LSNYC19-1913822</t>
  </si>
  <si>
    <t>LSNYC19-1913823</t>
  </si>
  <si>
    <t>LSNYC19-1913848</t>
  </si>
  <si>
    <t>LSNYC19-1913853</t>
  </si>
  <si>
    <t>LSNYC19-1913906</t>
  </si>
  <si>
    <t>LSNYC19-1913908</t>
  </si>
  <si>
    <t>LSNYC19-1913910</t>
  </si>
  <si>
    <t>LSNYC19-1913912</t>
  </si>
  <si>
    <t>LSNYC19-1913693</t>
  </si>
  <si>
    <t>LSNYC19-1913708</t>
  </si>
  <si>
    <t>LSNYC19-1913731</t>
  </si>
  <si>
    <t>LSNYC19-1913741</t>
  </si>
  <si>
    <t>LSNYC19-1913748</t>
  </si>
  <si>
    <t>LSNYC19-1913751</t>
  </si>
  <si>
    <t>LSNYC19-1913539</t>
  </si>
  <si>
    <t>LSNYC19-1913557</t>
  </si>
  <si>
    <t>LSNYC19-1913176</t>
  </si>
  <si>
    <t>LSNYC19-1913450</t>
  </si>
  <si>
    <t>LSNYC19-1913461</t>
  </si>
  <si>
    <t>LSNYC19-1913472</t>
  </si>
  <si>
    <t>LSNYC19-1913523</t>
  </si>
  <si>
    <t>LSNYC19-1913656</t>
  </si>
  <si>
    <t>LSNYC19-1913719</t>
  </si>
  <si>
    <t>LSNYC19-1913371</t>
  </si>
  <si>
    <t>LSNYC19-1913390</t>
  </si>
  <si>
    <t>LSNYC19-1913395</t>
  </si>
  <si>
    <t>LSNYC19-1913406</t>
  </si>
  <si>
    <t>LSNYC19-1913236</t>
  </si>
  <si>
    <t>LSNYC19-1913238</t>
  </si>
  <si>
    <t>LSNYC19-1913259</t>
  </si>
  <si>
    <t>LSNYC19-1913278</t>
  </si>
  <si>
    <t>LSNYC19-1913279</t>
  </si>
  <si>
    <t>LSNYC19-1913522</t>
  </si>
  <si>
    <t>LSNYC19-1913871</t>
  </si>
  <si>
    <t>LSNYC19-1913142</t>
  </si>
  <si>
    <t>LSNYC19-1913150</t>
  </si>
  <si>
    <t>LSNYC19-1914771</t>
  </si>
  <si>
    <t>LSNYC19-1913004</t>
  </si>
  <si>
    <t>LSNYC19-1913030</t>
  </si>
  <si>
    <t>LSNYC19-1913031</t>
  </si>
  <si>
    <t>LSNYC19-1912885</t>
  </si>
  <si>
    <t>LSNYC19-1912912</t>
  </si>
  <si>
    <t>LSNYC19-1912924</t>
  </si>
  <si>
    <t>LSNYC19-1913101</t>
  </si>
  <si>
    <t>LSNYC19-1912805</t>
  </si>
  <si>
    <t>LSNYC19-1912678</t>
  </si>
  <si>
    <t>LSNYC19-1912687</t>
  </si>
  <si>
    <t>LSNYC19-1912720</t>
  </si>
  <si>
    <t>LSNYC19-1912746</t>
  </si>
  <si>
    <t>LSNYC19-1912750</t>
  </si>
  <si>
    <t>LSNYC19-1912752</t>
  </si>
  <si>
    <t>LSNYC19-1912761</t>
  </si>
  <si>
    <t>LSNYC19-1912388</t>
  </si>
  <si>
    <t>LSNYC19-1912408</t>
  </si>
  <si>
    <t>LSNYC19-1912447</t>
  </si>
  <si>
    <t>LSNYC19-1912505</t>
  </si>
  <si>
    <t>LSNYC19-1912507</t>
  </si>
  <si>
    <t>LSNYC19-1912833</t>
  </si>
  <si>
    <t>LSNYC19-1912265</t>
  </si>
  <si>
    <t>LSNYC19-1912305</t>
  </si>
  <si>
    <t>LSNYC19-1912367</t>
  </si>
  <si>
    <t>LSNYC19-1912569</t>
  </si>
  <si>
    <t>LSNYC19-1912577</t>
  </si>
  <si>
    <t>LSNYC19-1911909</t>
  </si>
  <si>
    <t>LSNYC19-1911910</t>
  </si>
  <si>
    <t>LSNYC19-1912189</t>
  </si>
  <si>
    <t>LSNYC19-1912232</t>
  </si>
  <si>
    <t>LSNYC19-1912245</t>
  </si>
  <si>
    <t>LSNYC19-1912281</t>
  </si>
  <si>
    <t>LSNYC19-1912055</t>
  </si>
  <si>
    <t>LSNYC19-1912061</t>
  </si>
  <si>
    <t>LSNYC19-1912087</t>
  </si>
  <si>
    <t>LSNYC19-1912396</t>
  </si>
  <si>
    <t>LSNYC19-1912400</t>
  </si>
  <si>
    <t>LSNYC19-1912407</t>
  </si>
  <si>
    <t>LSNYC19-1912411</t>
  </si>
  <si>
    <t>LSNYC19-1912413</t>
  </si>
  <si>
    <t>LSNYC19-1912417</t>
  </si>
  <si>
    <t>LSNYC19-1912420</t>
  </si>
  <si>
    <t>LSNYC19-1911961</t>
  </si>
  <si>
    <t>LSNYC19-1911990</t>
  </si>
  <si>
    <t>LSNYC19-1911906</t>
  </si>
  <si>
    <t>LSNYC19-1911907</t>
  </si>
  <si>
    <t>LSNYC19-1911816</t>
  </si>
  <si>
    <t>LSNYC19-1911835</t>
  </si>
  <si>
    <t>LSNYC19-1911836</t>
  </si>
  <si>
    <t>LSNYC19-1911903</t>
  </si>
  <si>
    <t>LSNYC19-1911904</t>
  </si>
  <si>
    <t>LSNYC19-1911912</t>
  </si>
  <si>
    <t>LSNYC19-1911951</t>
  </si>
  <si>
    <t>LSNYC19-1908871</t>
  </si>
  <si>
    <t>LSNYC19-1911705</t>
  </si>
  <si>
    <t>LSNYC19-1912788</t>
  </si>
  <si>
    <t>LSNYC19-1911589</t>
  </si>
  <si>
    <t>LSNYC19-1911618</t>
  </si>
  <si>
    <t>LSNYC19-1911622</t>
  </si>
  <si>
    <t>LSNYC19-1911645</t>
  </si>
  <si>
    <t>LSNYC19-1910012</t>
  </si>
  <si>
    <t>LSNYC19-1911537</t>
  </si>
  <si>
    <t>LSNYC19-1911552</t>
  </si>
  <si>
    <t>LSNYC19-1912387</t>
  </si>
  <si>
    <t>LSNYC19-1911347</t>
  </si>
  <si>
    <t>LSNYC19-1911417</t>
  </si>
  <si>
    <t>LSNYC19-1911252</t>
  </si>
  <si>
    <t>LSNYC19-1911277</t>
  </si>
  <si>
    <t>LSNYC19-1911294</t>
  </si>
  <si>
    <t>LSNYC19-1911301</t>
  </si>
  <si>
    <t>LSNYC19-1911139</t>
  </si>
  <si>
    <t>LSNYC19-1911033</t>
  </si>
  <si>
    <t>LSNYC19-1911042</t>
  </si>
  <si>
    <t>LSNYC19-1911069</t>
  </si>
  <si>
    <t>LSNYC19-1911086</t>
  </si>
  <si>
    <t>LSNYC19-1909317</t>
  </si>
  <si>
    <t>LSNYC19-1910977</t>
  </si>
  <si>
    <t>LSNYC19-1910820</t>
  </si>
  <si>
    <t>LSNYC19-1910832</t>
  </si>
  <si>
    <t>LSNYC19-1910873</t>
  </si>
  <si>
    <t>LSNYC20-1917829</t>
  </si>
  <si>
    <t>LSNYC19-1910732</t>
  </si>
  <si>
    <t>LSNYC19-1910752</t>
  </si>
  <si>
    <t>LSNYC19-1910757</t>
  </si>
  <si>
    <t>LSNYC19-1910765</t>
  </si>
  <si>
    <t>LSNYC19-1910780</t>
  </si>
  <si>
    <t>LSNYC19-1910784</t>
  </si>
  <si>
    <t>LSNYC19-1910622</t>
  </si>
  <si>
    <t>LSNYC19-1910666</t>
  </si>
  <si>
    <t>LSNYC19-1910557</t>
  </si>
  <si>
    <t>LSNYC19-1910558</t>
  </si>
  <si>
    <t>LSNYC19-1910559</t>
  </si>
  <si>
    <t>LSNYC19-1910568</t>
  </si>
  <si>
    <t>LSNYC19-1910685</t>
  </si>
  <si>
    <t>LSNYC19-1910466</t>
  </si>
  <si>
    <t>LSNYC19-1910284</t>
  </si>
  <si>
    <t>LSNYC19-1910329</t>
  </si>
  <si>
    <t>LSNYC19-1910342</t>
  </si>
  <si>
    <t>LSNYC20-1917868</t>
  </si>
  <si>
    <t>LSNYC19-1910101</t>
  </si>
  <si>
    <t>LSNYC19-1910222</t>
  </si>
  <si>
    <t>LSNYC19-1910242</t>
  </si>
  <si>
    <t>LSNYC19-1910265</t>
  </si>
  <si>
    <t>LSNYC19-1910266</t>
  </si>
  <si>
    <t>LSNYC19-1908925</t>
  </si>
  <si>
    <t>LSNYC19-1910005</t>
  </si>
  <si>
    <t>LSNYC19-1910018</t>
  </si>
  <si>
    <t>LSNYC19-1910073</t>
  </si>
  <si>
    <t>LSNYC19-1910078</t>
  </si>
  <si>
    <t>LSNYC19-1910105</t>
  </si>
  <si>
    <t>LSNYC19-1910107</t>
  </si>
  <si>
    <t>LSNYC19-1910110</t>
  </si>
  <si>
    <t>LSNYC19-1909926</t>
  </si>
  <si>
    <t>LSNYC19-1909934</t>
  </si>
  <si>
    <t>LSNYC19-1909951</t>
  </si>
  <si>
    <t>LSNYC19-1909966</t>
  </si>
  <si>
    <t>LSNYC19-1909826</t>
  </si>
  <si>
    <t>LSNYC19-1909309</t>
  </si>
  <si>
    <t>LSNYC19-1909635</t>
  </si>
  <si>
    <t>LSNYC19-1909468</t>
  </si>
  <si>
    <t>LSNYC19-1909486</t>
  </si>
  <si>
    <t>LSNYC19-1909564</t>
  </si>
  <si>
    <t>LSNYC19-1909575</t>
  </si>
  <si>
    <t>LSNYC19-1909436</t>
  </si>
  <si>
    <t>LSNYC19-1909446</t>
  </si>
  <si>
    <t>LSNYC19-1909305</t>
  </si>
  <si>
    <t>LSNYC19-1909154</t>
  </si>
  <si>
    <t>LSNYC19-1909178</t>
  </si>
  <si>
    <t>LSNYC19-1909179</t>
  </si>
  <si>
    <t>LSNYC19-1909218</t>
  </si>
  <si>
    <t>LSNYC19-1909239</t>
  </si>
  <si>
    <t>LSNYC19-1909242</t>
  </si>
  <si>
    <t>LSNYC19-1909018</t>
  </si>
  <si>
    <t>LSNYC19-1909073</t>
  </si>
  <si>
    <t>LSNYC19-1909094</t>
  </si>
  <si>
    <t>LSNYC19-1909101</t>
  </si>
  <si>
    <t>LSNYC19-1908884</t>
  </si>
  <si>
    <t>LSNYC19-1908966</t>
  </si>
  <si>
    <t>LSNYC19-1908981</t>
  </si>
  <si>
    <t>LSNYC19-1909075</t>
  </si>
  <si>
    <t>LSNYC19-1908876</t>
  </si>
  <si>
    <t>LSNYC19-1909797</t>
  </si>
  <si>
    <t>LSNYC19-1908694</t>
  </si>
  <si>
    <t>LSNYC19-1908701</t>
  </si>
  <si>
    <t>LSNYC19-1909694</t>
  </si>
  <si>
    <t>LSNYC19-1908628</t>
  </si>
  <si>
    <t>LSNYC19-1908644</t>
  </si>
  <si>
    <t>LSNYC19-1909558</t>
  </si>
  <si>
    <t>LSNYC19-1908494</t>
  </si>
  <si>
    <t>LSNYC19-1908500</t>
  </si>
  <si>
    <t>LSNYC19-1908542</t>
  </si>
  <si>
    <t>LSNYC19-1908581</t>
  </si>
  <si>
    <t>LSNYC19-1908582</t>
  </si>
  <si>
    <t>LSNYC19-1908230</t>
  </si>
  <si>
    <t>LSNYC19-1908315</t>
  </si>
  <si>
    <t>LSNYC19-1908381</t>
  </si>
  <si>
    <t>LSNYC19-1908257</t>
  </si>
  <si>
    <t>LSNYC19-1908268</t>
  </si>
  <si>
    <t>LSNYC19-1908304</t>
  </si>
  <si>
    <t>LSNYC19-1908310</t>
  </si>
  <si>
    <t>LSNYC19-1908320</t>
  </si>
  <si>
    <t>LSNYC19-1908327</t>
  </si>
  <si>
    <t>LSNYC19-1908332</t>
  </si>
  <si>
    <t>LSNYC19-1908124</t>
  </si>
  <si>
    <t>LSNYC19-1908139</t>
  </si>
  <si>
    <t>LSNYC19-1908155</t>
  </si>
  <si>
    <t>LSNYC19-1908167</t>
  </si>
  <si>
    <t>LSNYC19-1908180</t>
  </si>
  <si>
    <t>LSNYC19-1908221</t>
  </si>
  <si>
    <t>LSNYC19-1906968</t>
  </si>
  <si>
    <t>LSNYC19-1907940</t>
  </si>
  <si>
    <t>LSNYC19-1908062</t>
  </si>
  <si>
    <t>LSNYC19-1908584</t>
  </si>
  <si>
    <t>LSNYC19-1907941</t>
  </si>
  <si>
    <t>LSNYC19-1907971</t>
  </si>
  <si>
    <t>LSNYC19-1907998</t>
  </si>
  <si>
    <t>LSNYC19-1908000</t>
  </si>
  <si>
    <t>LSNYC19-1908009</t>
  </si>
  <si>
    <t>LSNYC19-1907817</t>
  </si>
  <si>
    <t>LSNYC19-1907827</t>
  </si>
  <si>
    <t>LSNYC19-1907830</t>
  </si>
  <si>
    <t>LSNYC19-1907904</t>
  </si>
  <si>
    <t>LSNYC19-1907753</t>
  </si>
  <si>
    <t>LSNYC19-1907788</t>
  </si>
  <si>
    <t>LSNYC19-1907427</t>
  </si>
  <si>
    <t>LSNYC19-1907653</t>
  </si>
  <si>
    <t>LSNYC19-1907704</t>
  </si>
  <si>
    <t>LSNYC19-1907713</t>
  </si>
  <si>
    <t>LSNYC19-1907431</t>
  </si>
  <si>
    <t>LSNYC19-1907441</t>
  </si>
  <si>
    <t>LSNYC19-1907448</t>
  </si>
  <si>
    <t>LSNYC19-1907461</t>
  </si>
  <si>
    <t>LSNYC19-1907465</t>
  </si>
  <si>
    <t>LSNYC19-1907501</t>
  </si>
  <si>
    <t>LSNYC19-1907518</t>
  </si>
  <si>
    <t>LSNYC19-1907381</t>
  </si>
  <si>
    <t>LSNYC19-1907393</t>
  </si>
  <si>
    <t>LSNYC19-1907257</t>
  </si>
  <si>
    <t>LSNYC19-1907261</t>
  </si>
  <si>
    <t>LSNYC19-1907270</t>
  </si>
  <si>
    <t>LSNYC19-1907274</t>
  </si>
  <si>
    <t>LSNYC19-1907299</t>
  </si>
  <si>
    <t>LSNYC19-1907141</t>
  </si>
  <si>
    <t>LSNYC19-1907152</t>
  </si>
  <si>
    <t>LSNYC19-1907114</t>
  </si>
  <si>
    <t>LSNYC19-1906938</t>
  </si>
  <si>
    <t>LSNYC19-1906950</t>
  </si>
  <si>
    <t>LSNYC19-1906951</t>
  </si>
  <si>
    <t>LSNYC19-1906811</t>
  </si>
  <si>
    <t>LSNYC19-1906822</t>
  </si>
  <si>
    <t>LSNYC19-1906872</t>
  </si>
  <si>
    <t>LSNYC19-1906655</t>
  </si>
  <si>
    <t>LSNYC19-1906997</t>
  </si>
  <si>
    <t>LSNYC19-1906494</t>
  </si>
  <si>
    <t>LSNYC19-1906513</t>
  </si>
  <si>
    <t>LSNYC19-1906299</t>
  </si>
  <si>
    <t>LSNYC19-1906168</t>
  </si>
  <si>
    <t>LSNYC19-1906172</t>
  </si>
  <si>
    <t>LSNYC19-1906213</t>
  </si>
  <si>
    <t>LSNYC19-1906214</t>
  </si>
  <si>
    <t>LSNYC19-1906215</t>
  </si>
  <si>
    <t>LSNYC19-1906256</t>
  </si>
  <si>
    <t>LSNYC19-1906305</t>
  </si>
  <si>
    <t>LSNYC19-1906122</t>
  </si>
  <si>
    <t>LSNYC19-1905997</t>
  </si>
  <si>
    <t>LSNYC19-1905966</t>
  </si>
  <si>
    <t>LSNYC19-1905823</t>
  </si>
  <si>
    <t>LSNYC19-1905854</t>
  </si>
  <si>
    <t>LSNYC19-1905876</t>
  </si>
  <si>
    <t>LSNYC19-1905882</t>
  </si>
  <si>
    <t>LSNYC19-1905890</t>
  </si>
  <si>
    <t>LSNYC19-1905895</t>
  </si>
  <si>
    <t>LSNYC19-1905896</t>
  </si>
  <si>
    <t>LSNYC19-1905897</t>
  </si>
  <si>
    <t>LSNYC19-1905651</t>
  </si>
  <si>
    <t>LSNYC19-1905680</t>
  </si>
  <si>
    <t>LSNYC19-1905702</t>
  </si>
  <si>
    <t>LSNYC19-1905529</t>
  </si>
  <si>
    <t>LSNYC19-1905619</t>
  </si>
  <si>
    <t>LSNYC19-1905622</t>
  </si>
  <si>
    <t>LSNYC19-1905628</t>
  </si>
  <si>
    <t>LSNYC19-1905629</t>
  </si>
  <si>
    <t>LSNYC19-1905351</t>
  </si>
  <si>
    <t>LSNYC19-1905263</t>
  </si>
  <si>
    <t>LSNYC19-1905390</t>
  </si>
  <si>
    <t>LSNYC19-1905409</t>
  </si>
  <si>
    <t>LSNYC19-1905519</t>
  </si>
  <si>
    <t>LSNYC19-1905032</t>
  </si>
  <si>
    <t>LSNYC19-1905100</t>
  </si>
  <si>
    <t>LSNYC19-1905102</t>
  </si>
  <si>
    <t>LSNYC19-1905139</t>
  </si>
  <si>
    <t>LSNYC19-1905140</t>
  </si>
  <si>
    <t>LSNYC19-1905162</t>
  </si>
  <si>
    <t>LSNYC19-1904919</t>
  </si>
  <si>
    <t>LSNYC19-1904922</t>
  </si>
  <si>
    <t>LSNYC19-1904924</t>
  </si>
  <si>
    <t>LSNYC19-1904927</t>
  </si>
  <si>
    <t>LSNYC19-1905022</t>
  </si>
  <si>
    <t>LSNYC19-1905094</t>
  </si>
  <si>
    <t>LSNYC19-1904680</t>
  </si>
  <si>
    <t>LSNYC19-1904782</t>
  </si>
  <si>
    <t>LSNYC19-1904507</t>
  </si>
  <si>
    <t>LSNYC19-1904516</t>
  </si>
  <si>
    <t>LSNYC19-1904547</t>
  </si>
  <si>
    <t>LSNYC19-1904549</t>
  </si>
  <si>
    <t>LSNYC19-1904571</t>
  </si>
  <si>
    <t>LSNYC19-1904616</t>
  </si>
  <si>
    <t>LSNYC19-1903733</t>
  </si>
  <si>
    <t>LSNYC19-1904368</t>
  </si>
  <si>
    <t>LSNYC19-1904392</t>
  </si>
  <si>
    <t>LSNYC19-1904406</t>
  </si>
  <si>
    <t>LSNYC19-1904407</t>
  </si>
  <si>
    <t>LSNYC19-1904418</t>
  </si>
  <si>
    <t>LSNYC19-1904429</t>
  </si>
  <si>
    <t>LSNYC19-1904356</t>
  </si>
  <si>
    <t>LSNYC19-1904172</t>
  </si>
  <si>
    <t>LSNYC19-1905605</t>
  </si>
  <si>
    <t>LSNYC19-1907443</t>
  </si>
  <si>
    <t>LSNYC19-1910127</t>
  </si>
  <si>
    <t>LSNYC20-1917814</t>
  </si>
  <si>
    <t>LSNYC20-1917863</t>
  </si>
  <si>
    <t>LSNYC20-1917926</t>
  </si>
  <si>
    <t>LSNYC19-1904091</t>
  </si>
  <si>
    <t>LSNYC19-1904109</t>
  </si>
  <si>
    <t>LSNYC19-1903724</t>
  </si>
  <si>
    <t>LSNYC19-1903762</t>
  </si>
  <si>
    <t>LSNYC19-1904125</t>
  </si>
  <si>
    <t>LSNYC19-1903652</t>
  </si>
  <si>
    <t>LSNYC19-1903655</t>
  </si>
  <si>
    <t>LSNYC19-1903657</t>
  </si>
  <si>
    <t>LSNYC19-1904265</t>
  </si>
  <si>
    <t>LSNYC19-1904269</t>
  </si>
  <si>
    <t>LSNYC19-1904285</t>
  </si>
  <si>
    <t>LSNYC19-1904296</t>
  </si>
  <si>
    <t>LSNYC19-1904320</t>
  </si>
  <si>
    <t>LSNYC19-1904323</t>
  </si>
  <si>
    <t>LSNYC19-1904336</t>
  </si>
  <si>
    <t>LSNYC19-1904349</t>
  </si>
  <si>
    <t>LSNYC19-1904352</t>
  </si>
  <si>
    <t>LSNYC19-1904353</t>
  </si>
  <si>
    <t>LSNYC19-1903582</t>
  </si>
  <si>
    <t>LSNYC19-1903585</t>
  </si>
  <si>
    <t>LSNYC19-1901619</t>
  </si>
  <si>
    <t>LSNYC19-1903366</t>
  </si>
  <si>
    <t>LSNYC19-1903383</t>
  </si>
  <si>
    <t>LSNYC19-1903403</t>
  </si>
  <si>
    <t>LSNYC19-1903405</t>
  </si>
  <si>
    <t>LSNYC19-1903407</t>
  </si>
  <si>
    <t>LSNYC19-1903411</t>
  </si>
  <si>
    <t>LSNYC19-1903414</t>
  </si>
  <si>
    <t>LSNYC19-1903422</t>
  </si>
  <si>
    <t>LSNYC19-1903444</t>
  </si>
  <si>
    <t>LSNYC19-1903452</t>
  </si>
  <si>
    <t>LSNYC19-1903531</t>
  </si>
  <si>
    <t>LSNYC19-1903563</t>
  </si>
  <si>
    <t>LSNYC19-1903205</t>
  </si>
  <si>
    <t>LSNYC19-1903285</t>
  </si>
  <si>
    <t>LSNYC19-1903286</t>
  </si>
  <si>
    <t>LSNYC19-1903290</t>
  </si>
  <si>
    <t>LSNYC19-1903293</t>
  </si>
  <si>
    <t>LSNYC19-1903297</t>
  </si>
  <si>
    <t>LSNYC19-1903302</t>
  </si>
  <si>
    <t>LSNYC19-1903304</t>
  </si>
  <si>
    <t>LSNYC19-1903337</t>
  </si>
  <si>
    <t>LSNYC19-1903341</t>
  </si>
  <si>
    <t>LSNYC19-1903180</t>
  </si>
  <si>
    <t>LSNYC19-1903181</t>
  </si>
  <si>
    <t>LSNYC19-1903182</t>
  </si>
  <si>
    <t>LSNYC19-1903188</t>
  </si>
  <si>
    <t>LSNYC19-1903191</t>
  </si>
  <si>
    <t>LSNYC19-1903194</t>
  </si>
  <si>
    <t>LSNYC19-1903197</t>
  </si>
  <si>
    <t>LSNYC19-1903057</t>
  </si>
  <si>
    <t>LSNYC19-1902737</t>
  </si>
  <si>
    <t>LSNYC19-1902897</t>
  </si>
  <si>
    <t>LSNYC19-1902931</t>
  </si>
  <si>
    <t>LSNYC19-1902933</t>
  </si>
  <si>
    <t>LSNYC19-1902736</t>
  </si>
  <si>
    <t>LSNYC19-1902746</t>
  </si>
  <si>
    <t>LSNYC19-1902801</t>
  </si>
  <si>
    <t>LSNYC19-1902824</t>
  </si>
  <si>
    <t>LSNYC19-1902690</t>
  </si>
  <si>
    <t>LSNYC20-1917892</t>
  </si>
  <si>
    <t>LSNYC19-1902554</t>
  </si>
  <si>
    <t>LSNYC19-1902556</t>
  </si>
  <si>
    <t>LSNYC19-1902560</t>
  </si>
  <si>
    <t>LSNYC19-1902562</t>
  </si>
  <si>
    <t>LSNYC19-1902566</t>
  </si>
  <si>
    <t>LSNYC19-1902585</t>
  </si>
  <si>
    <t>LSNYC19-1902680</t>
  </si>
  <si>
    <t>LSNYC19-1902902</t>
  </si>
  <si>
    <t>LSNYC20-1917882</t>
  </si>
  <si>
    <t>LSNYC19-1902451</t>
  </si>
  <si>
    <t>LSNYC19-1912779</t>
  </si>
  <si>
    <t>LSNYC19-1902348</t>
  </si>
  <si>
    <t>LSNYC19-1902142</t>
  </si>
  <si>
    <t>LSNYC19-1902147</t>
  </si>
  <si>
    <t>LSNYC19-1902162</t>
  </si>
  <si>
    <t>LSNYC19-1902190</t>
  </si>
  <si>
    <t>LSNYC19-1902198</t>
  </si>
  <si>
    <t>LSNYC19-1902209</t>
  </si>
  <si>
    <t>LSNYC19-1902242</t>
  </si>
  <si>
    <t>LSNYC19-1902262</t>
  </si>
  <si>
    <t>LSNYC19-1902122</t>
  </si>
  <si>
    <t>LSNYC19-1902123</t>
  </si>
  <si>
    <t>LSNYC19-1902124</t>
  </si>
  <si>
    <t>LSNYC19-1902125</t>
  </si>
  <si>
    <t>LSNYC19-1902128</t>
  </si>
  <si>
    <t>LSNYC19-1902131</t>
  </si>
  <si>
    <t>LSNYC19-1901964</t>
  </si>
  <si>
    <t>LSNYC19-1901965</t>
  </si>
  <si>
    <t>LSNYC19-1901966</t>
  </si>
  <si>
    <t>LSNYC19-1901969</t>
  </si>
  <si>
    <t>LSNYC19-1902066</t>
  </si>
  <si>
    <t>LSNYC19-1902073</t>
  </si>
  <si>
    <t>LSNYC19-1902104</t>
  </si>
  <si>
    <t>LSNYC19-1903217</t>
  </si>
  <si>
    <t>LSNYC19-1901893</t>
  </si>
  <si>
    <t>LSNYC19-1901895</t>
  </si>
  <si>
    <t>LSNYC19-1901913</t>
  </si>
  <si>
    <t>LSNYC19-1901919</t>
  </si>
  <si>
    <t>LSNYC19-1901925</t>
  </si>
  <si>
    <t>LSNYC19-1901932</t>
  </si>
  <si>
    <t>LSNYC19-1901959</t>
  </si>
  <si>
    <t>LSNYC19-1901960</t>
  </si>
  <si>
    <t>LSNYC19-1902496</t>
  </si>
  <si>
    <t>LSNYC19-1902498</t>
  </si>
  <si>
    <t>LSNYC19-1901730</t>
  </si>
  <si>
    <t>LSNYC19-1901734</t>
  </si>
  <si>
    <t>LSNYC19-1901748</t>
  </si>
  <si>
    <t>LSNYC19-1901798</t>
  </si>
  <si>
    <t>LSNYC19-1901803</t>
  </si>
  <si>
    <t>LSNYC19-1901805</t>
  </si>
  <si>
    <t>LSNYC19-1901807</t>
  </si>
  <si>
    <t>LSNYC19-1901810</t>
  </si>
  <si>
    <t>LSNYC19-1901580</t>
  </si>
  <si>
    <t>LSNYC19-1901591</t>
  </si>
  <si>
    <t>LSNYC19-1901602</t>
  </si>
  <si>
    <t>LSNYC19-1901617</t>
  </si>
  <si>
    <t>LSNYC19-1901629</t>
  </si>
  <si>
    <t>LSNYC19-1901647</t>
  </si>
  <si>
    <t>LSNYC19-1901668</t>
  </si>
  <si>
    <t>LSNYC19-1901698</t>
  </si>
  <si>
    <t>LSNYC19-1901829</t>
  </si>
  <si>
    <t>LSNYC19-1901841</t>
  </si>
  <si>
    <t>LSNYC19-1901856</t>
  </si>
  <si>
    <t>LSNYC19-1901860</t>
  </si>
  <si>
    <t>LSNYC19-1901862</t>
  </si>
  <si>
    <t>LSNYC19-1901873</t>
  </si>
  <si>
    <t>LSNYC19-1901528</t>
  </si>
  <si>
    <t>LSNYC19-1901567</t>
  </si>
  <si>
    <t>LSNYC19-1901304</t>
  </si>
  <si>
    <t>LSNYC19-1901210</t>
  </si>
  <si>
    <t>LSNYC19-1901260</t>
  </si>
  <si>
    <t>LSNYC19-1901263</t>
  </si>
  <si>
    <t>LSNYC19-1902415</t>
  </si>
  <si>
    <t>LSNYC19-1901151</t>
  </si>
  <si>
    <t>LSNYC19-1901170</t>
  </si>
  <si>
    <t>LSNYC19-1900944</t>
  </si>
  <si>
    <t>LSNYC19-1901053</t>
  </si>
  <si>
    <t>LSNYC19-1900720</t>
  </si>
  <si>
    <t>LSNYC19-1900743</t>
  </si>
  <si>
    <t>LSNYC19-1900766</t>
  </si>
  <si>
    <t>LSNYC19-1900767</t>
  </si>
  <si>
    <t>LSNYC19-1900768</t>
  </si>
  <si>
    <t>LSNYC19-1900770</t>
  </si>
  <si>
    <t>LSNYC19-1900535</t>
  </si>
  <si>
    <t>LSNYC19-1900539</t>
  </si>
  <si>
    <t>LSNYC19-1900544</t>
  </si>
  <si>
    <t>LSNYC19-1900555</t>
  </si>
  <si>
    <t>LSNYC19-1900561</t>
  </si>
  <si>
    <t>LSNYC19-1900575</t>
  </si>
  <si>
    <t>LSNYC19-1900584</t>
  </si>
  <si>
    <t>LSNYC19-1900508</t>
  </si>
  <si>
    <t>LSNYC19-1900510</t>
  </si>
  <si>
    <t>LSNYC19-1900284</t>
  </si>
  <si>
    <t>LSNYC19-1900292</t>
  </si>
  <si>
    <t>LSNYC19-1900357</t>
  </si>
  <si>
    <t>LSNYC19-1900214</t>
  </si>
  <si>
    <t>LSNYC19-1900227</t>
  </si>
  <si>
    <t>LSNYC19-1900228</t>
  </si>
  <si>
    <t>LSNYC19-1900229</t>
  </si>
  <si>
    <t>LSNYC19-1900237</t>
  </si>
  <si>
    <t>LSNYC19-1900240</t>
  </si>
  <si>
    <t>LSNYC19-1900274</t>
  </si>
  <si>
    <t>LSNYC19-1900275</t>
  </si>
  <si>
    <t>LSNYC19-1900108</t>
  </si>
  <si>
    <t>LSNYC19-1899940</t>
  </si>
  <si>
    <t>LSNYC19-1899945</t>
  </si>
  <si>
    <t>LSNYC19-1900024</t>
  </si>
  <si>
    <t>LSNYC19-1899888</t>
  </si>
  <si>
    <t>LSNYC19-1907311</t>
  </si>
  <si>
    <t>LSNYC19-1899560</t>
  </si>
  <si>
    <t>LSNYC19-1899569</t>
  </si>
  <si>
    <t>LSNYC19-1899577</t>
  </si>
  <si>
    <t>LSNYC19-1899591</t>
  </si>
  <si>
    <t>LSNYC19-1899602</t>
  </si>
  <si>
    <t>LSNYC19-1899625</t>
  </si>
  <si>
    <t>LSNYC19-1899640</t>
  </si>
  <si>
    <t>LSNYC19-1899651</t>
  </si>
  <si>
    <t>LSNYC19-1899290</t>
  </si>
  <si>
    <t>LSNYC19-1899423</t>
  </si>
  <si>
    <t>LSNYC19-1899443</t>
  </si>
  <si>
    <t>LSNYC19-1899477</t>
  </si>
  <si>
    <t>LSNYC19-1899531</t>
  </si>
  <si>
    <t>LSNYC19-1899534</t>
  </si>
  <si>
    <t>LSNYC19-1899310</t>
  </si>
  <si>
    <t>LSNYC19-1899319</t>
  </si>
  <si>
    <t>LSNYC19-1899330</t>
  </si>
  <si>
    <t>LSNYC19-1899344</t>
  </si>
  <si>
    <t>LSNYC19-1899356</t>
  </si>
  <si>
    <t>LSNYC19-1899370</t>
  </si>
  <si>
    <t>LSNYC19-1899396</t>
  </si>
  <si>
    <t>LSNYC19-1899197</t>
  </si>
  <si>
    <t>LSNYC19-1899205</t>
  </si>
  <si>
    <t>LSNYC19-1899212</t>
  </si>
  <si>
    <t>LSNYC19-1899229</t>
  </si>
  <si>
    <t>LSNYC19-1899236</t>
  </si>
  <si>
    <t>LSNYC19-1899249</t>
  </si>
  <si>
    <t>LSNYC19-1899057</t>
  </si>
  <si>
    <t>LSNYC19-1899068</t>
  </si>
  <si>
    <t>LSNYC19-1899076</t>
  </si>
  <si>
    <t>LSNYC19-1899089</t>
  </si>
  <si>
    <t>LSNYC19-1899100</t>
  </si>
  <si>
    <t>LSNYC19-1899105</t>
  </si>
  <si>
    <t>LSNYC19-1899108</t>
  </si>
  <si>
    <t>LSNYC19-1899160</t>
  </si>
  <si>
    <t>LSNYC19-1899169</t>
  </si>
  <si>
    <t>LSNYC19-1899173</t>
  </si>
  <si>
    <t>LSNYC19-1898943</t>
  </si>
  <si>
    <t>LSNYC19-1898949</t>
  </si>
  <si>
    <t>LSNYC19-1899030</t>
  </si>
  <si>
    <t>LSNYC19-1899032</t>
  </si>
  <si>
    <t>LSNYC19-1898819</t>
  </si>
  <si>
    <t>LSNYC19-1898833</t>
  </si>
  <si>
    <t>LSNYC19-1898642</t>
  </si>
  <si>
    <t>LSNYC19-1898651</t>
  </si>
  <si>
    <t>LSNYC19-1898660</t>
  </si>
  <si>
    <t>LSNYC19-1898663</t>
  </si>
  <si>
    <t>LSNYC19-1898669</t>
  </si>
  <si>
    <t>LSNYC19-1898671</t>
  </si>
  <si>
    <t>LSNYC19-1898708</t>
  </si>
  <si>
    <t>LSNYC19-1898715</t>
  </si>
  <si>
    <t>LSNYC19-1898723</t>
  </si>
  <si>
    <t>LSNYC19-1898725</t>
  </si>
  <si>
    <t>LSNYC19-1898735</t>
  </si>
  <si>
    <t>LSNYC19-1898737</t>
  </si>
  <si>
    <t>LSNYC19-1898587</t>
  </si>
  <si>
    <t>LSNYC19-1898594</t>
  </si>
  <si>
    <t>LSNYC19-1898603</t>
  </si>
  <si>
    <t>LSNYC19-1899649</t>
  </si>
  <si>
    <t>LSNYC19-1898430</t>
  </si>
  <si>
    <t>LSNYC19-1898455</t>
  </si>
  <si>
    <t>LSNYC19-1898487</t>
  </si>
  <si>
    <t>LSNYC19-1898497</t>
  </si>
  <si>
    <t>LSNYC19-1898498</t>
  </si>
  <si>
    <t>LSNYC19-1898500</t>
  </si>
  <si>
    <t>LSNYC19-1898501</t>
  </si>
  <si>
    <t>LSNYC19-1898195</t>
  </si>
  <si>
    <t>LSNYC19-1898240</t>
  </si>
  <si>
    <t>LSNYC19-1898254</t>
  </si>
  <si>
    <t>LSNYC19-1898131</t>
  </si>
  <si>
    <t>LSNYC19-1898132</t>
  </si>
  <si>
    <t>LSNYC19-1898135</t>
  </si>
  <si>
    <t>LSNYC19-1898152</t>
  </si>
  <si>
    <t>LSNYC19-1898156</t>
  </si>
  <si>
    <t>LSNYC19-1898162</t>
  </si>
  <si>
    <t>LSNYC19-1898170</t>
  </si>
  <si>
    <t>LSNYC19-1898181</t>
  </si>
  <si>
    <t>LSNYC19-1898183</t>
  </si>
  <si>
    <t>LSNYC19-1898187</t>
  </si>
  <si>
    <t>LSNYC19-1897872</t>
  </si>
  <si>
    <t>LSNYC19-1895805</t>
  </si>
  <si>
    <t>LSNYC19-1896047</t>
  </si>
  <si>
    <t>LSNYC19-1896050</t>
  </si>
  <si>
    <t>LSNYC19-1896965</t>
  </si>
  <si>
    <t>LSNYC19-1897929</t>
  </si>
  <si>
    <t>LSNYC19-1897934</t>
  </si>
  <si>
    <t>LSNYC19-1897935</t>
  </si>
  <si>
    <t>LSNYC19-1897937</t>
  </si>
  <si>
    <t>LSNYC19-1898106</t>
  </si>
  <si>
    <t>LSNYC19-1897708</t>
  </si>
  <si>
    <t>LSNYC19-1897548</t>
  </si>
  <si>
    <t>LSNYC19-1897565</t>
  </si>
  <si>
    <t>LSNYC19-1897607</t>
  </si>
  <si>
    <t>LSNYC19-1897624</t>
  </si>
  <si>
    <t>LSNYC19-1897662</t>
  </si>
  <si>
    <t>LSNYC19-1897279</t>
  </si>
  <si>
    <t>LSNYC19-1897288</t>
  </si>
  <si>
    <t>LSNYC19-1897300</t>
  </si>
  <si>
    <t>LSNYC19-1897374</t>
  </si>
  <si>
    <t>LSNYC19-1897213</t>
  </si>
  <si>
    <t>LSNYC19-1897222</t>
  </si>
  <si>
    <t>LSNYC19-1897242</t>
  </si>
  <si>
    <t>LSNYC19-1897243</t>
  </si>
  <si>
    <t>LSNYC19-1897101</t>
  </si>
  <si>
    <t>LSNYC19-1896873</t>
  </si>
  <si>
    <t>LSNYC19-1896918</t>
  </si>
  <si>
    <t>LSNYC19-1896930</t>
  </si>
  <si>
    <t>LSNYC19-1896961</t>
  </si>
  <si>
    <t>LSNYC19-1896962</t>
  </si>
  <si>
    <t>LSNYC19-1896737</t>
  </si>
  <si>
    <t>LSNYC19-1896838</t>
  </si>
  <si>
    <t>LSNYC19-1896610</t>
  </si>
  <si>
    <t>LSNYC19-1896619</t>
  </si>
  <si>
    <t>LSNYC19-1896628</t>
  </si>
  <si>
    <t>LSNYC19-1896645</t>
  </si>
  <si>
    <t>LSNYC19-1896662</t>
  </si>
  <si>
    <t>LSNYC19-1897066</t>
  </si>
  <si>
    <t>LSNYC19-1896521</t>
  </si>
  <si>
    <t>LSNYC19-1896558</t>
  </si>
  <si>
    <t>LSNYC19-1896562</t>
  </si>
  <si>
    <t>LSNYC19-1896577</t>
  </si>
  <si>
    <t>LSNYC19-1908457</t>
  </si>
  <si>
    <t>LSNYC19-1896424</t>
  </si>
  <si>
    <t>LSNYC19-1896430</t>
  </si>
  <si>
    <t>LSNYC19-1896432</t>
  </si>
  <si>
    <t>LSNYC19-1896445</t>
  </si>
  <si>
    <t>LSNYC19-1896459</t>
  </si>
  <si>
    <t>LSNYC19-1896128</t>
  </si>
  <si>
    <t>LSNYC19-1896180</t>
  </si>
  <si>
    <t>LSNYC19-1896186</t>
  </si>
  <si>
    <t>LSNYC19-1896192</t>
  </si>
  <si>
    <t>LSNYC19-1896195</t>
  </si>
  <si>
    <t>LSNYC19-1896232</t>
  </si>
  <si>
    <t>LSNYC19-1896405</t>
  </si>
  <si>
    <t>LSNYC19-1896071</t>
  </si>
  <si>
    <t>LSNYC19-1896100</t>
  </si>
  <si>
    <t>LSNYC19-1896117</t>
  </si>
  <si>
    <t>LSNYC19-1896313</t>
  </si>
  <si>
    <t>LSNYC19-1903448</t>
  </si>
  <si>
    <t>LSNYC19-1895884</t>
  </si>
  <si>
    <t>LSNYC19-1895887</t>
  </si>
  <si>
    <t>LSNYC19-1895896</t>
  </si>
  <si>
    <t>LSNYC19-1895905</t>
  </si>
  <si>
    <t>LSNYC19-1895911</t>
  </si>
  <si>
    <t>LSNYC19-1895914</t>
  </si>
  <si>
    <t>LSNYC19-1895919</t>
  </si>
  <si>
    <t>LSNYC19-1896317</t>
  </si>
  <si>
    <t>LSNYC19-1896319</t>
  </si>
  <si>
    <t>LSNYC19-1895787</t>
  </si>
  <si>
    <t>LSNYC19-1895807</t>
  </si>
  <si>
    <t>LSNYC19-1895812</t>
  </si>
  <si>
    <t>LSNYC19-1895814</t>
  </si>
  <si>
    <t>LSNYC19-1895815</t>
  </si>
  <si>
    <t>LSNYC19-1895509</t>
  </si>
  <si>
    <t>LSNYC19-1895587</t>
  </si>
  <si>
    <t>LSNYC19-1895655</t>
  </si>
  <si>
    <t>LSNYC19-1895659</t>
  </si>
  <si>
    <t>LSNYC19-1895662</t>
  </si>
  <si>
    <t>LSNYC19-1895706</t>
  </si>
  <si>
    <t>LSNYC19-1890655</t>
  </si>
  <si>
    <t>LSNYC19-1895426</t>
  </si>
  <si>
    <t>LSNYC19-1895454</t>
  </si>
  <si>
    <t>LSNYC19-1895478</t>
  </si>
  <si>
    <t>LSNYC19-1895544</t>
  </si>
  <si>
    <t>LSNYC19-1895207</t>
  </si>
  <si>
    <t>LSNYC19-1895269</t>
  </si>
  <si>
    <t>LSNYC19-1895281</t>
  </si>
  <si>
    <t>LSNYC19-1895302</t>
  </si>
  <si>
    <t>LSNYC19-1895310</t>
  </si>
  <si>
    <t>LSNYC19-1895345</t>
  </si>
  <si>
    <t>LSNYC19-1895360</t>
  </si>
  <si>
    <t>LSNYC19-1895362</t>
  </si>
  <si>
    <t>LSNYC19-1895366</t>
  </si>
  <si>
    <t>LSNYC19-1895373</t>
  </si>
  <si>
    <t>LSNYC19-1895378</t>
  </si>
  <si>
    <t>LSNYC19-1895381</t>
  </si>
  <si>
    <t>LSNYC19-1895389</t>
  </si>
  <si>
    <t>LSNYC19-1895398</t>
  </si>
  <si>
    <t>LSNYC19-1895399</t>
  </si>
  <si>
    <t>LSNYC19-1895400</t>
  </si>
  <si>
    <t>LSNYC19-1895402</t>
  </si>
  <si>
    <t>LSNYC19-1894732</t>
  </si>
  <si>
    <t>LSNYC19-1895126</t>
  </si>
  <si>
    <t>LSNYC19-1895217</t>
  </si>
  <si>
    <t>LSNYC19-1893054</t>
  </si>
  <si>
    <t>LSNYC19-1895070</t>
  </si>
  <si>
    <t>LSNYC19-1895072</t>
  </si>
  <si>
    <t>LSNYC19-1895083</t>
  </si>
  <si>
    <t>LSNYC19-1895102</t>
  </si>
  <si>
    <t>LSNYC19-1895105</t>
  </si>
  <si>
    <t>LSNYC19-1895113</t>
  </si>
  <si>
    <t>LSNYC19-1894731</t>
  </si>
  <si>
    <t>LSNYC19-1894897</t>
  </si>
  <si>
    <t>LSNYC19-1894911</t>
  </si>
  <si>
    <t>LSNYC19-1894749</t>
  </si>
  <si>
    <t>LSNYC19-1894760</t>
  </si>
  <si>
    <t>LSNYC19-1894762</t>
  </si>
  <si>
    <t>LSNYC19-1894776</t>
  </si>
  <si>
    <t>LSNYC19-1894783</t>
  </si>
  <si>
    <t>LSNYC19-1894803</t>
  </si>
  <si>
    <t>LSNYC19-1894816</t>
  </si>
  <si>
    <t>LSNYC19-1894827</t>
  </si>
  <si>
    <t>LSNYC19-1894856</t>
  </si>
  <si>
    <t>LSNYC19-1894622</t>
  </si>
  <si>
    <t>LSNYC19-1894648</t>
  </si>
  <si>
    <t>LSNYC19-1894676</t>
  </si>
  <si>
    <t>LSNYC19-1894578</t>
  </si>
  <si>
    <t>LSNYC19-1894601</t>
  </si>
  <si>
    <t>LSNYC19-1894194</t>
  </si>
  <si>
    <t>LSNYC19-1894212</t>
  </si>
  <si>
    <t>LSNYC19-1894053</t>
  </si>
  <si>
    <t>LSNYC19-1894058</t>
  </si>
  <si>
    <t>LSNYC19-1894092</t>
  </si>
  <si>
    <t>LSNYC19-1894096</t>
  </si>
  <si>
    <t>LSNYC19-1894097</t>
  </si>
  <si>
    <t>LSNYC19-1894105</t>
  </si>
  <si>
    <t>LSNYC19-1894148</t>
  </si>
  <si>
    <t>LSNYC19-1894158</t>
  </si>
  <si>
    <t>LSNYC19-1894730</t>
  </si>
  <si>
    <t>LSNYC19-1894325</t>
  </si>
  <si>
    <t>LSNYC19-1893707</t>
  </si>
  <si>
    <t>LSNYC19-1893660</t>
  </si>
  <si>
    <t>LSNYC19-1893663</t>
  </si>
  <si>
    <t>LSNYC19-1893536</t>
  </si>
  <si>
    <t>LSNYC19-1893542</t>
  </si>
  <si>
    <t>LSNYC19-1893381</t>
  </si>
  <si>
    <t>LSNYC19-1893406</t>
  </si>
  <si>
    <t>LSNYC19-1893458</t>
  </si>
  <si>
    <t>LSNYC19-1893459</t>
  </si>
  <si>
    <t>LSNYC19-1893461</t>
  </si>
  <si>
    <t>LSNYC19-1893186</t>
  </si>
  <si>
    <t>LSNYC19-1893227</t>
  </si>
  <si>
    <t>LSNYC19-1893030</t>
  </si>
  <si>
    <t>LSNYC19-1893074</t>
  </si>
  <si>
    <t>LSNYC19-1893134</t>
  </si>
  <si>
    <t>LSNYC19-1893850</t>
  </si>
  <si>
    <t>LSNYC19-1892805</t>
  </si>
  <si>
    <t>LSNYC19-1892809</t>
  </si>
  <si>
    <t>LSNYC19-1892815</t>
  </si>
  <si>
    <t>LSNYC19-1892829</t>
  </si>
  <si>
    <t>LSNYC19-1892840</t>
  </si>
  <si>
    <t>LSNYC19-1892925</t>
  </si>
  <si>
    <t>LSNYC19-1892928</t>
  </si>
  <si>
    <t>LSNYC19-1892935</t>
  </si>
  <si>
    <t>LSNYC19-1892647</t>
  </si>
  <si>
    <t>LSNYC19-1892721</t>
  </si>
  <si>
    <t>LSNYC19-1892768</t>
  </si>
  <si>
    <t>LSNYC19-1892550</t>
  </si>
  <si>
    <t>LSNYC19-1892555</t>
  </si>
  <si>
    <t>LSNYC19-1892574</t>
  </si>
  <si>
    <t>LSNYC19-1892577</t>
  </si>
  <si>
    <t>LSNYC19-1892612</t>
  </si>
  <si>
    <t>LSNYC19-1892343</t>
  </si>
  <si>
    <t>LSNYC19-1892366</t>
  </si>
  <si>
    <t>LSNYC19-1892396</t>
  </si>
  <si>
    <t>LSNYC19-1892431</t>
  </si>
  <si>
    <t>LSNYC19-1892437</t>
  </si>
  <si>
    <t>LSNYC19-1892460</t>
  </si>
  <si>
    <t>LSNYC19-1892198</t>
  </si>
  <si>
    <t>LSNYC19-1892216</t>
  </si>
  <si>
    <t>LSNYC19-1892225</t>
  </si>
  <si>
    <t>LSNYC19-1892260</t>
  </si>
  <si>
    <t>LSNYC19-1890744</t>
  </si>
  <si>
    <t>LSNYC19-1892073</t>
  </si>
  <si>
    <t>LSNYC19-1892105</t>
  </si>
  <si>
    <t>LSNYC19-1892157</t>
  </si>
  <si>
    <t>LSNYC19-1892168</t>
  </si>
  <si>
    <t>LSNYC19-1891955</t>
  </si>
  <si>
    <t>LSNYC19-1891970</t>
  </si>
  <si>
    <t>LSNYC19-1891981</t>
  </si>
  <si>
    <t>LSNYC19-1892025</t>
  </si>
  <si>
    <t>LSNYC19-1892043</t>
  </si>
  <si>
    <t>LSNYC19-1891762</t>
  </si>
  <si>
    <t>LSNYC19-1891768</t>
  </si>
  <si>
    <t>LSNYC19-1891770</t>
  </si>
  <si>
    <t>LSNYC19-1891695</t>
  </si>
  <si>
    <t>LSNYC19-1891701</t>
  </si>
  <si>
    <t>LSNYC19-1891704</t>
  </si>
  <si>
    <t>LSNYC19-1891721</t>
  </si>
  <si>
    <t>LSNYC19-1891722</t>
  </si>
  <si>
    <t>LSNYC19-1891723</t>
  </si>
  <si>
    <t>LSNYC19-1891724</t>
  </si>
  <si>
    <t>LSNYC19-1891725</t>
  </si>
  <si>
    <t>LSNYC19-1891726</t>
  </si>
  <si>
    <t>LSNYC19-1891428</t>
  </si>
  <si>
    <t>LSNYC19-1891429</t>
  </si>
  <si>
    <t>LSNYC19-1891437</t>
  </si>
  <si>
    <t>LSNYC19-1891450</t>
  </si>
  <si>
    <t>LSNYC19-1891474</t>
  </si>
  <si>
    <t>LSNYC19-1891543</t>
  </si>
  <si>
    <t>LSNYC19-1891380</t>
  </si>
  <si>
    <t>LSNYC19-1891169</t>
  </si>
  <si>
    <t>LSNYC19-1891187</t>
  </si>
  <si>
    <t>LSNYC19-1891012</t>
  </si>
  <si>
    <t>LSNYC19-1891129</t>
  </si>
  <si>
    <t>LSNYC19-1891130</t>
  </si>
  <si>
    <t>LSNYC19-1890859</t>
  </si>
  <si>
    <t>LSNYC19-1890873</t>
  </si>
  <si>
    <t>LSNYC19-1891337</t>
  </si>
  <si>
    <t>LSNYC19-1904593</t>
  </si>
  <si>
    <t>LSNYC19-1886911</t>
  </si>
  <si>
    <t>LSNYC19-1891342</t>
  </si>
  <si>
    <t>LSNYC19-1890422</t>
  </si>
  <si>
    <t>LSNYC19-1890450</t>
  </si>
  <si>
    <t>LSNYC19-1890469</t>
  </si>
  <si>
    <t>LSNYC19-1889452</t>
  </si>
  <si>
    <t>LSNYC19-1890224</t>
  </si>
  <si>
    <t>LSNYC19-1890244</t>
  </si>
  <si>
    <t>LSNYC19-1890248</t>
  </si>
  <si>
    <t>LSNYC19-1890321</t>
  </si>
  <si>
    <t>LSNYC19-1890326</t>
  </si>
  <si>
    <t>LSNYC19-1890110</t>
  </si>
  <si>
    <t>LSNYC19-1890126</t>
  </si>
  <si>
    <t>LSNYC19-1890129</t>
  </si>
  <si>
    <t>LSNYC19-1890149</t>
  </si>
  <si>
    <t>LSNYC19-1890316</t>
  </si>
  <si>
    <t>LSNYC19-1889880</t>
  </si>
  <si>
    <t>LSNYC19-1889888</t>
  </si>
  <si>
    <t>LSNYC19-1889890</t>
  </si>
  <si>
    <t>LSNYC19-1889938</t>
  </si>
  <si>
    <t>LSNYC19-1889947</t>
  </si>
  <si>
    <t>LSNYC19-1889953</t>
  </si>
  <si>
    <t>LSNYC19-1889961</t>
  </si>
  <si>
    <t>LSNYC19-1889975</t>
  </si>
  <si>
    <t>LSNYC19-1889976</t>
  </si>
  <si>
    <t>LSNYC19-1889988</t>
  </si>
  <si>
    <t>LSNYC19-1889990</t>
  </si>
  <si>
    <t>LSNYC19-1890000</t>
  </si>
  <si>
    <t>LSNYC19-1890046</t>
  </si>
  <si>
    <t>LSNYC19-1890058</t>
  </si>
  <si>
    <t>LSNYC19-1889747</t>
  </si>
  <si>
    <t>LSNYC19-1889757</t>
  </si>
  <si>
    <t>LSNYC19-1892513</t>
  </si>
  <si>
    <t>LSNYC19-1889740</t>
  </si>
  <si>
    <t>LSNYC19-1889711</t>
  </si>
  <si>
    <t>LSNYC19-1889739</t>
  </si>
  <si>
    <t>LSNYC19-1889600</t>
  </si>
  <si>
    <t>LSNYC19-1889433</t>
  </si>
  <si>
    <t>LSNYC19-1889473</t>
  </si>
  <si>
    <t>LSNYC19-1889475</t>
  </si>
  <si>
    <t>LSNYC19-1889489</t>
  </si>
  <si>
    <t>LSNYC19-1889306</t>
  </si>
  <si>
    <t>LSNYC19-1889846</t>
  </si>
  <si>
    <t>LSNYC19-1890662</t>
  </si>
  <si>
    <t>LSNYC19-1889176</t>
  </si>
  <si>
    <t>LSNYC19-1889202</t>
  </si>
  <si>
    <t>LSNYC19-1889205</t>
  </si>
  <si>
    <t>LSNYC19-1889027</t>
  </si>
  <si>
    <t>LSNYC19-1889033</t>
  </si>
  <si>
    <t>LSNYC19-1889110</t>
  </si>
  <si>
    <t>LSNYC19-1889114</t>
  </si>
  <si>
    <t>LSNYC18-1885328</t>
  </si>
  <si>
    <t>LSNYC19-1888848</t>
  </si>
  <si>
    <t>LSNYC19-1888861</t>
  </si>
  <si>
    <t>LSNYC19-1888901</t>
  </si>
  <si>
    <t>LSNYC19-1888921</t>
  </si>
  <si>
    <t>LSNYC19-1888926</t>
  </si>
  <si>
    <t>LSNYC19-1888954</t>
  </si>
  <si>
    <t>LSNYC19-1888959</t>
  </si>
  <si>
    <t>LSNYC19-1888961</t>
  </si>
  <si>
    <t>LSNYC19-1888963</t>
  </si>
  <si>
    <t>LSNYC19-1888966</t>
  </si>
  <si>
    <t>LSNYC19-1888988</t>
  </si>
  <si>
    <t>LSNYC19-1886896</t>
  </si>
  <si>
    <t>LSNYC19-1888747</t>
  </si>
  <si>
    <t>LSNYC19-1888533</t>
  </si>
  <si>
    <t>LSNYC19-1888632</t>
  </si>
  <si>
    <t>LSNYC19-1888697</t>
  </si>
  <si>
    <t>LSNYC19-1888444</t>
  </si>
  <si>
    <t>LSNYC19-1888504</t>
  </si>
  <si>
    <t>LSNYC19-1888276</t>
  </si>
  <si>
    <t>LSNYC19-1888283</t>
  </si>
  <si>
    <t>LSNYC19-1888295</t>
  </si>
  <si>
    <t>LSNYC19-1888344</t>
  </si>
  <si>
    <t>LSNYC19-1888352</t>
  </si>
  <si>
    <t>LSNYC19-1888354</t>
  </si>
  <si>
    <t>LSNYC19-1888356</t>
  </si>
  <si>
    <t>LSNYC19-1888392</t>
  </si>
  <si>
    <t>LSNYC19-1888494</t>
  </si>
  <si>
    <t>LSNYC19-1888498</t>
  </si>
  <si>
    <t>LSNYC19-1888500</t>
  </si>
  <si>
    <t>LSNYC19-1888501</t>
  </si>
  <si>
    <t>LSNYC19-1888505</t>
  </si>
  <si>
    <t>LSNYC19-1888529</t>
  </si>
  <si>
    <t>LSNYC19-1888151</t>
  </si>
  <si>
    <t>LSNYC19-1888162</t>
  </si>
  <si>
    <t>LSNYC19-1888175</t>
  </si>
  <si>
    <t>LSNYC19-1888257</t>
  </si>
  <si>
    <t>LSNYC18-1885191</t>
  </si>
  <si>
    <t>LSNYC19-1888143</t>
  </si>
  <si>
    <t>LSNYC19-1887881</t>
  </si>
  <si>
    <t>LSNYC19-1887996</t>
  </si>
  <si>
    <t>LSNYC19-1887772</t>
  </si>
  <si>
    <t>LSNYC19-1887807</t>
  </si>
  <si>
    <t>LSNYC19-1887816</t>
  </si>
  <si>
    <t>LSNYC19-1887821</t>
  </si>
  <si>
    <t>LSNYC19-1888095</t>
  </si>
  <si>
    <t>LSNYC19-1888101</t>
  </si>
  <si>
    <t>LSNYC19-1888126</t>
  </si>
  <si>
    <t>LSNYC19-1888128</t>
  </si>
  <si>
    <t>LSNYC19-1888702</t>
  </si>
  <si>
    <t>LSNYC19-1887553</t>
  </si>
  <si>
    <t>LSNYC19-1887556</t>
  </si>
  <si>
    <t>LSNYC19-1887557</t>
  </si>
  <si>
    <t>LSNYC19-1887573</t>
  </si>
  <si>
    <t>LSNYC19-1887579</t>
  </si>
  <si>
    <t>LSNYC19-1887588</t>
  </si>
  <si>
    <t>LSNYC19-1887595</t>
  </si>
  <si>
    <t>LSNYC19-1887596</t>
  </si>
  <si>
    <t>LSNYC19-1887607</t>
  </si>
  <si>
    <t>LSNYC19-1887619</t>
  </si>
  <si>
    <t>LSNYC19-1887632</t>
  </si>
  <si>
    <t>LSNYC19-1887633</t>
  </si>
  <si>
    <t>LSNYC19-1887666</t>
  </si>
  <si>
    <t>LSNYC19-1887680</t>
  </si>
  <si>
    <t>LSNYC19-1887481</t>
  </si>
  <si>
    <t>LSNYC19-1887508</t>
  </si>
  <si>
    <t>LSNYC19-1887521</t>
  </si>
  <si>
    <t>LSNYC19-1887535</t>
  </si>
  <si>
    <t>LSNYC19-1887358</t>
  </si>
  <si>
    <t>LSNYC19-1887359</t>
  </si>
  <si>
    <t>LSNYC19-1887381</t>
  </si>
  <si>
    <t>LSNYC19-1887383</t>
  </si>
  <si>
    <t>LSNYC19-1887390</t>
  </si>
  <si>
    <t>LSNYC19-1887412</t>
  </si>
  <si>
    <t>LSNYC19-1887203</t>
  </si>
  <si>
    <t>LSNYC19-1887036</t>
  </si>
  <si>
    <t>LSNYC19-1887076</t>
  </si>
  <si>
    <t>LSNYC19-1887134</t>
  </si>
  <si>
    <t>LSNYC19-1887137</t>
  </si>
  <si>
    <t>LSNYC19-1886939</t>
  </si>
  <si>
    <t>LSNYC19-1886952</t>
  </si>
  <si>
    <t>LSNYC19-1886955</t>
  </si>
  <si>
    <t>LSNYC19-1886999</t>
  </si>
  <si>
    <t>LSNYC19-1886813</t>
  </si>
  <si>
    <t>LSNYC19-1886838</t>
  </si>
  <si>
    <t>LSNYC18-1886763</t>
  </si>
  <si>
    <t>LSNYC18-1886710</t>
  </si>
  <si>
    <t>LSNYC19-1886924</t>
  </si>
  <si>
    <t>LSNYC19-1887251</t>
  </si>
  <si>
    <t>LSNYC20-1917866</t>
  </si>
  <si>
    <t>LSNYC18-1886553</t>
  </si>
  <si>
    <t>LSNYC18-1886556</t>
  </si>
  <si>
    <t>LSNYC18-1886608</t>
  </si>
  <si>
    <t>LSNYC18-1886472</t>
  </si>
  <si>
    <t>LSNYC18-1886509</t>
  </si>
  <si>
    <t>LSNYC18-1886527</t>
  </si>
  <si>
    <t>LSNYC18-1886528</t>
  </si>
  <si>
    <t>LSNYC18-1886429</t>
  </si>
  <si>
    <t>LSNYC19-1902576</t>
  </si>
  <si>
    <t>LSNYC18-1886157</t>
  </si>
  <si>
    <t>LSNYC18-1886214</t>
  </si>
  <si>
    <t>LSNYC18-1886292</t>
  </si>
  <si>
    <t>LSNYC18-1886144</t>
  </si>
  <si>
    <t>LSNYC18-1886147</t>
  </si>
  <si>
    <t>LSNYC18-1881289</t>
  </si>
  <si>
    <t>LSNYC18-1885954</t>
  </si>
  <si>
    <t>LSNYC18-1885960</t>
  </si>
  <si>
    <t>LSNYC18-1885968</t>
  </si>
  <si>
    <t>LSNYC18-1885996</t>
  </si>
  <si>
    <t>LSNYC18-1885998</t>
  </si>
  <si>
    <t>LSNYC18-1886026</t>
  </si>
  <si>
    <t>LSNYC20-1917939</t>
  </si>
  <si>
    <t>LSNYC18-1885866</t>
  </si>
  <si>
    <t>LSNYC18-1885895</t>
  </si>
  <si>
    <t>LSNYC18-1885760</t>
  </si>
  <si>
    <t>LSNYC18-1885784</t>
  </si>
  <si>
    <t>LSNYC18-1885785</t>
  </si>
  <si>
    <t>LSNYC18-1885538</t>
  </si>
  <si>
    <t>LSNYC18-1885542</t>
  </si>
  <si>
    <t>LSNYC18-1885565</t>
  </si>
  <si>
    <t>LSNYC18-1885609</t>
  </si>
  <si>
    <t>LSNYC18-1885617</t>
  </si>
  <si>
    <t>LSNYC18-1885629</t>
  </si>
  <si>
    <t>LSNYC20-1917935</t>
  </si>
  <si>
    <t>LSNYC18-1885417</t>
  </si>
  <si>
    <t>LSNYC18-1885428</t>
  </si>
  <si>
    <t>LSNYC18-1885441</t>
  </si>
  <si>
    <t>LSNYC18-1885514</t>
  </si>
  <si>
    <t>LSNYC18-1885516</t>
  </si>
  <si>
    <t>LSNYC18-1885518</t>
  </si>
  <si>
    <t>LSNYC18-1880318</t>
  </si>
  <si>
    <t>LSNYC18-1885354</t>
  </si>
  <si>
    <t>LSNYC18-1885360</t>
  </si>
  <si>
    <t>LSNYC18-1885389</t>
  </si>
  <si>
    <t>LSNYC18-1880348</t>
  </si>
  <si>
    <t>LSNYC18-1885253</t>
  </si>
  <si>
    <t>LSNYC18-1885287</t>
  </si>
  <si>
    <t>LSNYC18-1885296</t>
  </si>
  <si>
    <t>LSNYC18-1885298</t>
  </si>
  <si>
    <t>LSNYC18-1885105</t>
  </si>
  <si>
    <t>LSNYC18-1885150</t>
  </si>
  <si>
    <t>LSNYC18-1884949</t>
  </si>
  <si>
    <t>LSNYC18-1884957</t>
  </si>
  <si>
    <t>LSNYC18-1884971</t>
  </si>
  <si>
    <t>LSNYC18-1884980</t>
  </si>
  <si>
    <t>LSNYC18-1885002</t>
  </si>
  <si>
    <t>LSNYC18-1885035</t>
  </si>
  <si>
    <t>LSNYC18-1885041</t>
  </si>
  <si>
    <t>LSNYC18-1884773</t>
  </si>
  <si>
    <t>LSNYC18-1884817</t>
  </si>
  <si>
    <t>LSNYC18-1884834</t>
  </si>
  <si>
    <t>LSNYC18-1884859</t>
  </si>
  <si>
    <t>LSNYC18-1884672</t>
  </si>
  <si>
    <t>LSNYC18-1884695</t>
  </si>
  <si>
    <t>LSNYC18-1885237</t>
  </si>
  <si>
    <t>LSNYC18-1884530</t>
  </si>
  <si>
    <t>LSNYC18-1884647</t>
  </si>
  <si>
    <t>LSNYC18-1884390</t>
  </si>
  <si>
    <t>LSNYC18-1884452</t>
  </si>
  <si>
    <t>LSNYC18-1884475</t>
  </si>
  <si>
    <t>LSNYC18-1884302</t>
  </si>
  <si>
    <t>LSNYC18-1884305</t>
  </si>
  <si>
    <t>LSNYC18-1884315</t>
  </si>
  <si>
    <t>LSNYC18-1884353</t>
  </si>
  <si>
    <t>LSNYC18-1884149</t>
  </si>
  <si>
    <t>LSNYC18-1884160</t>
  </si>
  <si>
    <t>LSNYC18-1884162</t>
  </si>
  <si>
    <t>LSNYC18-1884177</t>
  </si>
  <si>
    <t>LSNYC18-1884201</t>
  </si>
  <si>
    <t>LSNYC18-1883932</t>
  </si>
  <si>
    <t>LSNYC18-1883937</t>
  </si>
  <si>
    <t>LSNYC18-1883943</t>
  </si>
  <si>
    <t>LSNYC18-1883982</t>
  </si>
  <si>
    <t>LSNYC18-1884026</t>
  </si>
  <si>
    <t>LSNYC18-1884044</t>
  </si>
  <si>
    <t>LSNYC18-1883835</t>
  </si>
  <si>
    <t>LSNYC18-1883836</t>
  </si>
  <si>
    <t>LSNYC18-1883840</t>
  </si>
  <si>
    <t>LSNYC18-1883846</t>
  </si>
  <si>
    <t>LSNYC18-1883883</t>
  </si>
  <si>
    <t>LSNYC18-1883890</t>
  </si>
  <si>
    <t>LSNYC18-1883918</t>
  </si>
  <si>
    <t>LSNYC18-1881250</t>
  </si>
  <si>
    <t>LSNYC18-1883699</t>
  </si>
  <si>
    <t>LSNYC18-1883747</t>
  </si>
  <si>
    <t>LSNYC18-1883751</t>
  </si>
  <si>
    <t>LSNYC18-1883754</t>
  </si>
  <si>
    <t>LSNYC18-1883764</t>
  </si>
  <si>
    <t>LSNYC18-1883579</t>
  </si>
  <si>
    <t>LSNYC18-1883599</t>
  </si>
  <si>
    <t>LSNYC18-1883605</t>
  </si>
  <si>
    <t>LSNYC18-1883611</t>
  </si>
  <si>
    <t>LSNYC18-1883676</t>
  </si>
  <si>
    <t>LSNYC18-1881133</t>
  </si>
  <si>
    <t>LSNYC18-1883486</t>
  </si>
  <si>
    <t>LSNYC18-1883522</t>
  </si>
  <si>
    <t>LSNYC18-1883406</t>
  </si>
  <si>
    <t>LSNYC18-1883441</t>
  </si>
  <si>
    <t>LSNYC20-1917913</t>
  </si>
  <si>
    <t>LSNYC18-1870885</t>
  </si>
  <si>
    <t>LSNYC18-1874751</t>
  </si>
  <si>
    <t>LSNYC18-1883242</t>
  </si>
  <si>
    <t>LSNYC18-1883274</t>
  </si>
  <si>
    <t>LSNYC18-1883292</t>
  </si>
  <si>
    <t>LSNYC18-1883293</t>
  </si>
  <si>
    <t>LSNYC18-1883358</t>
  </si>
  <si>
    <t>LSNYC18-1883324</t>
  </si>
  <si>
    <t>LSNYC18-1882795</t>
  </si>
  <si>
    <t>LSNYC18-1882871</t>
  </si>
  <si>
    <t>LSNYC18-1882482</t>
  </si>
  <si>
    <t>LSNYC18-1882594</t>
  </si>
  <si>
    <t>LSNYC18-1882613</t>
  </si>
  <si>
    <t>LSNYC18-1882683</t>
  </si>
  <si>
    <t>LSNYC18-1882749</t>
  </si>
  <si>
    <t>LSNYC18-1882460</t>
  </si>
  <si>
    <t>LSNYC18-1882467</t>
  </si>
  <si>
    <t>LSNYC18-1882472</t>
  </si>
  <si>
    <t>LSNYC18-1882479</t>
  </si>
  <si>
    <t>LSNYC18-1882258</t>
  </si>
  <si>
    <t>LSNYC18-1882305</t>
  </si>
  <si>
    <t>LSNYC18-1882114</t>
  </si>
  <si>
    <t>LSNYC18-1882150</t>
  </si>
  <si>
    <t>LSNYC18-1882167</t>
  </si>
  <si>
    <t>LSNYC18-1882168</t>
  </si>
  <si>
    <t>LSNYC18-1882040</t>
  </si>
  <si>
    <t>LSNYC18-1882046</t>
  </si>
  <si>
    <t>LSNYC18-1882049</t>
  </si>
  <si>
    <t>LSNYC18-1882050</t>
  </si>
  <si>
    <t>LSNYC18-1881709</t>
  </si>
  <si>
    <t>LSNYC18-1881742</t>
  </si>
  <si>
    <t>LSNYC18-1881792</t>
  </si>
  <si>
    <t>LSNYC18-1881826</t>
  </si>
  <si>
    <t>LSNYC18-1881828</t>
  </si>
  <si>
    <t>LSNYC18-1881833</t>
  </si>
  <si>
    <t>LSNYC18-1881999</t>
  </si>
  <si>
    <t>LSNYC18-1882058</t>
  </si>
  <si>
    <t>LSNYC18-1882084</t>
  </si>
  <si>
    <t>LSNYC18-1882087</t>
  </si>
  <si>
    <t>LSNYC18-1882101</t>
  </si>
  <si>
    <t>LSNYC18-1882103</t>
  </si>
  <si>
    <t>LSNYC18-1882109</t>
  </si>
  <si>
    <t>LSNYC18-1882112</t>
  </si>
  <si>
    <t>LSNYC18-1882124</t>
  </si>
  <si>
    <t>LSNYC18-1878308</t>
  </si>
  <si>
    <t>LSNYC18-1881319</t>
  </si>
  <si>
    <t>LSNYC18-1881331</t>
  </si>
  <si>
    <t>LSNYC18-1881381</t>
  </si>
  <si>
    <t>LSNYC18-1881408</t>
  </si>
  <si>
    <t>LSNYC18-1881412</t>
  </si>
  <si>
    <t>LSNYC18-1857579</t>
  </si>
  <si>
    <t>LSNYC18-1880912</t>
  </si>
  <si>
    <t>LSNYC18-1881188</t>
  </si>
  <si>
    <t>LSNYC18-1881214</t>
  </si>
  <si>
    <t>LSNYC18-1882074</t>
  </si>
  <si>
    <t>LSNYC18-1881045</t>
  </si>
  <si>
    <t>LSNYC18-1881110</t>
  </si>
  <si>
    <t>LSNYC18-1881130</t>
  </si>
  <si>
    <t>LSNYC18-1881145</t>
  </si>
  <si>
    <t>LSNYC18-1881159</t>
  </si>
  <si>
    <t>LSNYC18-1880907</t>
  </si>
  <si>
    <t>LSNYC18-1880969</t>
  </si>
  <si>
    <t>LSNYC18-1880987</t>
  </si>
  <si>
    <t>LSNYC18-1881018</t>
  </si>
  <si>
    <t>LSNYC18-1881154</t>
  </si>
  <si>
    <t>LSNYC18-1880869</t>
  </si>
  <si>
    <t>LSNYC18-1880794</t>
  </si>
  <si>
    <t>LSNYC18-1880828</t>
  </si>
  <si>
    <t>LSNYC20-1917896</t>
  </si>
  <si>
    <t>LSNYC18-1880581</t>
  </si>
  <si>
    <t>LSNYC18-1880630</t>
  </si>
  <si>
    <t>LSNYC18-1880863</t>
  </si>
  <si>
    <t>LSNYC18-1880866</t>
  </si>
  <si>
    <t>LSNYC18-1878818</t>
  </si>
  <si>
    <t>LSNYC18-1879652</t>
  </si>
  <si>
    <t>LSNYC18-1880452</t>
  </si>
  <si>
    <t>LSNYC18-1880494</t>
  </si>
  <si>
    <t>LSNYC18-1880506</t>
  </si>
  <si>
    <t>LSNYC18-1880287</t>
  </si>
  <si>
    <t>LSNYC18-1880296</t>
  </si>
  <si>
    <t>LSNYC18-1880357</t>
  </si>
  <si>
    <t>LSNYC18-1880371</t>
  </si>
  <si>
    <t>LSNYC18-1880374</t>
  </si>
  <si>
    <t>LSNYC18-1880376</t>
  </si>
  <si>
    <t>LSNYC18-1880091</t>
  </si>
  <si>
    <t>LSNYC18-1880152</t>
  </si>
  <si>
    <t>LSNYC18-1880170</t>
  </si>
  <si>
    <t>LSNYC18-1880010</t>
  </si>
  <si>
    <t>LSNYC18-1880022</t>
  </si>
  <si>
    <t>LSNYC18-1880066</t>
  </si>
  <si>
    <t>LSNYC18-1880070</t>
  </si>
  <si>
    <t>LSNYC18-1879840</t>
  </si>
  <si>
    <t>LSNYC18-1879854</t>
  </si>
  <si>
    <t>LSNYC18-1879873</t>
  </si>
  <si>
    <t>LSNYC18-1879885</t>
  </si>
  <si>
    <t>LSNYC18-1879914</t>
  </si>
  <si>
    <t>LSNYC18-1879981</t>
  </si>
  <si>
    <t>LSNYC18-1879785</t>
  </si>
  <si>
    <t>LSNYC18-1879618</t>
  </si>
  <si>
    <t>LSNYC18-1879624</t>
  </si>
  <si>
    <t>LSNYC18-1879626</t>
  </si>
  <si>
    <t>LSNYC18-1879656</t>
  </si>
  <si>
    <t>LSNYC18-1879679</t>
  </si>
  <si>
    <t>LSNYC18-1879685</t>
  </si>
  <si>
    <t>LSNYC18-1879688</t>
  </si>
  <si>
    <t>LSNYC18-1879483</t>
  </si>
  <si>
    <t>LSNYC18-1879493</t>
  </si>
  <si>
    <t>LSNYC18-1879499</t>
  </si>
  <si>
    <t>LSNYC18-1879554</t>
  </si>
  <si>
    <t>LSNYC18-1879558</t>
  </si>
  <si>
    <t>LSNYC18-1879559</t>
  </si>
  <si>
    <t>LSNYC18-1879575</t>
  </si>
  <si>
    <t>LSNYC18-1879319</t>
  </si>
  <si>
    <t>LSNYC18-1879370</t>
  </si>
  <si>
    <t>LSNYC18-1879401</t>
  </si>
  <si>
    <t>LSNYC18-1879249</t>
  </si>
  <si>
    <t>LSNYC18-1878944</t>
  </si>
  <si>
    <t>LSNYC18-1879095</t>
  </si>
  <si>
    <t>LSNYC18-1878906</t>
  </si>
  <si>
    <t>LSNYC18-1878932</t>
  </si>
  <si>
    <t>LSNYC18-1876917</t>
  </si>
  <si>
    <t>LSNYC18-1877044</t>
  </si>
  <si>
    <t>LSNYC18-1878758</t>
  </si>
  <si>
    <t>LSNYC18-1878576</t>
  </si>
  <si>
    <t>LSNYC18-1878581</t>
  </si>
  <si>
    <t>LSNYC18-1878582</t>
  </si>
  <si>
    <t>LSNYC18-1878711</t>
  </si>
  <si>
    <t>LSNYC18-1878547</t>
  </si>
  <si>
    <t>LSNYC18-1878330</t>
  </si>
  <si>
    <t>LSNYC18-1878093</t>
  </si>
  <si>
    <t>LSNYC18-1878110</t>
  </si>
  <si>
    <t>LSNYC18-1878179</t>
  </si>
  <si>
    <t>LSNYC18-1878190</t>
  </si>
  <si>
    <t>LSNYC18-1878192</t>
  </si>
  <si>
    <t>LSNYC18-1877933</t>
  </si>
  <si>
    <t>LSNYC18-1877942</t>
  </si>
  <si>
    <t>LSNYC18-1878041</t>
  </si>
  <si>
    <t>LSNYC18-1877863</t>
  </si>
  <si>
    <t>LSNYC18-1877875</t>
  </si>
  <si>
    <t>LSNYC18-1877886</t>
  </si>
  <si>
    <t>LSNYC18-1877925</t>
  </si>
  <si>
    <t>LSNYC18-1877764</t>
  </si>
  <si>
    <t>LSNYC18-1877782</t>
  </si>
  <si>
    <t>LSNYC18-1877786</t>
  </si>
  <si>
    <t>LSNYC18-1877797</t>
  </si>
  <si>
    <t>LSNYC18-1877812</t>
  </si>
  <si>
    <t>LSNYC18-1877825</t>
  </si>
  <si>
    <t>LSNYC18-1877286</t>
  </si>
  <si>
    <t>LSNYC18-1877652</t>
  </si>
  <si>
    <t>LSNYC18-1877710</t>
  </si>
  <si>
    <t>LSNYC18-1877295</t>
  </si>
  <si>
    <t>LSNYC18-1877339</t>
  </si>
  <si>
    <t>LSNYC18-1877340</t>
  </si>
  <si>
    <t>LSNYC18-1874872</t>
  </si>
  <si>
    <t>LSNYC18-1877220</t>
  </si>
  <si>
    <t>LSNYC18-1877048</t>
  </si>
  <si>
    <t>LSNYC18-1876874</t>
  </si>
  <si>
    <t>LSNYC18-1876102</t>
  </si>
  <si>
    <t>LSNYC18-1876476</t>
  </si>
  <si>
    <t>LSNYC18-1876478</t>
  </si>
  <si>
    <t>LSNYC18-1876213</t>
  </si>
  <si>
    <t>LSNYC18-1867188</t>
  </si>
  <si>
    <t>LSNYC18-1875589</t>
  </si>
  <si>
    <t>LSNYC18-1875528</t>
  </si>
  <si>
    <t>LSNYC18-1875377</t>
  </si>
  <si>
    <t>LSNYC18-1875403</t>
  </si>
  <si>
    <t>LSNYC18-1875259</t>
  </si>
  <si>
    <t>LSNYC18-1875267</t>
  </si>
  <si>
    <t>LSNYC18-1875282</t>
  </si>
  <si>
    <t>LSNYC18-1875135</t>
  </si>
  <si>
    <t>LSNYC18-1874967</t>
  </si>
  <si>
    <t>LSNYC18-1875094</t>
  </si>
  <si>
    <t>LSNYC18-1874908</t>
  </si>
  <si>
    <t>LSNYC18-1874928</t>
  </si>
  <si>
    <t>LSNYC18-1874959</t>
  </si>
  <si>
    <t>LSNYC18-1874786</t>
  </si>
  <si>
    <t>LSNYC18-1874804</t>
  </si>
  <si>
    <t>LSNYC18-1874669</t>
  </si>
  <si>
    <t>LSNYC18-1874672</t>
  </si>
  <si>
    <t>LSNYC18-1874682</t>
  </si>
  <si>
    <t>LSNYC18-1874701</t>
  </si>
  <si>
    <t>LSNYC18-1874533</t>
  </si>
  <si>
    <t>LSNYC18-1874634</t>
  </si>
  <si>
    <t>LSNYC18-1874404</t>
  </si>
  <si>
    <t>LSNYC18-1874516</t>
  </si>
  <si>
    <t>LSNYC18-1874268</t>
  </si>
  <si>
    <t>LSNYC18-1874331</t>
  </si>
  <si>
    <t>LSNYC18-1874364</t>
  </si>
  <si>
    <t>LSNYC18-1874367</t>
  </si>
  <si>
    <t>LSNYC18-1874042</t>
  </si>
  <si>
    <t>LSNYC18-1873904</t>
  </si>
  <si>
    <t>LSNYC18-1873922</t>
  </si>
  <si>
    <t>LSNYC18-1873938</t>
  </si>
  <si>
    <t>LSNYC18-1873941</t>
  </si>
  <si>
    <t>LSNYC18-1873970</t>
  </si>
  <si>
    <t>LSNYC18-1873723</t>
  </si>
  <si>
    <t>LSNYC18-1873734</t>
  </si>
  <si>
    <t>LSNYC18-1873756</t>
  </si>
  <si>
    <t>LSNYC18-1873593</t>
  </si>
  <si>
    <t>LSNYC18-1873637</t>
  </si>
  <si>
    <t>LSNYC18-1873684</t>
  </si>
  <si>
    <t>LSNYC18-1873686</t>
  </si>
  <si>
    <t>LSNYC18-1873987</t>
  </si>
  <si>
    <t>LSNYC18-1873988</t>
  </si>
  <si>
    <t>LSNYC18-1868371</t>
  </si>
  <si>
    <t>LSNYC18-1873490</t>
  </si>
  <si>
    <t>LSNYC18-1871236</t>
  </si>
  <si>
    <t>LSNYC18-1873387</t>
  </si>
  <si>
    <t>LSNYC18-1873397</t>
  </si>
  <si>
    <t>LSNYC18-1873407</t>
  </si>
  <si>
    <t>LSNYC18-1873144</t>
  </si>
  <si>
    <t>LSNYC18-1873176</t>
  </si>
  <si>
    <t>LSNYC18-1873233</t>
  </si>
  <si>
    <t>LSNYC18-1872591</t>
  </si>
  <si>
    <t>LSNYC18-1873053</t>
  </si>
  <si>
    <t>LSNYC18-1873055</t>
  </si>
  <si>
    <t>LSNYC18-1873080</t>
  </si>
  <si>
    <t>LSNYC18-1873110</t>
  </si>
  <si>
    <t>LSNYC18-1872960</t>
  </si>
  <si>
    <t>LSNYC18-1872750</t>
  </si>
  <si>
    <t>LSNYC18-1872781</t>
  </si>
  <si>
    <t>LSNYC18-1872804</t>
  </si>
  <si>
    <t>LSNYC18-1868658</t>
  </si>
  <si>
    <t>LSNYC18-1872614</t>
  </si>
  <si>
    <t>LSNYC18-1872477</t>
  </si>
  <si>
    <t>LSNYC18-1872541</t>
  </si>
  <si>
    <t>LSNYC18-1872560</t>
  </si>
  <si>
    <t>LSNYC18-1872564</t>
  </si>
  <si>
    <t>LSNYC18-1873466</t>
  </si>
  <si>
    <t>LSNYC18-1869598</t>
  </si>
  <si>
    <t>LSNYC18-1869766</t>
  </si>
  <si>
    <t>LSNYC18-1872105</t>
  </si>
  <si>
    <t>LSNYC18-1871493</t>
  </si>
  <si>
    <t>LSNYC18-1871941</t>
  </si>
  <si>
    <t>LSNYC18-1871827</t>
  </si>
  <si>
    <t>LSNYC18-1869623</t>
  </si>
  <si>
    <t>LSNYC18-1871746</t>
  </si>
  <si>
    <t>LSNYC18-1871648</t>
  </si>
  <si>
    <t>LSNYC18-1871662</t>
  </si>
  <si>
    <t>LSNYC18-1871468</t>
  </si>
  <si>
    <t>LSNYC18-1871487</t>
  </si>
  <si>
    <t>LSNYC18-1871513</t>
  </si>
  <si>
    <t>LSNYC18-1871049</t>
  </si>
  <si>
    <t>LSNYC18-1871415</t>
  </si>
  <si>
    <t>LSNYC18-1871901</t>
  </si>
  <si>
    <t>LSNYC18-1871003</t>
  </si>
  <si>
    <t>LSNYC18-1871019</t>
  </si>
  <si>
    <t>LSNYC18-1870882</t>
  </si>
  <si>
    <t>LSNYC18-1870959</t>
  </si>
  <si>
    <t>LSNYC18-1871009</t>
  </si>
  <si>
    <t>LSNYC18-1871015</t>
  </si>
  <si>
    <t>LSNYC18-1871017</t>
  </si>
  <si>
    <t>LSNYC18-1867556</t>
  </si>
  <si>
    <t>LSNYC18-1870788</t>
  </si>
  <si>
    <t>LSNYC18-1870854</t>
  </si>
  <si>
    <t>LSNYC18-1867030</t>
  </si>
  <si>
    <t>LSNYC18-1870554</t>
  </si>
  <si>
    <t>LSNYC18-1870555</t>
  </si>
  <si>
    <t>LSNYC18-1870557</t>
  </si>
  <si>
    <t>LSNYC18-1870560</t>
  </si>
  <si>
    <t>LSNYC18-1870550</t>
  </si>
  <si>
    <t>LSNYC18-1870551</t>
  </si>
  <si>
    <t>LSNYC18-1870355</t>
  </si>
  <si>
    <t>LSNYC18-1870239</t>
  </si>
  <si>
    <t>LSNYC18-1870240</t>
  </si>
  <si>
    <t>LSNYC18-1870082</t>
  </si>
  <si>
    <t>LSNYC18-1870108</t>
  </si>
  <si>
    <t>LSNYC18-1870143</t>
  </si>
  <si>
    <t>LSNYC18-1870168</t>
  </si>
  <si>
    <t>LSNYC18-1867281</t>
  </si>
  <si>
    <t>LSNYC18-1869892</t>
  </si>
  <si>
    <t>LSNYC18-1869440</t>
  </si>
  <si>
    <t>LSNYC18-1869514</t>
  </si>
  <si>
    <t>LSNYC18-1869338</t>
  </si>
  <si>
    <t>LSNYC18-1869396</t>
  </si>
  <si>
    <t>LSNYC18-1869419</t>
  </si>
  <si>
    <t>LSNYC18-1869218</t>
  </si>
  <si>
    <t>LSNYC18-1869233</t>
  </si>
  <si>
    <t>LSNYC18-1869234</t>
  </si>
  <si>
    <t>LSNYC18-1869261</t>
  </si>
  <si>
    <t>LSNYC18-1878918</t>
  </si>
  <si>
    <t>LSNYC18-1878967</t>
  </si>
  <si>
    <t>LSNYC18-1869092</t>
  </si>
  <si>
    <t>LSNYC18-1869104</t>
  </si>
  <si>
    <t>LSNYC18-1869169</t>
  </si>
  <si>
    <t>LSNYC18-1868931</t>
  </si>
  <si>
    <t>LSNYC18-1868972</t>
  </si>
  <si>
    <t>LSNYC18-1868976</t>
  </si>
  <si>
    <t>LSNYC18-1869035</t>
  </si>
  <si>
    <t>LSNYC18-1869041</t>
  </si>
  <si>
    <t>LSNYC18-1869044</t>
  </si>
  <si>
    <t>LSNYC18-1869048</t>
  </si>
  <si>
    <t>LSNYC18-1869050</t>
  </si>
  <si>
    <t>LSNYC18-1869058</t>
  </si>
  <si>
    <t>LSNYC18-1869061</t>
  </si>
  <si>
    <t>LSNYC18-1869065</t>
  </si>
  <si>
    <t>LSNYC18-1868930</t>
  </si>
  <si>
    <t>LSNYC18-1868771</t>
  </si>
  <si>
    <t>LSNYC18-1868782</t>
  </si>
  <si>
    <t>LSNYC18-1868810</t>
  </si>
  <si>
    <t>LSNYC18-1868814</t>
  </si>
  <si>
    <t>LSNYC18-1868859</t>
  </si>
  <si>
    <t>LSNYC18-1868862</t>
  </si>
  <si>
    <t>LSNYC18-1868907</t>
  </si>
  <si>
    <t>LSNYC18-1868648</t>
  </si>
  <si>
    <t>LSNYC18-1868665</t>
  </si>
  <si>
    <t>LSNYC18-1868678</t>
  </si>
  <si>
    <t>LSNYC18-1868697</t>
  </si>
  <si>
    <t>LSNYC18-1868717</t>
  </si>
  <si>
    <t>LSNYC18-1868720</t>
  </si>
  <si>
    <t>LSNYC18-1868736</t>
  </si>
  <si>
    <t>LSNYC18-1868741</t>
  </si>
  <si>
    <t>LSNYC18-1868755</t>
  </si>
  <si>
    <t>LSNYC18-1868513</t>
  </si>
  <si>
    <t>LSNYC18-1868597</t>
  </si>
  <si>
    <t>LSNYC18-1868601</t>
  </si>
  <si>
    <t>LSNYC18-1868609</t>
  </si>
  <si>
    <t>LSNYC18-1868621</t>
  </si>
  <si>
    <t>LSNYC18-1868637</t>
  </si>
  <si>
    <t>LSNYC18-1868639</t>
  </si>
  <si>
    <t>LSNYC18-1868390</t>
  </si>
  <si>
    <t>LSNYC18-1868443</t>
  </si>
  <si>
    <t>LSNYC18-1868479</t>
  </si>
  <si>
    <t>LSNYC18-1868157</t>
  </si>
  <si>
    <t>LSNYC18-1868164</t>
  </si>
  <si>
    <t>LSNYC18-1868185</t>
  </si>
  <si>
    <t>LSNYC18-1868266</t>
  </si>
  <si>
    <t>LSNYC18-1868046</t>
  </si>
  <si>
    <t>LSNYC18-1868135</t>
  </si>
  <si>
    <t>LSNYC18-1867964</t>
  </si>
  <si>
    <t>LSNYC18-1867993</t>
  </si>
  <si>
    <t>LSNYC18-1867875</t>
  </si>
  <si>
    <t>LSNYC18-1867918</t>
  </si>
  <si>
    <t>LSNYC18-1867930</t>
  </si>
  <si>
    <t>LSNYC18-1865036</t>
  </si>
  <si>
    <t>LSNYC18-1867716</t>
  </si>
  <si>
    <t>LSNYC18-1867772</t>
  </si>
  <si>
    <t>LSNYC18-1867546</t>
  </si>
  <si>
    <t>LSNYC18-1867666</t>
  </si>
  <si>
    <t>LSNYC18-1867674</t>
  </si>
  <si>
    <t>LSNYC18-1867707</t>
  </si>
  <si>
    <t>LSNYC18-1867709</t>
  </si>
  <si>
    <t>LSNYC18-1867477</t>
  </si>
  <si>
    <t>LSNYC18-1867483</t>
  </si>
  <si>
    <t>LSNYC18-1867486</t>
  </si>
  <si>
    <t>LSNYC18-1867493</t>
  </si>
  <si>
    <t>LSNYC18-1867496</t>
  </si>
  <si>
    <t>LSNYC18-1867502</t>
  </si>
  <si>
    <t>LSNYC18-1867507</t>
  </si>
  <si>
    <t>LSNYC18-1867518</t>
  </si>
  <si>
    <t>LSNYC18-1867523</t>
  </si>
  <si>
    <t>LSNYC18-1867527</t>
  </si>
  <si>
    <t>LSNYC18-1867538</t>
  </si>
  <si>
    <t>LSNYC18-1867547</t>
  </si>
  <si>
    <t>LSNYC18-1867553</t>
  </si>
  <si>
    <t>LSNYC18-1867562</t>
  </si>
  <si>
    <t>LSNYC18-1867568</t>
  </si>
  <si>
    <t>LSNYC18-1867119</t>
  </si>
  <si>
    <t>LSNYC18-1867135</t>
  </si>
  <si>
    <t>LSNYC18-1867139</t>
  </si>
  <si>
    <t>LSNYC18-1867360</t>
  </si>
  <si>
    <t>LSNYC18-1867373</t>
  </si>
  <si>
    <t>LSNYC18-1867405</t>
  </si>
  <si>
    <t>LSNYC18-1867446</t>
  </si>
  <si>
    <t>LSNYC18-1867455</t>
  </si>
  <si>
    <t>LSNYC18-1867279</t>
  </si>
  <si>
    <t>LSNYC18-1867096</t>
  </si>
  <si>
    <t>LSNYC18-1867104</t>
  </si>
  <si>
    <t>LSNYC18-1867108</t>
  </si>
  <si>
    <t>LSNYC18-1867133</t>
  </si>
  <si>
    <t>LSNYC18-1867206</t>
  </si>
  <si>
    <t>LSNYC18-1867028</t>
  </si>
  <si>
    <t>LSNYC18-1866871</t>
  </si>
  <si>
    <t>LSNYC18-1866879</t>
  </si>
  <si>
    <t>LSNYC18-1866886</t>
  </si>
  <si>
    <t>LSNYC18-1866910</t>
  </si>
  <si>
    <t>LSNYC18-1866914</t>
  </si>
  <si>
    <t>LSNYC18-1866926</t>
  </si>
  <si>
    <t>LSNYC18-1866930</t>
  </si>
  <si>
    <t>LSNYC18-1866637</t>
  </si>
  <si>
    <t>LSNYC18-1866638</t>
  </si>
  <si>
    <t>LSNYC18-1866643</t>
  </si>
  <si>
    <t>LSNYC18-1866673</t>
  </si>
  <si>
    <t>LSNYC18-1866682</t>
  </si>
  <si>
    <t>LSNYC18-1866690</t>
  </si>
  <si>
    <t>LSNYC18-1866721</t>
  </si>
  <si>
    <t>LSNYC18-1866781</t>
  </si>
  <si>
    <t>LSNYC18-1867358</t>
  </si>
  <si>
    <t>LSNYC18-1866547</t>
  </si>
  <si>
    <t>LSNYC18-1866610</t>
  </si>
  <si>
    <t>LSNYC18-1866626</t>
  </si>
  <si>
    <t>LSNYC18-1866507</t>
  </si>
  <si>
    <t>LSNYC18-1866515</t>
  </si>
  <si>
    <t>LSNYC18-1866521</t>
  </si>
  <si>
    <t>LSNYC18-1866033</t>
  </si>
  <si>
    <t>LSNYC18-1865866</t>
  </si>
  <si>
    <t>LSNYC18-1865870</t>
  </si>
  <si>
    <t>LSNYC18-1865874</t>
  </si>
  <si>
    <t>LSNYC18-1865680</t>
  </si>
  <si>
    <t>LSNYC18-1865703</t>
  </si>
  <si>
    <t>LSNYC18-1865747</t>
  </si>
  <si>
    <t>LSNYC18-1865406</t>
  </si>
  <si>
    <t>LSNYC18-1865451</t>
  </si>
  <si>
    <t>LSNYC18-1865504</t>
  </si>
  <si>
    <t>LSNYC18-1865370</t>
  </si>
  <si>
    <t>LSNYC18-1865238</t>
  </si>
  <si>
    <t>LSNYC18-1864935</t>
  </si>
  <si>
    <t>LSNYC18-1864990</t>
  </si>
  <si>
    <t>LSNYC18-1864746</t>
  </si>
  <si>
    <t>LSNYC18-1864647</t>
  </si>
  <si>
    <t>LSNYC18-1864718</t>
  </si>
  <si>
    <t>LSNYC18-1864721</t>
  </si>
  <si>
    <t>LSNYC18-1864534</t>
  </si>
  <si>
    <t>LSNYC18-1864288</t>
  </si>
  <si>
    <t>LSNYC18-1864310</t>
  </si>
  <si>
    <t>LSNYC18-1864169</t>
  </si>
  <si>
    <t>LSNYC18-1863985</t>
  </si>
  <si>
    <t>LSNYC18-1864008</t>
  </si>
  <si>
    <t>LSNYC18-1863766</t>
  </si>
  <si>
    <t>LSNYC18-1863772</t>
  </si>
  <si>
    <t>LSNYC18-1863784</t>
  </si>
  <si>
    <t>LSNYC18-1863793</t>
  </si>
  <si>
    <t>LSNYC18-1863803</t>
  </si>
  <si>
    <t>LSNYC18-1863804</t>
  </si>
  <si>
    <t>LSNYC18-1863822</t>
  </si>
  <si>
    <t>LSNYC18-1863832</t>
  </si>
  <si>
    <t>LSNYC18-1863835</t>
  </si>
  <si>
    <t>LSNYC18-1863859</t>
  </si>
  <si>
    <t>LSNYC18-1863865</t>
  </si>
  <si>
    <t>LSNYC18-1863866</t>
  </si>
  <si>
    <t>LSNYC18-1863871</t>
  </si>
  <si>
    <t>LSNYC18-1863874</t>
  </si>
  <si>
    <t>LSNYC18-1863880</t>
  </si>
  <si>
    <t>LSNYC18-1863882</t>
  </si>
  <si>
    <t>LSNYC18-1863888</t>
  </si>
  <si>
    <t>LSNYC18-1863892</t>
  </si>
  <si>
    <t>LSNYC18-1863893</t>
  </si>
  <si>
    <t>LSNYC18-1863895</t>
  </si>
  <si>
    <t>LSNYC18-1863632</t>
  </si>
  <si>
    <t>LSNYC18-1863683</t>
  </si>
  <si>
    <t>LSNYC18-1863688</t>
  </si>
  <si>
    <t>LSNYC18-1863734</t>
  </si>
  <si>
    <t>LSNYC18-1863514</t>
  </si>
  <si>
    <t>LSNYC18-1863561</t>
  </si>
  <si>
    <t>LSNYC18-1863582</t>
  </si>
  <si>
    <t>LSNYC18-1863585</t>
  </si>
  <si>
    <t>LSNYC18-1863586</t>
  </si>
  <si>
    <t>LSNYC18-1863596</t>
  </si>
  <si>
    <t>LSNYC18-1863349</t>
  </si>
  <si>
    <t>LSNYC18-1863445</t>
  </si>
  <si>
    <t>LSNYC18-1863446</t>
  </si>
  <si>
    <t>LSNYC18-1863502</t>
  </si>
  <si>
    <t>LSNYC17-1851360</t>
  </si>
  <si>
    <t>LSNYC18-1859554</t>
  </si>
  <si>
    <t>LSNYC18-1863262</t>
  </si>
  <si>
    <t>LSNYC18-1862992</t>
  </si>
  <si>
    <t>LSNYC18-1863035</t>
  </si>
  <si>
    <t>LSNYC18-1862880</t>
  </si>
  <si>
    <t>LSNYC18-1862913</t>
  </si>
  <si>
    <t>LSNYC18-1862936</t>
  </si>
  <si>
    <t>LSNYC18-1862939</t>
  </si>
  <si>
    <t>LSNYC18-1862941</t>
  </si>
  <si>
    <t>LSNYC18-1862653</t>
  </si>
  <si>
    <t>LSNYC18-1862665</t>
  </si>
  <si>
    <t>LSNYC18-1863166</t>
  </si>
  <si>
    <t>LSNYC18-1862438</t>
  </si>
  <si>
    <t>LSNYC18-1862464</t>
  </si>
  <si>
    <t>LSNYC18-1862287</t>
  </si>
  <si>
    <t>LSNYC18-1862393</t>
  </si>
  <si>
    <t>LSNYC18-1862395</t>
  </si>
  <si>
    <t>LSNYC18-1862399</t>
  </si>
  <si>
    <t>LSNYC18-1861618</t>
  </si>
  <si>
    <t>LSNYC18-1861640</t>
  </si>
  <si>
    <t>LSNYC18-1861647</t>
  </si>
  <si>
    <t>LSNYC18-1862050</t>
  </si>
  <si>
    <t>LSNYC18-1858565</t>
  </si>
  <si>
    <t>LSNYC18-1861608</t>
  </si>
  <si>
    <t>LSNYC18-1861709</t>
  </si>
  <si>
    <t>LSNYC18-1861520</t>
  </si>
  <si>
    <t>LSNYC18-1861530</t>
  </si>
  <si>
    <t>LSNYC18-1861376</t>
  </si>
  <si>
    <t>LSNYC18-1861380</t>
  </si>
  <si>
    <t>LSNYC18-1861399</t>
  </si>
  <si>
    <t>LSNYC18-1861407</t>
  </si>
  <si>
    <t>LSNYC18-1861462</t>
  </si>
  <si>
    <t>LSNYC18-1863372</t>
  </si>
  <si>
    <t>LSNYC18-1861325</t>
  </si>
  <si>
    <t>LSNYC18-1861334</t>
  </si>
  <si>
    <t>LSNYC18-1861614</t>
  </si>
  <si>
    <t>LSNYC18-1860963</t>
  </si>
  <si>
    <t>LSNYC18-1860861</t>
  </si>
  <si>
    <t>LSNYC18-1860918</t>
  </si>
  <si>
    <t>LSNYC18-1860734</t>
  </si>
  <si>
    <t>LSNYC18-1860786</t>
  </si>
  <si>
    <t>LSNYC18-1860854</t>
  </si>
  <si>
    <t>LSNYC18-1860613</t>
  </si>
  <si>
    <t>LSNYC18-1860643</t>
  </si>
  <si>
    <t>LSNYC18-1860663</t>
  </si>
  <si>
    <t>LSNYC18-1860680</t>
  </si>
  <si>
    <t>LSNYC18-1860481</t>
  </si>
  <si>
    <t>LSNYC18-1860518</t>
  </si>
  <si>
    <t>LSNYC18-1860296</t>
  </si>
  <si>
    <t>LSNYC18-1860414</t>
  </si>
  <si>
    <t>LSNYC18-1860178</t>
  </si>
  <si>
    <t>LSNYC18-1860053</t>
  </si>
  <si>
    <t>LSNYC18-1860101</t>
  </si>
  <si>
    <t>LSNYC18-1857574</t>
  </si>
  <si>
    <t>LSNYC18-1857575</t>
  </si>
  <si>
    <t>LSNYC18-1857576</t>
  </si>
  <si>
    <t>LSNYC18-1859761</t>
  </si>
  <si>
    <t>LSNYC18-1859782</t>
  </si>
  <si>
    <t>LSNYC18-1859811</t>
  </si>
  <si>
    <t>LSNYC18-1859710</t>
  </si>
  <si>
    <t>LSNYC18-1860042</t>
  </si>
  <si>
    <t>LSNYC18-1860046</t>
  </si>
  <si>
    <t>LSNYC18-1859346</t>
  </si>
  <si>
    <t>LSNYC18-1859398</t>
  </si>
  <si>
    <t>LSNYC18-1859534</t>
  </si>
  <si>
    <t>LSNYC18-1859179</t>
  </si>
  <si>
    <t>LSNYC18-1859037</t>
  </si>
  <si>
    <t>LSNYC18-1859051</t>
  </si>
  <si>
    <t>LSNYC18-1859083</t>
  </si>
  <si>
    <t>LSNYC18-1859133</t>
  </si>
  <si>
    <t>LSNYC18-1858859</t>
  </si>
  <si>
    <t>LSNYC18-1858865</t>
  </si>
  <si>
    <t>LSNYC18-1858909</t>
  </si>
  <si>
    <t>LSNYC18-1858995</t>
  </si>
  <si>
    <t>LSNYC18-1859241</t>
  </si>
  <si>
    <t>LSNYC18-1858676</t>
  </si>
  <si>
    <t>LSNYC18-1858684</t>
  </si>
  <si>
    <t>LSNYC18-1858696</t>
  </si>
  <si>
    <t>LSNYC18-1858753</t>
  </si>
  <si>
    <t>LSNYC18-1858214</t>
  </si>
  <si>
    <t>LSNYC18-1858217</t>
  </si>
  <si>
    <t>LSNYC18-1858230</t>
  </si>
  <si>
    <t>LSNYC18-1858233</t>
  </si>
  <si>
    <t>LSNYC18-1858241</t>
  </si>
  <si>
    <t>LSNYC18-1858246</t>
  </si>
  <si>
    <t>LSNYC18-1858248</t>
  </si>
  <si>
    <t>LSNYC18-1858250</t>
  </si>
  <si>
    <t>LSNYC18-1858252</t>
  </si>
  <si>
    <t>LSNYC18-1858254</t>
  </si>
  <si>
    <t>LSNYC18-1858257</t>
  </si>
  <si>
    <t>LSNYC18-1858260</t>
  </si>
  <si>
    <t>LSNYC18-1858521</t>
  </si>
  <si>
    <t>LSNYC18-1858398</t>
  </si>
  <si>
    <t>LSNYC18-1858404</t>
  </si>
  <si>
    <t>LSNYC18-1858405</t>
  </si>
  <si>
    <t>LSNYC18-1858482</t>
  </si>
  <si>
    <t>LSNYC18-1858258</t>
  </si>
  <si>
    <t>LSNYC18-1857989</t>
  </si>
  <si>
    <t>LSNYC18-1857821</t>
  </si>
  <si>
    <t>LSNYC18-1857828</t>
  </si>
  <si>
    <t>LSNYC18-1857832</t>
  </si>
  <si>
    <t>LSNYC18-1857777</t>
  </si>
  <si>
    <t>LSNYC18-1857830</t>
  </si>
  <si>
    <t>LSNYC18-1857573</t>
  </si>
  <si>
    <t>LSNYC18-1857583</t>
  </si>
  <si>
    <t>LSNYC18-1857721</t>
  </si>
  <si>
    <t>LSNYC18-1856912</t>
  </si>
  <si>
    <t>LSNYC18-1857541</t>
  </si>
  <si>
    <t>LSNYC19-1889636</t>
  </si>
  <si>
    <t>LSNYC18-1857328</t>
  </si>
  <si>
    <t>LSNYC17-1853857</t>
  </si>
  <si>
    <t>LSNYC18-1857090</t>
  </si>
  <si>
    <t>LSNYC18-1857097</t>
  </si>
  <si>
    <t>LSNYC18-1856186</t>
  </si>
  <si>
    <t>LSNYC18-1856261</t>
  </si>
  <si>
    <t>LSNYC18-1856264</t>
  </si>
  <si>
    <t>LSNYC18-1856963</t>
  </si>
  <si>
    <t>LSNYC18-1856998</t>
  </si>
  <si>
    <t>LSNYC18-1856851</t>
  </si>
  <si>
    <t>LSNYC18-1856628</t>
  </si>
  <si>
    <t>LSNYC18-1856514</t>
  </si>
  <si>
    <t>LSNYC18-1856545</t>
  </si>
  <si>
    <t>LSNYC18-1856338</t>
  </si>
  <si>
    <t>LSNYC18-1856367</t>
  </si>
  <si>
    <t>LSNYC18-1856250</t>
  </si>
  <si>
    <t>LSNYC18-1856077</t>
  </si>
  <si>
    <t>LSNYC18-1855818</t>
  </si>
  <si>
    <t>LSNYC18-1855706</t>
  </si>
  <si>
    <t>LSNYC18-1855543</t>
  </si>
  <si>
    <t>LSNYC18-1855605</t>
  </si>
  <si>
    <t>LSNYC17-1852725</t>
  </si>
  <si>
    <t>LSNYC17-1853018</t>
  </si>
  <si>
    <t>LSNYC17-1853057</t>
  </si>
  <si>
    <t>LSNYC18-1855379</t>
  </si>
  <si>
    <t>LSNYC18-1855291</t>
  </si>
  <si>
    <t>LSNYC18-1855082</t>
  </si>
  <si>
    <t>LSNYC18-1854936</t>
  </si>
  <si>
    <t>LSNYC17-1854223</t>
  </si>
  <si>
    <t>LSNYC17-1854155</t>
  </si>
  <si>
    <t>LSNYC17-1854178</t>
  </si>
  <si>
    <t>LSNYC17-1854195</t>
  </si>
  <si>
    <t>LSNYC17-1853979</t>
  </si>
  <si>
    <t>LSNYC17-1853985</t>
  </si>
  <si>
    <t>LSNYC17-1854006</t>
  </si>
  <si>
    <t>LSNYC17-1854047</t>
  </si>
  <si>
    <t>LSNYC17-1853845</t>
  </si>
  <si>
    <t>LSNYC17-1854036</t>
  </si>
  <si>
    <t>LSNYC17-1853528</t>
  </si>
  <si>
    <t>LSNYC17-1853162</t>
  </si>
  <si>
    <t>LSNYC17-1853174</t>
  </si>
  <si>
    <t>LSNYC17-1852481</t>
  </si>
  <si>
    <t>LSNYC17-1852495</t>
  </si>
  <si>
    <t>LSNYC17-1852559</t>
  </si>
  <si>
    <t>LSNYC17-1852451</t>
  </si>
  <si>
    <t>LSNYC17-1853173</t>
  </si>
  <si>
    <t>LSNYC17-1852585</t>
  </si>
  <si>
    <t>LSNYC17-1853608</t>
  </si>
  <si>
    <t>LSNYC17-1852014</t>
  </si>
  <si>
    <t>LSNYC17-1852061</t>
  </si>
  <si>
    <t>LSNYC17-1852062</t>
  </si>
  <si>
    <t>LSNYC17-1852073</t>
  </si>
  <si>
    <t>LSNYC17-1852005</t>
  </si>
  <si>
    <t>LSNYC17-1851853</t>
  </si>
  <si>
    <t>LSNYC17-1851854</t>
  </si>
  <si>
    <t>LSNYC17-1851855</t>
  </si>
  <si>
    <t>LSNYC17-1851617</t>
  </si>
  <si>
    <t>LSNYC17-1851618</t>
  </si>
  <si>
    <t>LSNYC17-1851452</t>
  </si>
  <si>
    <t>LSNYC17-1851527</t>
  </si>
  <si>
    <t>LSNYC17-1851338</t>
  </si>
  <si>
    <t>LSNYC17-1851340</t>
  </si>
  <si>
    <t>LSNYC17-1851269</t>
  </si>
  <si>
    <t>LSNYC17-1851272</t>
  </si>
  <si>
    <t>LSNYC17-1849352</t>
  </si>
  <si>
    <t>LSNYC17-0827705</t>
  </si>
  <si>
    <t>LSNYC17-1850788</t>
  </si>
  <si>
    <t>LSNYC17-1850659</t>
  </si>
  <si>
    <t>LSNYC17-1850691</t>
  </si>
  <si>
    <t>LSNYC17-1848890</t>
  </si>
  <si>
    <t>LSNYC17-1850486</t>
  </si>
  <si>
    <t>LSNYC17-1850295</t>
  </si>
  <si>
    <t>LSNYC17-1850299</t>
  </si>
  <si>
    <t>LSNYC17-1850235</t>
  </si>
  <si>
    <t>LSNYC17-1850246</t>
  </si>
  <si>
    <t>LSNYC17-1850026</t>
  </si>
  <si>
    <t>LSNYC17-1847378</t>
  </si>
  <si>
    <t>LSNYC17-1849685</t>
  </si>
  <si>
    <t>LSNYC17-1849635</t>
  </si>
  <si>
    <t>LSNYC17-1851141</t>
  </si>
  <si>
    <t>LSNYC17-1851169</t>
  </si>
  <si>
    <t>LSNYC17-1849293</t>
  </si>
  <si>
    <t>LSNYC17-1849171</t>
  </si>
  <si>
    <t>LSNYC17-1848676</t>
  </si>
  <si>
    <t>LSNYC17-1848994</t>
  </si>
  <si>
    <t>LSNYC17-1844741</t>
  </si>
  <si>
    <t>LSNYC17-1848726</t>
  </si>
  <si>
    <t>LSNYC17-1848446</t>
  </si>
  <si>
    <t>LSNYC17-1848376</t>
  </si>
  <si>
    <t>LSNYC17-1848142</t>
  </si>
  <si>
    <t>LSNYC17-1848150</t>
  </si>
  <si>
    <t>LSNYC17-1848182</t>
  </si>
  <si>
    <t>LSNYC17-1847965</t>
  </si>
  <si>
    <t>LSNYC17-1847472</t>
  </si>
  <si>
    <t>LSNYC17-1847503</t>
  </si>
  <si>
    <t>LSNYC17-1847549</t>
  </si>
  <si>
    <t>LSNYC17-1847396</t>
  </si>
  <si>
    <t>LSNYC17-1846950</t>
  </si>
  <si>
    <t>LSNYC17-1846830</t>
  </si>
  <si>
    <t>LSNYC17-1846559</t>
  </si>
  <si>
    <t>LSNYC17-1846422</t>
  </si>
  <si>
    <t>LSNYC17-1846496</t>
  </si>
  <si>
    <t>LSNYC17-1846371</t>
  </si>
  <si>
    <t>LSNYC17-1846376</t>
  </si>
  <si>
    <t>LSNYC17-1845051</t>
  </si>
  <si>
    <t>LSNYC17-1846186</t>
  </si>
  <si>
    <t>LSNYC17-1846134</t>
  </si>
  <si>
    <t>LSNYC17-1846135</t>
  </si>
  <si>
    <t>LSNYC17-1845877</t>
  </si>
  <si>
    <t>LSNYC17-1845702</t>
  </si>
  <si>
    <t>LSNYC17-1845509</t>
  </si>
  <si>
    <t>LSNYC17-1845558</t>
  </si>
  <si>
    <t>LSNYC17-1845322</t>
  </si>
  <si>
    <t>LSNYC17-1845156</t>
  </si>
  <si>
    <t>LSNYC17-1845017</t>
  </si>
  <si>
    <t>LSNYC17-1845531</t>
  </si>
  <si>
    <t>LSNYC17-1844898</t>
  </si>
  <si>
    <t>LSNYC17-1844510</t>
  </si>
  <si>
    <t>LSNYC17-1844486</t>
  </si>
  <si>
    <t>LSNYC17-1844163</t>
  </si>
  <si>
    <t>LSNYC17-1843218</t>
  </si>
  <si>
    <t>LSNYC17-1843235</t>
  </si>
  <si>
    <t>LSNYC17-1842737</t>
  </si>
  <si>
    <t>LSNYC17-1842744</t>
  </si>
  <si>
    <t>LSNYC17-1842579</t>
  </si>
  <si>
    <t>LSNYC17-1842600</t>
  </si>
  <si>
    <t>LSNYC17-1842631</t>
  </si>
  <si>
    <t>LSNYC17-1842643</t>
  </si>
  <si>
    <t>LSNYC17-1856260</t>
  </si>
  <si>
    <t>LSNYC17-1841309</t>
  </si>
  <si>
    <t>LSNYC17-1840689</t>
  </si>
  <si>
    <t>LSNYC17-1839168</t>
  </si>
  <si>
    <t>LSNYC17-1840274</t>
  </si>
  <si>
    <t>LSNYC17-1839963</t>
  </si>
  <si>
    <t>LSNYC17-1839996</t>
  </si>
  <si>
    <t>LSNYC17-1840039</t>
  </si>
  <si>
    <t>LSNYC17-1839621</t>
  </si>
  <si>
    <t>LSNYC17-1839379</t>
  </si>
  <si>
    <t>LSNYC17-1839286</t>
  </si>
  <si>
    <t>LSNYC17-1838717</t>
  </si>
  <si>
    <t>LSNYC17-1838730</t>
  </si>
  <si>
    <t>LSNYC17-1837882</t>
  </si>
  <si>
    <t>LSNYC17-1837667</t>
  </si>
  <si>
    <t>LSNYC17-1837504</t>
  </si>
  <si>
    <t>LSNYC17-1837539</t>
  </si>
  <si>
    <t>LSNYC17-1837006</t>
  </si>
  <si>
    <t>LSNYC17-1836689</t>
  </si>
  <si>
    <t>LSNYC17-1836339</t>
  </si>
  <si>
    <t>LSNYC17-1834992</t>
  </si>
  <si>
    <t>LSNYC17-1835752</t>
  </si>
  <si>
    <t>LSNYC17-1835785</t>
  </si>
  <si>
    <t>LSNYC17-1835445</t>
  </si>
  <si>
    <t>LSNYC17-1835510</t>
  </si>
  <si>
    <t>LSNYC17-1835521</t>
  </si>
  <si>
    <t>LSNYC17-1835315</t>
  </si>
  <si>
    <t>LSNYC17-1834807</t>
  </si>
  <si>
    <t>LSNYC17-1834727</t>
  </si>
  <si>
    <t>LSNYC17-1834775</t>
  </si>
  <si>
    <t>LSNYC17-1834651</t>
  </si>
  <si>
    <t>LSNYC17-1833516</t>
  </si>
  <si>
    <t>LSNYC17-1833321</t>
  </si>
  <si>
    <t>LSNYC17-0832847</t>
  </si>
  <si>
    <t>LSNYC17-0831971</t>
  </si>
  <si>
    <t>LSNYC17-0830473</t>
  </si>
  <si>
    <t>LSNYC17-0831750</t>
  </si>
  <si>
    <t>LSNYC17-0830466</t>
  </si>
  <si>
    <t>LSNYC17-0831317</t>
  </si>
  <si>
    <t>LSNYC17-0828965</t>
  </si>
  <si>
    <t>LSNYC17-0830888</t>
  </si>
  <si>
    <t>LSNYC17-0830460</t>
  </si>
  <si>
    <t>LSNYC17-0829758</t>
  </si>
  <si>
    <t>LSNYC17-0829100</t>
  </si>
  <si>
    <t>LSNYC17-0828115</t>
  </si>
  <si>
    <t>LSNYC17-0827997</t>
  </si>
  <si>
    <t>LSNYC17-0828074</t>
  </si>
  <si>
    <t>LSNYC17-0827203</t>
  </si>
  <si>
    <t>LSNYC17-0826134</t>
  </si>
  <si>
    <t>LSNYC17-0825325</t>
  </si>
  <si>
    <t>LSNYC17-0824742</t>
  </si>
  <si>
    <t>LSNYC17-0824366</t>
  </si>
  <si>
    <t>LSNYC17-0824374</t>
  </si>
  <si>
    <t>LSNYC17-0824182</t>
  </si>
  <si>
    <t>LSNYC16-0823353</t>
  </si>
  <si>
    <t>LSNYC16-0822528</t>
  </si>
  <si>
    <t>LSNYC16-0821375</t>
  </si>
  <si>
    <t>LSNYC16-0821475</t>
  </si>
  <si>
    <t>LSNYC16-0821879</t>
  </si>
  <si>
    <t>LSNYC16-0821553</t>
  </si>
  <si>
    <t>LSNYC16-0821055</t>
  </si>
  <si>
    <t>LSNYC16-0819697</t>
  </si>
  <si>
    <t>LSNYC16-0819491</t>
  </si>
  <si>
    <t>LSNYC16-0819558</t>
  </si>
  <si>
    <t>LSNYC16-0819585</t>
  </si>
  <si>
    <t>LSNYC16-0819254</t>
  </si>
  <si>
    <t>LSNYC16-0817419</t>
  </si>
  <si>
    <t>LSNYC16-0815289</t>
  </si>
  <si>
    <t>LSNYC16-0814467</t>
  </si>
  <si>
    <t>LSNYC16-0813689</t>
  </si>
  <si>
    <t>LSNYC16-0811496</t>
  </si>
  <si>
    <t>LSNYC16-0812450</t>
  </si>
  <si>
    <t>LSNYC16-0810288</t>
  </si>
  <si>
    <t>LSNYC16-0809706</t>
  </si>
  <si>
    <t>LSNYC16-0808634</t>
  </si>
  <si>
    <t>LSNYC16-0806971</t>
  </si>
  <si>
    <t>LSNYC16-0797867</t>
  </si>
  <si>
    <t>LSNYC15-0793862</t>
  </si>
  <si>
    <t>LSNYC15-0790424</t>
  </si>
  <si>
    <t>LSNYC15-0785039</t>
  </si>
  <si>
    <t>LSNYC15-0787488</t>
  </si>
  <si>
    <t>LSNYC15-0781442</t>
  </si>
  <si>
    <t>LSNYC15-0781443</t>
  </si>
  <si>
    <t>LSNYC15-0780000</t>
  </si>
  <si>
    <t>LSNYC15-0777569</t>
  </si>
  <si>
    <t>LSNYC15-0775726</t>
  </si>
  <si>
    <t>LSNYC15-0774991</t>
  </si>
  <si>
    <t>LSNYC15-0775166</t>
  </si>
  <si>
    <t>LSNYC15-0771215</t>
  </si>
  <si>
    <t>LSNYC15-0771204</t>
  </si>
  <si>
    <t>LSNYC15-0770088</t>
  </si>
  <si>
    <t>LSNYC14-0763592</t>
  </si>
  <si>
    <t>LSNYC14-0765383</t>
  </si>
  <si>
    <t>LSNYC14-0768119</t>
  </si>
  <si>
    <t>LSNYC14-0768129</t>
  </si>
  <si>
    <t>LSNYC14-0754603</t>
  </si>
  <si>
    <t>LSNYC14-0749345</t>
  </si>
  <si>
    <t>LSNYC13-0732424</t>
  </si>
  <si>
    <t>a</t>
  </si>
  <si>
    <t>v</t>
  </si>
  <si>
    <t>o</t>
  </si>
  <si>
    <t>e</t>
  </si>
  <si>
    <t>u</t>
  </si>
  <si>
    <t>d</t>
  </si>
  <si>
    <t>h</t>
  </si>
  <si>
    <t>n</t>
  </si>
  <si>
    <t>p</t>
  </si>
  <si>
    <t>g</t>
  </si>
  <si>
    <t>k</t>
  </si>
  <si>
    <t>l</t>
  </si>
  <si>
    <t>c</t>
  </si>
  <si>
    <t>z</t>
  </si>
  <si>
    <t>r</t>
  </si>
  <si>
    <t>j</t>
  </si>
  <si>
    <t>b</t>
  </si>
  <si>
    <t>y</t>
  </si>
  <si>
    <t>i</t>
  </si>
  <si>
    <t>m</t>
  </si>
  <si>
    <t>s</t>
  </si>
  <si>
    <t>w</t>
  </si>
  <si>
    <t>x</t>
  </si>
  <si>
    <t>t</t>
  </si>
  <si>
    <t>q</t>
  </si>
  <si>
    <t>A</t>
  </si>
  <si>
    <t>L</t>
  </si>
  <si>
    <t>O</t>
  </si>
  <si>
    <t>2007</t>
  </si>
  <si>
    <t>2003</t>
  </si>
  <si>
    <t>1968</t>
  </si>
  <si>
    <t>1980</t>
  </si>
  <si>
    <t>1948</t>
  </si>
  <si>
    <t>1977</t>
  </si>
  <si>
    <t>1966</t>
  </si>
  <si>
    <t>1967</t>
  </si>
  <si>
    <t>1998</t>
  </si>
  <si>
    <t>2017</t>
  </si>
  <si>
    <t>2002</t>
  </si>
  <si>
    <t>2004</t>
  </si>
  <si>
    <t>1992</t>
  </si>
  <si>
    <t>1970</t>
  </si>
  <si>
    <t>2000</t>
  </si>
  <si>
    <t>1950</t>
  </si>
  <si>
    <t>1953</t>
  </si>
  <si>
    <t>1937</t>
  </si>
  <si>
    <t>1994</t>
  </si>
  <si>
    <t>1988</t>
  </si>
  <si>
    <t>1956</t>
  </si>
  <si>
    <t>1961</t>
  </si>
  <si>
    <t>1984</t>
  </si>
  <si>
    <t>1993</t>
  </si>
  <si>
    <t>1973</t>
  </si>
  <si>
    <t>1982</t>
  </si>
  <si>
    <t>2014</t>
  </si>
  <si>
    <t>2010</t>
  </si>
  <si>
    <t>2013</t>
  </si>
  <si>
    <t>1991</t>
  </si>
  <si>
    <t>1978</t>
  </si>
  <si>
    <t>1989</t>
  </si>
  <si>
    <t>2009</t>
  </si>
  <si>
    <t>1957</t>
  </si>
  <si>
    <t>1983</t>
  </si>
  <si>
    <t>2015</t>
  </si>
  <si>
    <t>1965</t>
  </si>
  <si>
    <t>1996</t>
  </si>
  <si>
    <t>2011</t>
  </si>
  <si>
    <t>2008</t>
  </si>
  <si>
    <t>1969</t>
  </si>
  <si>
    <t>2001</t>
  </si>
  <si>
    <t>1985</t>
  </si>
  <si>
    <t>1999</t>
  </si>
  <si>
    <t>1972</t>
  </si>
  <si>
    <t>1958</t>
  </si>
  <si>
    <t>1997</t>
  </si>
  <si>
    <t>2016</t>
  </si>
  <si>
    <t>1959</t>
  </si>
  <si>
    <t>2012</t>
  </si>
  <si>
    <t>1990</t>
  </si>
  <si>
    <t>1960</t>
  </si>
  <si>
    <t>1987</t>
  </si>
  <si>
    <t>1963</t>
  </si>
  <si>
    <t>1986</t>
  </si>
  <si>
    <t>1979</t>
  </si>
  <si>
    <t>1944</t>
  </si>
  <si>
    <t>1974</t>
  </si>
  <si>
    <t>1981</t>
  </si>
  <si>
    <t>1954</t>
  </si>
  <si>
    <t>1962</t>
  </si>
  <si>
    <t>1949</t>
  </si>
  <si>
    <t>2005</t>
  </si>
  <si>
    <t>1946</t>
  </si>
  <si>
    <t>1952</t>
  </si>
  <si>
    <t>2006</t>
  </si>
  <si>
    <t>1971</t>
  </si>
  <si>
    <t>1976</t>
  </si>
  <si>
    <t>1995</t>
  </si>
  <si>
    <t>1940</t>
  </si>
  <si>
    <t>1975</t>
  </si>
  <si>
    <t>1955</t>
  </si>
  <si>
    <t>1935</t>
  </si>
  <si>
    <t>1964</t>
  </si>
  <si>
    <t>1942</t>
  </si>
  <si>
    <t>1951</t>
  </si>
  <si>
    <t>2018</t>
  </si>
  <si>
    <t>1936</t>
  </si>
  <si>
    <t>1939</t>
  </si>
  <si>
    <t>1928</t>
  </si>
  <si>
    <t>1929</t>
  </si>
  <si>
    <t>1931</t>
  </si>
  <si>
    <t>1947</t>
  </si>
  <si>
    <t>1938</t>
  </si>
  <si>
    <t>1945</t>
  </si>
  <si>
    <t>Male</t>
  </si>
  <si>
    <t>Female</t>
  </si>
  <si>
    <t>Other</t>
  </si>
  <si>
    <t>El Salvador</t>
  </si>
  <si>
    <t>Guatemala</t>
  </si>
  <si>
    <t>Mexico</t>
  </si>
  <si>
    <t>Honduras</t>
  </si>
  <si>
    <t>Bangladesh</t>
  </si>
  <si>
    <t>Gambia</t>
  </si>
  <si>
    <t>Jamaica</t>
  </si>
  <si>
    <t>Colombia</t>
  </si>
  <si>
    <t>Guyana</t>
  </si>
  <si>
    <t>Dominican Republic</t>
  </si>
  <si>
    <t>Barbados</t>
  </si>
  <si>
    <t>Ghana</t>
  </si>
  <si>
    <t>Afghanistan</t>
  </si>
  <si>
    <t>Yemen</t>
  </si>
  <si>
    <t>Cuba</t>
  </si>
  <si>
    <t>Russia</t>
  </si>
  <si>
    <t>Belarus</t>
  </si>
  <si>
    <t>Venezuela</t>
  </si>
  <si>
    <t>Jordan</t>
  </si>
  <si>
    <t>Egypt</t>
  </si>
  <si>
    <t>Kazakhstan</t>
  </si>
  <si>
    <t>Ecuador</t>
  </si>
  <si>
    <t>United States of America</t>
  </si>
  <si>
    <t>Italy</t>
  </si>
  <si>
    <t>China</t>
  </si>
  <si>
    <t>Haiti</t>
  </si>
  <si>
    <t>Brazil</t>
  </si>
  <si>
    <t>Indonesia</t>
  </si>
  <si>
    <t>United Kingdom</t>
  </si>
  <si>
    <t>Cote d'Ivoire (Ivory Coast)</t>
  </si>
  <si>
    <t>Nigeria</t>
  </si>
  <si>
    <t>Belize</t>
  </si>
  <si>
    <t>Poland</t>
  </si>
  <si>
    <t>Dominica</t>
  </si>
  <si>
    <t>Mali</t>
  </si>
  <si>
    <t>St Lucia</t>
  </si>
  <si>
    <t>Nicaragua</t>
  </si>
  <si>
    <t>Philippines</t>
  </si>
  <si>
    <t>Chile</t>
  </si>
  <si>
    <t>Greece</t>
  </si>
  <si>
    <t>Korea (South)</t>
  </si>
  <si>
    <t>Turkey</t>
  </si>
  <si>
    <t>Liberia</t>
  </si>
  <si>
    <t>Canada</t>
  </si>
  <si>
    <t>Georgia</t>
  </si>
  <si>
    <t>Uruguay</t>
  </si>
  <si>
    <t>Peru</t>
  </si>
  <si>
    <t>Costa Rica</t>
  </si>
  <si>
    <t>Burkina Faso</t>
  </si>
  <si>
    <t>South Korea</t>
  </si>
  <si>
    <t>Guinea</t>
  </si>
  <si>
    <t>Trinidad &amp; Tobago</t>
  </si>
  <si>
    <t>Antigua and Barbuda</t>
  </si>
  <si>
    <t>Kenya</t>
  </si>
  <si>
    <t>Romania</t>
  </si>
  <si>
    <t>Saint Kitts and Nevis</t>
  </si>
  <si>
    <t>Lithuania</t>
  </si>
  <si>
    <t>Mauritania</t>
  </si>
  <si>
    <t>Saudi Arabia</t>
  </si>
  <si>
    <t>Pakistan</t>
  </si>
  <si>
    <t>Uzbekistan</t>
  </si>
  <si>
    <t>Morocco</t>
  </si>
  <si>
    <t>Saint Vincent and the Grenadines</t>
  </si>
  <si>
    <t>Ethiopia</t>
  </si>
  <si>
    <t>Chad</t>
  </si>
  <si>
    <t>Trinidad and Tobago</t>
  </si>
  <si>
    <t>Ukraine</t>
  </si>
  <si>
    <t>India</t>
  </si>
  <si>
    <t>Niger</t>
  </si>
  <si>
    <t>Panama</t>
  </si>
  <si>
    <t>Cape Verde</t>
  </si>
  <si>
    <t>Algeria</t>
  </si>
  <si>
    <t>Argentina</t>
  </si>
  <si>
    <t>USSR (former)</t>
  </si>
  <si>
    <t>Zambia</t>
  </si>
  <si>
    <t>Netherlands Antilles</t>
  </si>
  <si>
    <t>Iran</t>
  </si>
  <si>
    <t>Suriname</t>
  </si>
  <si>
    <t>Bolivia</t>
  </si>
  <si>
    <t>St. Maartin</t>
  </si>
  <si>
    <t>Cameroon</t>
  </si>
  <si>
    <t>Montenegro</t>
  </si>
  <si>
    <t>Sudan</t>
  </si>
  <si>
    <t>Congo</t>
  </si>
  <si>
    <t>Angola</t>
  </si>
  <si>
    <t>South Africa</t>
  </si>
  <si>
    <t>Grenada</t>
  </si>
  <si>
    <t>Serbia</t>
  </si>
  <si>
    <t>Equatorial Guinea</t>
  </si>
  <si>
    <t>Albania</t>
  </si>
  <si>
    <t>Senegal</t>
  </si>
  <si>
    <t>Saint Lucia</t>
  </si>
  <si>
    <t>Burundi</t>
  </si>
  <si>
    <t>Croatia (Hrvatska)</t>
  </si>
  <si>
    <t>Turkmenistan</t>
  </si>
  <si>
    <t>Spain</t>
  </si>
  <si>
    <t>France</t>
  </si>
  <si>
    <t>New York</t>
  </si>
  <si>
    <t>Queens</t>
  </si>
  <si>
    <t>Bronx</t>
  </si>
  <si>
    <t>Kings</t>
  </si>
  <si>
    <t>Burlington</t>
  </si>
  <si>
    <t>Richmond</t>
  </si>
  <si>
    <t>Suffolk</t>
  </si>
  <si>
    <t>westchester</t>
  </si>
  <si>
    <t>Yonkers</t>
  </si>
  <si>
    <t>Essex</t>
  </si>
  <si>
    <t>Nassau</t>
  </si>
  <si>
    <t>New York, New York</t>
  </si>
  <si>
    <t>Jersey City</t>
  </si>
  <si>
    <t>Bronx, Bronx</t>
  </si>
  <si>
    <t>Ulster</t>
  </si>
  <si>
    <t>Middlesex</t>
  </si>
  <si>
    <t>Luzerne</t>
  </si>
  <si>
    <t>erie</t>
  </si>
  <si>
    <t>Spanish</t>
  </si>
  <si>
    <t>English</t>
  </si>
  <si>
    <t>Bengali</t>
  </si>
  <si>
    <t>Russian</t>
  </si>
  <si>
    <t>Arabic</t>
  </si>
  <si>
    <t>French</t>
  </si>
  <si>
    <t>Konjobal</t>
  </si>
  <si>
    <t>Tagalog</t>
  </si>
  <si>
    <t>Italian</t>
  </si>
  <si>
    <t>Mandarin</t>
  </si>
  <si>
    <t>Chinese/Mandarin</t>
  </si>
  <si>
    <t>Polish</t>
  </si>
  <si>
    <t>Korean</t>
  </si>
  <si>
    <t>Turkish</t>
  </si>
  <si>
    <t>Zapotec</t>
  </si>
  <si>
    <t>Rumanian</t>
  </si>
  <si>
    <t>Portuguese</t>
  </si>
  <si>
    <t>Urdu</t>
  </si>
  <si>
    <t>Creole</t>
  </si>
  <si>
    <t>Ukrainian</t>
  </si>
  <si>
    <t>Cantonese</t>
  </si>
  <si>
    <t>Hindi</t>
  </si>
  <si>
    <t>Albanian</t>
  </si>
  <si>
    <t>French Creole</t>
  </si>
  <si>
    <t>Finnish</t>
  </si>
  <si>
    <t>Croatian</t>
  </si>
  <si>
    <t>$24,700.00</t>
  </si>
  <si>
    <t>$12,000.00</t>
  </si>
  <si>
    <t>$8,840.00</t>
  </si>
  <si>
    <t>$7,200.00</t>
  </si>
  <si>
    <t>$3,600.00</t>
  </si>
  <si>
    <t>$0.00</t>
  </si>
  <si>
    <t>$14,040.00</t>
  </si>
  <si>
    <t>$13,000.00</t>
  </si>
  <si>
    <t>$9,252.00</t>
  </si>
  <si>
    <t>$10,000.00</t>
  </si>
  <si>
    <t>$2,160.00</t>
  </si>
  <si>
    <t>$10,400.00</t>
  </si>
  <si>
    <t>$7,248.00</t>
  </si>
  <si>
    <t>$12,513.00</t>
  </si>
  <si>
    <t>$26,400.00</t>
  </si>
  <si>
    <t>$21,000.00</t>
  </si>
  <si>
    <t>$20,000.00</t>
  </si>
  <si>
    <t>$18,200.00</t>
  </si>
  <si>
    <t>$9,000.00</t>
  </si>
  <si>
    <t>$16,900.00</t>
  </si>
  <si>
    <t>$20,800.00</t>
  </si>
  <si>
    <t>$4,888.00</t>
  </si>
  <si>
    <t>$18,000.00</t>
  </si>
  <si>
    <t>$50,000.00</t>
  </si>
  <si>
    <t>$47,000.00</t>
  </si>
  <si>
    <t>$35,000.00</t>
  </si>
  <si>
    <t>$23,400.00</t>
  </si>
  <si>
    <t>$13,440.00</t>
  </si>
  <si>
    <t>$24,000.00</t>
  </si>
  <si>
    <t>$52,000.00</t>
  </si>
  <si>
    <t>$15,600.00</t>
  </si>
  <si>
    <t>$30,000.00</t>
  </si>
  <si>
    <t>$360,000.00</t>
  </si>
  <si>
    <t>$6,000.00</t>
  </si>
  <si>
    <t>$11,068.80</t>
  </si>
  <si>
    <t>$18,600.00</t>
  </si>
  <si>
    <t>$15,200.00</t>
  </si>
  <si>
    <t>$13,500.00</t>
  </si>
  <si>
    <t>$19,200.00</t>
  </si>
  <si>
    <t>$36,400.00</t>
  </si>
  <si>
    <t>$19,500.00</t>
  </si>
  <si>
    <t>$17,680.00</t>
  </si>
  <si>
    <t>$33,800.00</t>
  </si>
  <si>
    <t>$21,840.00</t>
  </si>
  <si>
    <t>$14,560.00</t>
  </si>
  <si>
    <t>$28,600.00</t>
  </si>
  <si>
    <t>$40,000.00</t>
  </si>
  <si>
    <t>$4,800.00</t>
  </si>
  <si>
    <t>$540.00</t>
  </si>
  <si>
    <t>$14,400.00</t>
  </si>
  <si>
    <t>$5,200.00</t>
  </si>
  <si>
    <t>$31,200.00</t>
  </si>
  <si>
    <t>$41,600.00</t>
  </si>
  <si>
    <t>$17,868.00</t>
  </si>
  <si>
    <t>$3,480.00</t>
  </si>
  <si>
    <t>$8,400.00</t>
  </si>
  <si>
    <t>$39,520.00</t>
  </si>
  <si>
    <t>$1,260.00</t>
  </si>
  <si>
    <t>$21,900.00</t>
  </si>
  <si>
    <t>$22,000.00</t>
  </si>
  <si>
    <t>$1,200.00</t>
  </si>
  <si>
    <t>$26,000.00</t>
  </si>
  <si>
    <t>$4,380.00</t>
  </si>
  <si>
    <t>$9,240.00</t>
  </si>
  <si>
    <t>$60,000.00</t>
  </si>
  <si>
    <t>$14,892.00</t>
  </si>
  <si>
    <t>$8,320.00</t>
  </si>
  <si>
    <t>$17,108.00</t>
  </si>
  <si>
    <t>$24,440.00</t>
  </si>
  <si>
    <t>$3,300.00</t>
  </si>
  <si>
    <t>$11,000.00</t>
  </si>
  <si>
    <t>$16,524.00</t>
  </si>
  <si>
    <t>$12,498.24</t>
  </si>
  <si>
    <t>$17,148.00</t>
  </si>
  <si>
    <t>$5,880.00</t>
  </si>
  <si>
    <t>$1,548.00</t>
  </si>
  <si>
    <t>$9,600.00</t>
  </si>
  <si>
    <t>$47,736.00</t>
  </si>
  <si>
    <t>$7,800.00</t>
  </si>
  <si>
    <t>$77,600.00</t>
  </si>
  <si>
    <t>$4,160.00</t>
  </si>
  <si>
    <t>$15,156.00</t>
  </si>
  <si>
    <t>$5,000.00</t>
  </si>
  <si>
    <t>$9,360.00</t>
  </si>
  <si>
    <t>$20,580.00</t>
  </si>
  <si>
    <t>$26,624.00</t>
  </si>
  <si>
    <t>$29,328.00</t>
  </si>
  <si>
    <t>$8,016.00</t>
  </si>
  <si>
    <t>$46,800.00</t>
  </si>
  <si>
    <t>$12,480.00</t>
  </si>
  <si>
    <t>$70,000.00</t>
  </si>
  <si>
    <t>$29,120.00</t>
  </si>
  <si>
    <t>$4,500.00</t>
  </si>
  <si>
    <t>$20,300.00</t>
  </si>
  <si>
    <t>$2,040.00</t>
  </si>
  <si>
    <t>$600.00</t>
  </si>
  <si>
    <t>$9,100.00</t>
  </si>
  <si>
    <t>$12,948.00</t>
  </si>
  <si>
    <t>$10,848.00</t>
  </si>
  <si>
    <t>$9,300.00</t>
  </si>
  <si>
    <t>$28,000.00</t>
  </si>
  <si>
    <t>$45,200.00</t>
  </si>
  <si>
    <t>$25,200.00</t>
  </si>
  <si>
    <t>$16,800.00</t>
  </si>
  <si>
    <t>$42,512.00</t>
  </si>
  <si>
    <t>$20,400.00</t>
  </si>
  <si>
    <t>$10,800.00</t>
  </si>
  <si>
    <t>$23,120.00</t>
  </si>
  <si>
    <t>$22,672.00</t>
  </si>
  <si>
    <t>$7,180.00</t>
  </si>
  <si>
    <t>$45,240.00</t>
  </si>
  <si>
    <t>$30,800.00</t>
  </si>
  <si>
    <t>$86,580.00</t>
  </si>
  <si>
    <t>$6,360.00</t>
  </si>
  <si>
    <t>$8,820.00</t>
  </si>
  <si>
    <t>$21,168.00</t>
  </si>
  <si>
    <t>$13,162.00</t>
  </si>
  <si>
    <t>$53,000.00</t>
  </si>
  <si>
    <t>$39,600.00</t>
  </si>
  <si>
    <t>$10,284.00</t>
  </si>
  <si>
    <t>$20,200.00</t>
  </si>
  <si>
    <t>$16,000.00</t>
  </si>
  <si>
    <t>$25,000.00</t>
  </si>
  <si>
    <t>$5,350.00</t>
  </si>
  <si>
    <t>$6,672.00</t>
  </si>
  <si>
    <t>$11,700.00</t>
  </si>
  <si>
    <t>$100.00</t>
  </si>
  <si>
    <t>$4,200.00</t>
  </si>
  <si>
    <t>$25,324.00</t>
  </si>
  <si>
    <t>$16,640.00</t>
  </si>
  <si>
    <t>$3,900.00</t>
  </si>
  <si>
    <t>$35,256.00</t>
  </si>
  <si>
    <t>$1,000.00</t>
  </si>
  <si>
    <t>$17,576.00</t>
  </si>
  <si>
    <t>$10,512.00</t>
  </si>
  <si>
    <t>$200.00</t>
  </si>
  <si>
    <t>$30,512.00</t>
  </si>
  <si>
    <t>$2,400.00</t>
  </si>
  <si>
    <t>$1,250.00</t>
  </si>
  <si>
    <t>$32,000.00</t>
  </si>
  <si>
    <t>$4,512.00</t>
  </si>
  <si>
    <t>$8,008.00</t>
  </si>
  <si>
    <t>$28,400.00</t>
  </si>
  <si>
    <t>$18,200.04</t>
  </si>
  <si>
    <t>$39,760.00</t>
  </si>
  <si>
    <t>$4,160.04</t>
  </si>
  <si>
    <t>$8,000.00</t>
  </si>
  <si>
    <t>$48,000.00</t>
  </si>
  <si>
    <t>$35,996.04</t>
  </si>
  <si>
    <t>$44,200.08</t>
  </si>
  <si>
    <t>$28,800.00</t>
  </si>
  <si>
    <t>$24,024.00</t>
  </si>
  <si>
    <t>$29,692.00</t>
  </si>
  <si>
    <t>$11,612.90</t>
  </si>
  <si>
    <t>$43,226.00</t>
  </si>
  <si>
    <t>$31,928.00</t>
  </si>
  <si>
    <t>$44,076.00</t>
  </si>
  <si>
    <t>$34,844.33</t>
  </si>
  <si>
    <t>$31,500.00</t>
  </si>
  <si>
    <t>$8,040.00</t>
  </si>
  <si>
    <t>$17,000.00</t>
  </si>
  <si>
    <t>$8,640.00</t>
  </si>
  <si>
    <t>$18,492.00</t>
  </si>
  <si>
    <t>$30,393.82</t>
  </si>
  <si>
    <t>$20,644.00</t>
  </si>
  <si>
    <t>$42,000.00</t>
  </si>
  <si>
    <t>$1,080.00</t>
  </si>
  <si>
    <t>$15,000.00</t>
  </si>
  <si>
    <t>$15,756.00</t>
  </si>
  <si>
    <t>$12,192.00</t>
  </si>
  <si>
    <t>$30,400.00</t>
  </si>
  <si>
    <t>$26,200.00</t>
  </si>
  <si>
    <t>$36,000.00</t>
  </si>
  <si>
    <t>$27,828.00</t>
  </si>
  <si>
    <t>$39,000.00</t>
  </si>
  <si>
    <t>$53,040.00</t>
  </si>
  <si>
    <t>$27,340.00</t>
  </si>
  <si>
    <t>$20,852.00</t>
  </si>
  <si>
    <t>$23,060.00</t>
  </si>
  <si>
    <t>$1,680.00</t>
  </si>
  <si>
    <t>$20,712.00</t>
  </si>
  <si>
    <t>$41,134.40</t>
  </si>
  <si>
    <t>$43,400.00</t>
  </si>
  <si>
    <t>$4,896.00</t>
  </si>
  <si>
    <t>$17,400.00</t>
  </si>
  <si>
    <t>$45,120.00</t>
  </si>
  <si>
    <t>$29,665.29</t>
  </si>
  <si>
    <t>$20,160.00</t>
  </si>
  <si>
    <t>$1,632.00</t>
  </si>
  <si>
    <t>$38,400.00</t>
  </si>
  <si>
    <t>$17,888.00</t>
  </si>
  <si>
    <t>$23,000.00</t>
  </si>
  <si>
    <t>$2,000.00</t>
  </si>
  <si>
    <t>$9,324.00</t>
  </si>
  <si>
    <t>$5,378.40</t>
  </si>
  <si>
    <t>$14,000.00</t>
  </si>
  <si>
    <t>$31,030.00</t>
  </si>
  <si>
    <t>$1,800.00</t>
  </si>
  <si>
    <t>$19,972.00</t>
  </si>
  <si>
    <t>$12,800.00</t>
  </si>
  <si>
    <t>$39,100.00</t>
  </si>
  <si>
    <t>$59,280.00</t>
  </si>
  <si>
    <t>$5,820.00</t>
  </si>
  <si>
    <t>$25,220.00</t>
  </si>
  <si>
    <t>$34,400.00</t>
  </si>
  <si>
    <t>$27,616.00</t>
  </si>
  <si>
    <t>$18,504.00</t>
  </si>
  <si>
    <t>$7,000.00</t>
  </si>
  <si>
    <t>$6,234.00</t>
  </si>
  <si>
    <t>$20,317.44</t>
  </si>
  <si>
    <t>$25,600.00</t>
  </si>
  <si>
    <t>$54,548.00</t>
  </si>
  <si>
    <t>$14,041.00</t>
  </si>
  <si>
    <t>$9,132.00</t>
  </si>
  <si>
    <t>$34,320.00</t>
  </si>
  <si>
    <t>$41,200.00</t>
  </si>
  <si>
    <t>$23,700.00</t>
  </si>
  <si>
    <t>$15,500.00</t>
  </si>
  <si>
    <t>$27,264.00</t>
  </si>
  <si>
    <t>$11,904.00</t>
  </si>
  <si>
    <t>$30,448.00</t>
  </si>
  <si>
    <t>$51,000.00</t>
  </si>
  <si>
    <t>$2,392.00</t>
  </si>
  <si>
    <t>$8,280.00</t>
  </si>
  <si>
    <t>$65,000.00</t>
  </si>
  <si>
    <t>$22,464.00</t>
  </si>
  <si>
    <t>$7,140.00</t>
  </si>
  <si>
    <t>$35,172.00</t>
  </si>
  <si>
    <t>$10,812.00</t>
  </si>
  <si>
    <t>$23,340.00</t>
  </si>
  <si>
    <t>$9,480.00</t>
  </si>
  <si>
    <t>$26,580.00</t>
  </si>
  <si>
    <t>$2,568.00</t>
  </si>
  <si>
    <t>$24,938.77</t>
  </si>
  <si>
    <t>$7,980.00</t>
  </si>
  <si>
    <t>$16,320.00</t>
  </si>
  <si>
    <t>$41,912.04</t>
  </si>
  <si>
    <t>$37,674.00</t>
  </si>
  <si>
    <t>$6,720.00</t>
  </si>
  <si>
    <t>$2,379.00</t>
  </si>
  <si>
    <t>$27,845.00</t>
  </si>
  <si>
    <t>$29,944.00</t>
  </si>
  <si>
    <t>$24,980.37</t>
  </si>
  <si>
    <t>$62,400.00</t>
  </si>
  <si>
    <t>$23,790.00</t>
  </si>
  <si>
    <t>$32,520.00</t>
  </si>
  <si>
    <t>$33,748.00</t>
  </si>
  <si>
    <t>$2,208.00</t>
  </si>
  <si>
    <t>$4,092.00</t>
  </si>
  <si>
    <t>$52,400.00</t>
  </si>
  <si>
    <t>$2,196.00</t>
  </si>
  <si>
    <t>$25,847.00</t>
  </si>
  <si>
    <t>$18,912.00</t>
  </si>
  <si>
    <t>$33,000.00</t>
  </si>
  <si>
    <t>$36,800.00</t>
  </si>
  <si>
    <t>$10,008.00</t>
  </si>
  <si>
    <t>$17,712.00</t>
  </si>
  <si>
    <t>$23,328.00</t>
  </si>
  <si>
    <t>$22,052.16</t>
  </si>
  <si>
    <t>$26,364.00</t>
  </si>
  <si>
    <t>$27,375.00</t>
  </si>
  <si>
    <t>$1,500.00</t>
  </si>
  <si>
    <t>$26,468.00</t>
  </si>
  <si>
    <t>$29,663.29</t>
  </si>
  <si>
    <t>$1,100.00</t>
  </si>
  <si>
    <t>$36,300.00</t>
  </si>
  <si>
    <t>$11,440.00</t>
  </si>
  <si>
    <t>$39,416.00</t>
  </si>
  <si>
    <t>$44,200.00</t>
  </si>
  <si>
    <t>$27,000.00</t>
  </si>
  <si>
    <t>$23,013.00</t>
  </si>
  <si>
    <t>$43,200.00</t>
  </si>
  <si>
    <t>$4,000.00</t>
  </si>
  <si>
    <t>$17,520.00</t>
  </si>
  <si>
    <t>$45,000.00</t>
  </si>
  <si>
    <t>$12,636.00</t>
  </si>
  <si>
    <t>$19,000.00</t>
  </si>
  <si>
    <t>$23,995.50</t>
  </si>
  <si>
    <t>$29,400.00</t>
  </si>
  <si>
    <t>$3,120.00</t>
  </si>
  <si>
    <t>$10,080.00</t>
  </si>
  <si>
    <t>$29,663.04</t>
  </si>
  <si>
    <t>$17,688.00</t>
  </si>
  <si>
    <t>$30,600.00</t>
  </si>
  <si>
    <t>$31,252.00</t>
  </si>
  <si>
    <t>$26,100.00</t>
  </si>
  <si>
    <t>$18,720.00</t>
  </si>
  <si>
    <t>$19,760.00</t>
  </si>
  <si>
    <t>$32,136.00</t>
  </si>
  <si>
    <t>$6,245.00</t>
  </si>
  <si>
    <t>$10,300.00</t>
  </si>
  <si>
    <t>$14,280.00</t>
  </si>
  <si>
    <t>$3,696.00</t>
  </si>
  <si>
    <t>$32,400.00</t>
  </si>
  <si>
    <t>$47,954.00</t>
  </si>
  <si>
    <t>$21,432.00</t>
  </si>
  <si>
    <t>$29,264.00</t>
  </si>
  <si>
    <t>$27,492.00</t>
  </si>
  <si>
    <t>$350.00</t>
  </si>
  <si>
    <t>$19,440.00</t>
  </si>
  <si>
    <t>$13,200.00</t>
  </si>
  <si>
    <t>$57,792.00</t>
  </si>
  <si>
    <t>$13,552.00</t>
  </si>
  <si>
    <t>$24,960.00</t>
  </si>
  <si>
    <t>$17,769.00</t>
  </si>
  <si>
    <t>$56,368.00</t>
  </si>
  <si>
    <t>$12,456.00</t>
  </si>
  <si>
    <t>$5,040.00</t>
  </si>
  <si>
    <t>$7,413.90</t>
  </si>
  <si>
    <t>$37,700.00</t>
  </si>
  <si>
    <t>$30,680.00</t>
  </si>
  <si>
    <t>$13,272.00</t>
  </si>
  <si>
    <t>$10,392.00</t>
  </si>
  <si>
    <t>$21,320.00</t>
  </si>
  <si>
    <t>$19,307.00</t>
  </si>
  <si>
    <t>$37,100.00</t>
  </si>
  <si>
    <t>$20,208.00</t>
  </si>
  <si>
    <t>$17,160.00</t>
  </si>
  <si>
    <t>$16,380.00</t>
  </si>
  <si>
    <t>$4,628.00</t>
  </si>
  <si>
    <t>$15,144.00</t>
  </si>
  <si>
    <t>$12,700.00</t>
  </si>
  <si>
    <t>$18,264.00</t>
  </si>
  <si>
    <t>$13,560.00</t>
  </si>
  <si>
    <t>$10,044.00</t>
  </si>
  <si>
    <t>$8,580.00</t>
  </si>
  <si>
    <t>$13,920.00</t>
  </si>
  <si>
    <t>$18,408.00</t>
  </si>
  <si>
    <t>$74,400.00</t>
  </si>
  <si>
    <t>$11,592.00</t>
  </si>
  <si>
    <t>$3,324.00</t>
  </si>
  <si>
    <t>$29,720.00</t>
  </si>
  <si>
    <t>$19,320.00</t>
  </si>
  <si>
    <t>$44,824.00</t>
  </si>
  <si>
    <t>$2,808.00</t>
  </si>
  <si>
    <t>$21,738.00</t>
  </si>
  <si>
    <t>$10,980.00</t>
  </si>
  <si>
    <t>$10,020.00</t>
  </si>
  <si>
    <t>$31,000.00</t>
  </si>
  <si>
    <t>$19,292.00</t>
  </si>
  <si>
    <t>$6,336.00</t>
  </si>
  <si>
    <t>$8,736.00</t>
  </si>
  <si>
    <t>$20,020.00</t>
  </si>
  <si>
    <t>$40,300.00</t>
  </si>
  <si>
    <t>$26,416.00</t>
  </si>
  <si>
    <t>$6,240.00</t>
  </si>
  <si>
    <t>$40,560.00</t>
  </si>
  <si>
    <t>$996.00</t>
  </si>
  <si>
    <t>$16,596.00</t>
  </si>
  <si>
    <t>$264.00</t>
  </si>
  <si>
    <t>$23,920.00</t>
  </si>
  <si>
    <t>$2,080.00</t>
  </si>
  <si>
    <t>$16,836.00</t>
  </si>
  <si>
    <t>$2,352.00</t>
  </si>
  <si>
    <t>$57,600.00</t>
  </si>
  <si>
    <t>$2,376.00</t>
  </si>
  <si>
    <t>$2,760.00</t>
  </si>
  <si>
    <t>$53,520.00</t>
  </si>
  <si>
    <t>$6,396.00</t>
  </si>
  <si>
    <t>$2,880.00</t>
  </si>
  <si>
    <t>$3,432.00</t>
  </si>
  <si>
    <t>$20,763.96</t>
  </si>
  <si>
    <t>$61,100.00</t>
  </si>
  <si>
    <t>$61,704.00</t>
  </si>
  <si>
    <t>$36,920.04</t>
  </si>
  <si>
    <t>$12,124.00</t>
  </si>
  <si>
    <t>$41,599.92</t>
  </si>
  <si>
    <t>$10,200.00</t>
  </si>
  <si>
    <t>$61,540.00</t>
  </si>
  <si>
    <t>$10,420.80</t>
  </si>
  <si>
    <t>$29,940.00</t>
  </si>
  <si>
    <t>$15,080.00</t>
  </si>
  <si>
    <t>$13,312.00</t>
  </si>
  <si>
    <t>$8,388.00</t>
  </si>
  <si>
    <t>$25,584.00</t>
  </si>
  <si>
    <t>$3,360.00</t>
  </si>
  <si>
    <t>$50,400.00</t>
  </si>
  <si>
    <t>$25,800.00</t>
  </si>
  <si>
    <t>$11,304.00</t>
  </si>
  <si>
    <t>$14,304.00</t>
  </si>
  <si>
    <t>$9,494.00</t>
  </si>
  <si>
    <t>$23,800.00</t>
  </si>
  <si>
    <t>$4,140.00</t>
  </si>
  <si>
    <t>$24,800.00</t>
  </si>
  <si>
    <t>$6,500.00</t>
  </si>
  <si>
    <t>$40,400.00</t>
  </si>
  <si>
    <t>$8,664.00</t>
  </si>
  <si>
    <t>$10,152.00</t>
  </si>
  <si>
    <t>$27,800.00</t>
  </si>
  <si>
    <t>$5,044.00</t>
  </si>
  <si>
    <t>$52,640.00</t>
  </si>
  <si>
    <t>$27,200.00</t>
  </si>
  <si>
    <t>$49,000.00</t>
  </si>
  <si>
    <t>$8,832.00</t>
  </si>
  <si>
    <t>$21,736.00</t>
  </si>
  <si>
    <t>$9,656.00</t>
  </si>
  <si>
    <t>$27,300.00</t>
  </si>
  <si>
    <t>$75,000.00</t>
  </si>
  <si>
    <t>$31,852.00</t>
  </si>
  <si>
    <t>$18,616.00</t>
  </si>
  <si>
    <t>$3,960.00</t>
  </si>
  <si>
    <t>$31,668.00</t>
  </si>
  <si>
    <t>$35,712.00</t>
  </si>
  <si>
    <t>$9,036.00</t>
  </si>
  <si>
    <t>$20,072.00</t>
  </si>
  <si>
    <t>$5,868.00</t>
  </si>
  <si>
    <t>$10,836.00</t>
  </si>
  <si>
    <t>$58,000.00</t>
  </si>
  <si>
    <t>$33,600.00</t>
  </si>
  <si>
    <t>$21,762.00</t>
  </si>
  <si>
    <t>$2,016.00</t>
  </si>
  <si>
    <t>$37,440.00</t>
  </si>
  <si>
    <t>$30,160.00</t>
  </si>
  <si>
    <t>$34,464.00</t>
  </si>
  <si>
    <t>$22,308.00</t>
  </si>
  <si>
    <t>$17,232.00</t>
  </si>
  <si>
    <t>$11,180.00</t>
  </si>
  <si>
    <t>$8,772.00</t>
  </si>
  <si>
    <t>$20,080.00</t>
  </si>
  <si>
    <t>$26,572.00</t>
  </si>
  <si>
    <t>$19,052.00</t>
  </si>
  <si>
    <t>$3,822.00</t>
  </si>
  <si>
    <t>YES</t>
  </si>
  <si>
    <t>NO</t>
  </si>
  <si>
    <t>Income</t>
  </si>
  <si>
    <t>2019-04-15</t>
  </si>
  <si>
    <t>2018-10-01</t>
  </si>
  <si>
    <t>2018-07-17</t>
  </si>
  <si>
    <t>2018-06-04</t>
  </si>
  <si>
    <t>2018-06-01</t>
  </si>
  <si>
    <t>2018-05-21</t>
  </si>
  <si>
    <t>01/06/2020</t>
  </si>
  <si>
    <t>01/03/2020</t>
  </si>
  <si>
    <t>01/02/2020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</si>
  <si>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</si>
  <si>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</si>
  <si>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</si>
  <si>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</si>
  <si>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</si>
  <si>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</si>
  <si>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</si>
  <si>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</si>
  <si>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</si>
  <si>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</si>
  <si>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</si>
  <si>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09/19/2019</t>
  </si>
  <si>
    <t>12/13/2019</t>
  </si>
  <si>
    <t>12/12/2019</t>
  </si>
  <si>
    <t>12/11/2019</t>
  </si>
  <si>
    <t>12/10/2019</t>
  </si>
  <si>
    <t>11/18/2019</t>
  </si>
  <si>
    <t>12/02/2019</t>
  </si>
  <si>
    <t>12/04/2019</t>
  </si>
  <si>
    <t>12/03/2019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</si>
  <si>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</si>
  <si>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</si>
  <si>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</si>
  <si>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</si>
  <si>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</si>
  <si>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</si>
  <si>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</si>
  <si>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11/15/2019</t>
  </si>
  <si>
    <t>11/14/2019</t>
  </si>
  <si>
    <t>11/13/2019</t>
  </si>
  <si>
    <t>11/12/2019</t>
  </si>
  <si>
    <t>11/08/2019</t>
  </si>
  <si>
    <t>11/07/2019</t>
  </si>
  <si>
    <t>11/06/2019</t>
  </si>
  <si>
    <t>11/01/2019</t>
  </si>
  <si>
    <t>11/04/2019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</si>
  <si>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</si>
  <si>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</si>
  <si>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</si>
  <si>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</si>
  <si>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</si>
  <si>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</si>
  <si>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</si>
  <si>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10/08/2019</t>
  </si>
  <si>
    <t>10/21/2019</t>
  </si>
  <si>
    <t>10/20/2019</t>
  </si>
  <si>
    <t>10/18/2019</t>
  </si>
  <si>
    <t>10/17/2019</t>
  </si>
  <si>
    <t>10/16/2019</t>
  </si>
  <si>
    <t>10/15/2019</t>
  </si>
  <si>
    <t>10/11/2019</t>
  </si>
  <si>
    <t>10/10/2019</t>
  </si>
  <si>
    <t>10/09/2019</t>
  </si>
  <si>
    <t>10/07/2019</t>
  </si>
  <si>
    <t>10/04/2019</t>
  </si>
  <si>
    <t>10/03/2019</t>
  </si>
  <si>
    <t>10/02/2019</t>
  </si>
  <si>
    <t>10/01/2019</t>
  </si>
  <si>
    <t>09/30/2019</t>
  </si>
  <si>
    <t>09/27/2019</t>
  </si>
  <si>
    <t>09/17/2019</t>
  </si>
  <si>
    <t>09/25/2019</t>
  </si>
  <si>
    <t>09/24/2019</t>
  </si>
  <si>
    <t>09/23/2019</t>
  </si>
  <si>
    <t>09/20/2019</t>
  </si>
  <si>
    <t>10/22/2019</t>
  </si>
  <si>
    <t>09/18/2019</t>
  </si>
  <si>
    <t>09/16/2019</t>
  </si>
  <si>
    <t>09/13/2019</t>
  </si>
  <si>
    <t>09/12/2019</t>
  </si>
  <si>
    <t>09/11/2019</t>
  </si>
  <si>
    <t>09/10/2019</t>
  </si>
  <si>
    <t>09/09/2019</t>
  </si>
  <si>
    <t>09/06/2019</t>
  </si>
  <si>
    <t>09/05/2019</t>
  </si>
  <si>
    <t>09/04/2019</t>
  </si>
  <si>
    <t>09/03/2019</t>
  </si>
  <si>
    <t>08/30/2019</t>
  </si>
  <si>
    <t>08/29/2019</t>
  </si>
  <si>
    <t>08/26/2019</t>
  </si>
  <si>
    <t>08/28/2019</t>
  </si>
  <si>
    <t>08/27/2019</t>
  </si>
  <si>
    <t>08/23/2019</t>
  </si>
  <si>
    <t>08/22/2019</t>
  </si>
  <si>
    <t>08/21/2019</t>
  </si>
  <si>
    <t>03/20/2020</t>
  </si>
  <si>
    <t>08/20/2019</t>
  </si>
  <si>
    <t>08/19/2019</t>
  </si>
  <si>
    <t>08/15/2019</t>
  </si>
  <si>
    <t>08/14/2019</t>
  </si>
  <si>
    <t>08/13/2019</t>
  </si>
  <si>
    <t>08/12/2019</t>
  </si>
  <si>
    <t>08/09/2019</t>
  </si>
  <si>
    <t>08/07/2019</t>
  </si>
  <si>
    <t>08/05/2019</t>
  </si>
  <si>
    <t>08/02/2019</t>
  </si>
  <si>
    <t>07/31/2019</t>
  </si>
  <si>
    <t>07/30/2019</t>
  </si>
  <si>
    <t>08/06/2019</t>
  </si>
  <si>
    <t>07/29/2019</t>
  </si>
  <si>
    <t>07/26/2019</t>
  </si>
  <si>
    <t>07/25/2019</t>
  </si>
  <si>
    <t>07/24/2019</t>
  </si>
  <si>
    <t>07/23/2019</t>
  </si>
  <si>
    <t>07/19/2019</t>
  </si>
  <si>
    <t>07/18/2019</t>
  </si>
  <si>
    <t>07/22/2019</t>
  </si>
  <si>
    <t>07/17/2019</t>
  </si>
  <si>
    <t>07/16/2019</t>
  </si>
  <si>
    <t>07/12/2019</t>
  </si>
  <si>
    <t>07/11/2019</t>
  </si>
  <si>
    <t>07/10/2019</t>
  </si>
  <si>
    <t>07/09/2019</t>
  </si>
  <si>
    <t>07/08/2019</t>
  </si>
  <si>
    <t>07/05/2019</t>
  </si>
  <si>
    <t>07/01/2019</t>
  </si>
  <si>
    <t>06/28/2019</t>
  </si>
  <si>
    <t>06/27/2019</t>
  </si>
  <si>
    <t>06/26/2019</t>
  </si>
  <si>
    <t>06/25/2019</t>
  </si>
  <si>
    <t>06/24/2019</t>
  </si>
  <si>
    <t>06/21/2019</t>
  </si>
  <si>
    <t>06/19/2019</t>
  </si>
  <si>
    <t>08/01/2019</t>
  </si>
  <si>
    <t>06/18/2019</t>
  </si>
  <si>
    <t>06/17/2019</t>
  </si>
  <si>
    <t>06/14/2019</t>
  </si>
  <si>
    <t>06/13/2019</t>
  </si>
  <si>
    <t>06/12/2019</t>
  </si>
  <si>
    <t>06/11/2019</t>
  </si>
  <si>
    <t>06/10/2019</t>
  </si>
  <si>
    <t>07/03/2019</t>
  </si>
  <si>
    <t>06/07/2019</t>
  </si>
  <si>
    <t>06/06/2019</t>
  </si>
  <si>
    <t>06/05/2019</t>
  </si>
  <si>
    <t>07/15/2019</t>
  </si>
  <si>
    <t>06/04/2019</t>
  </si>
  <si>
    <t>06/03/2019</t>
  </si>
  <si>
    <t>05/31/2019</t>
  </si>
  <si>
    <t>05/30/2019</t>
  </si>
  <si>
    <t>05/29/2019</t>
  </si>
  <si>
    <t>05/24/2019</t>
  </si>
  <si>
    <t>05/23/2019</t>
  </si>
  <si>
    <t>05/21/2019</t>
  </si>
  <si>
    <t>05/20/2019</t>
  </si>
  <si>
    <t>08/16/2019</t>
  </si>
  <si>
    <t>05/17/2019</t>
  </si>
  <si>
    <t>05/16/2019</t>
  </si>
  <si>
    <t>05/13/2019</t>
  </si>
  <si>
    <t>05/12/2019</t>
  </si>
  <si>
    <t>05/10/2019</t>
  </si>
  <si>
    <t>05/09/2019</t>
  </si>
  <si>
    <t>05/08/2019</t>
  </si>
  <si>
    <t>05/07/2019</t>
  </si>
  <si>
    <t>05/06/2019</t>
  </si>
  <si>
    <t>05/03/2019</t>
  </si>
  <si>
    <t>05/02/2019</t>
  </si>
  <si>
    <t>05/01/2019</t>
  </si>
  <si>
    <t>04/29/2019</t>
  </si>
  <si>
    <t>04/26/2019</t>
  </si>
  <si>
    <t>04/25/2019</t>
  </si>
  <si>
    <t>04/24/2019</t>
  </si>
  <si>
    <t>04/22/2019</t>
  </si>
  <si>
    <t>04/18/2019</t>
  </si>
  <si>
    <t>04/17/2019</t>
  </si>
  <si>
    <t>04/15/2019</t>
  </si>
  <si>
    <t>04/12/2019</t>
  </si>
  <si>
    <t>03/22/2019</t>
  </si>
  <si>
    <t>04/11/2019</t>
  </si>
  <si>
    <t>04/10/2019</t>
  </si>
  <si>
    <t>04/09/2019</t>
  </si>
  <si>
    <t>04/08/2019</t>
  </si>
  <si>
    <t>04/05/2019</t>
  </si>
  <si>
    <t>04/04/2019</t>
  </si>
  <si>
    <t>04/03/2019</t>
  </si>
  <si>
    <t>04/02/2019</t>
  </si>
  <si>
    <t>04/01/2019</t>
  </si>
  <si>
    <t>03/29/2019</t>
  </si>
  <si>
    <t>03/28/2019</t>
  </si>
  <si>
    <t>03/27/2019</t>
  </si>
  <si>
    <t>03/26/2019</t>
  </si>
  <si>
    <t>03/25/2019</t>
  </si>
  <si>
    <t>03/21/2019</t>
  </si>
  <si>
    <t>03/19/2019</t>
  </si>
  <si>
    <t>03/18/2019</t>
  </si>
  <si>
    <t>03/15/2019</t>
  </si>
  <si>
    <t>03/14/2019</t>
  </si>
  <si>
    <t>03/13/2019</t>
  </si>
  <si>
    <t>03/11/2019</t>
  </si>
  <si>
    <t>03/08/2019</t>
  </si>
  <si>
    <t>03/07/2019</t>
  </si>
  <si>
    <t>03/06/2019</t>
  </si>
  <si>
    <t>03/05/2019</t>
  </si>
  <si>
    <t>03/04/2019</t>
  </si>
  <si>
    <t>03/01/2019</t>
  </si>
  <si>
    <t>02/28/2019</t>
  </si>
  <si>
    <t>02/27/2019</t>
  </si>
  <si>
    <t>02/26/2019</t>
  </si>
  <si>
    <t>02/25/2019</t>
  </si>
  <si>
    <t>02/22/2019</t>
  </si>
  <si>
    <t>02/21/2019</t>
  </si>
  <si>
    <t>02/20/2019</t>
  </si>
  <si>
    <t>02/19/2019</t>
  </si>
  <si>
    <t>02/15/2019</t>
  </si>
  <si>
    <t>02/14/2019</t>
  </si>
  <si>
    <t>02/13/2019</t>
  </si>
  <si>
    <t>02/07/2019</t>
  </si>
  <si>
    <t>02/06/2019</t>
  </si>
  <si>
    <t>02/05/2019</t>
  </si>
  <si>
    <t>02/04/2019</t>
  </si>
  <si>
    <t>02/02/2019</t>
  </si>
  <si>
    <t>02/01/2019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</si>
  <si>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</si>
  <si>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</si>
  <si>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</si>
  <si>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</si>
  <si>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</si>
  <si>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</si>
  <si>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</si>
  <si>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01/18/2019</t>
  </si>
  <si>
    <t>01/17/2019</t>
  </si>
  <si>
    <t>01/16/2019</t>
  </si>
  <si>
    <t>01/15/2019</t>
  </si>
  <si>
    <t>01/14/2019</t>
  </si>
  <si>
    <t>01/11/2019</t>
  </si>
  <si>
    <t>01/20/2019</t>
  </si>
  <si>
    <t>01/10/2019</t>
  </si>
  <si>
    <t>01/09/2019</t>
  </si>
  <si>
    <t>01/08/2019</t>
  </si>
  <si>
    <t>01/07/2019</t>
  </si>
  <si>
    <t>01/04/2019</t>
  </si>
  <si>
    <t>01/03/2019</t>
  </si>
  <si>
    <t>01/02/2019</t>
  </si>
  <si>
    <t>12/31/2018</t>
  </si>
  <si>
    <t>12/28/2018</t>
  </si>
  <si>
    <t>12/27/2018</t>
  </si>
  <si>
    <t>12/26/2018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</si>
  <si>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</si>
  <si>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</si>
  <si>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</si>
  <si>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</si>
  <si>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</si>
  <si>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</si>
  <si>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</si>
  <si>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12/12/2018</t>
  </si>
  <si>
    <t>12/11/2018</t>
  </si>
  <si>
    <t>12/10/2018</t>
  </si>
  <si>
    <t>12/07/2018</t>
  </si>
  <si>
    <t>12/06/2018</t>
  </si>
  <si>
    <t>12/05/2018</t>
  </si>
  <si>
    <t>12/04/2018</t>
  </si>
  <si>
    <t>10/14/2019</t>
  </si>
  <si>
    <t>12/03/2018</t>
  </si>
  <si>
    <t>11/30/2018</t>
  </si>
  <si>
    <t>11/29/2018</t>
  </si>
  <si>
    <t>11/28/2018</t>
  </si>
  <si>
    <t>11/27/2018</t>
  </si>
  <si>
    <t>11/26/2018</t>
  </si>
  <si>
    <t>11/21/2018</t>
  </si>
  <si>
    <t>11/20/2018</t>
  </si>
  <si>
    <t>01/15/2020</t>
  </si>
  <si>
    <t>11/19/2018</t>
  </si>
  <si>
    <t>11/16/2018</t>
  </si>
  <si>
    <t>11/15/2018</t>
  </si>
  <si>
    <t>11/14/2018</t>
  </si>
  <si>
    <t>11/09/2018</t>
  </si>
  <si>
    <t>11/08/2018</t>
  </si>
  <si>
    <t>11/07/2018</t>
  </si>
  <si>
    <t>11/02/2018</t>
  </si>
  <si>
    <t>11/01/2018</t>
  </si>
  <si>
    <t>10/31/2018</t>
  </si>
  <si>
    <t>10/29/2018</t>
  </si>
  <si>
    <t>10/24/2018</t>
  </si>
  <si>
    <t>10/23/2018</t>
  </si>
  <si>
    <t>10/22/2018</t>
  </si>
  <si>
    <t>10/19/2018</t>
  </si>
  <si>
    <t>10/18/2018</t>
  </si>
  <si>
    <t>10/17/2018</t>
  </si>
  <si>
    <t>10/16/2018</t>
  </si>
  <si>
    <t>10/15/2018</t>
  </si>
  <si>
    <t>10/12/2018</t>
  </si>
  <si>
    <t>10/11/2018</t>
  </si>
  <si>
    <t>10/10/2018</t>
  </si>
  <si>
    <t>10/09/2018</t>
  </si>
  <si>
    <t>10/05/2018</t>
  </si>
  <si>
    <t>10/04/2018</t>
  </si>
  <si>
    <t>10/03/2018</t>
  </si>
  <si>
    <t>10/02/2018</t>
  </si>
  <si>
    <t>10/01/2018</t>
  </si>
  <si>
    <t>09/28/2018</t>
  </si>
  <si>
    <t>09/27/2018</t>
  </si>
  <si>
    <t>09/26/2018</t>
  </si>
  <si>
    <t>09/25/2018</t>
  </si>
  <si>
    <t>09/24/2018</t>
  </si>
  <si>
    <t>09/21/2018</t>
  </si>
  <si>
    <t>09/19/2018</t>
  </si>
  <si>
    <t>09/18/2018</t>
  </si>
  <si>
    <t>09/17/2018</t>
  </si>
  <si>
    <t>09/14/2018</t>
  </si>
  <si>
    <t>09/13/2018</t>
  </si>
  <si>
    <t>09/11/2018</t>
  </si>
  <si>
    <t>09/10/2018</t>
  </si>
  <si>
    <t>09/07/2018</t>
  </si>
  <si>
    <t>09/05/2018</t>
  </si>
  <si>
    <t>09/04/2018</t>
  </si>
  <si>
    <t>08/31/2018</t>
  </si>
  <si>
    <t>08/28/2018</t>
  </si>
  <si>
    <t>08/22/2018</t>
  </si>
  <si>
    <t>08/21/2018</t>
  </si>
  <si>
    <t>08/20/2018</t>
  </si>
  <si>
    <t>08/17/2018</t>
  </si>
  <si>
    <t>08/16/2018</t>
  </si>
  <si>
    <t>08/15/2018</t>
  </si>
  <si>
    <t>08/14/2018</t>
  </si>
  <si>
    <t>08/13/2018</t>
  </si>
  <si>
    <t>08/10/2018</t>
  </si>
  <si>
    <t>08/09/2018</t>
  </si>
  <si>
    <t>08/08/2018</t>
  </si>
  <si>
    <t>08/07/2018</t>
  </si>
  <si>
    <t>08/06/2018</t>
  </si>
  <si>
    <t>08/02/2018</t>
  </si>
  <si>
    <t>08/01/2018</t>
  </si>
  <si>
    <t>07/31/2018</t>
  </si>
  <si>
    <t>07/30/2018</t>
  </si>
  <si>
    <t>07/27/2018</t>
  </si>
  <si>
    <t>07/25/2018</t>
  </si>
  <si>
    <t>07/24/2018</t>
  </si>
  <si>
    <t>07/23/2018</t>
  </si>
  <si>
    <t>07/20/2018</t>
  </si>
  <si>
    <t>07/19/2018</t>
  </si>
  <si>
    <t>07/18/2018</t>
  </si>
  <si>
    <t>07/17/2018</t>
  </si>
  <si>
    <t>07/16/2018</t>
  </si>
  <si>
    <t>07/12/2018</t>
  </si>
  <si>
    <t>07/10/2018</t>
  </si>
  <si>
    <t>07/09/2018</t>
  </si>
  <si>
    <t>07/06/2018</t>
  </si>
  <si>
    <t>07/05/2018</t>
  </si>
  <si>
    <t>07/03/2018</t>
  </si>
  <si>
    <t>07/02/2018</t>
  </si>
  <si>
    <t>06/27/2018</t>
  </si>
  <si>
    <t>06/26/2018</t>
  </si>
  <si>
    <t>06/25/2018</t>
  </si>
  <si>
    <t>06/21/2018</t>
  </si>
  <si>
    <t>06/20/2018</t>
  </si>
  <si>
    <t>06/19/2018</t>
  </si>
  <si>
    <t>06/18/2018</t>
  </si>
  <si>
    <t>06/15/2018</t>
  </si>
  <si>
    <t>06/14/2018</t>
  </si>
  <si>
    <t>06/08/2018</t>
  </si>
  <si>
    <t>06/07/2018</t>
  </si>
  <si>
    <t>06/06/2018</t>
  </si>
  <si>
    <t>06/05/2018</t>
  </si>
  <si>
    <t>06/04/2018</t>
  </si>
  <si>
    <t>06/02/2018</t>
  </si>
  <si>
    <t>06/01/2018</t>
  </si>
  <si>
    <t>05/31/2018</t>
  </si>
  <si>
    <t>05/30/2018</t>
  </si>
  <si>
    <t>05/29/2018</t>
  </si>
  <si>
    <t>05/24/2018</t>
  </si>
  <si>
    <t>05/23/2018</t>
  </si>
  <si>
    <t>05/22/2018</t>
  </si>
  <si>
    <t>05/21/2018</t>
  </si>
  <si>
    <t>05/18/2018</t>
  </si>
  <si>
    <t>05/17/2018</t>
  </si>
  <si>
    <t>05/16/2018</t>
  </si>
  <si>
    <t>05/15/2018</t>
  </si>
  <si>
    <t>05/14/2018</t>
  </si>
  <si>
    <t>05/11/2018</t>
  </si>
  <si>
    <t>05/09/2018</t>
  </si>
  <si>
    <t>05/08/2018</t>
  </si>
  <si>
    <t>08/29/2018</t>
  </si>
  <si>
    <t>05/07/2018</t>
  </si>
  <si>
    <t>05/04/2018</t>
  </si>
  <si>
    <t>10/26/2018</t>
  </si>
  <si>
    <t>04/27/2018</t>
  </si>
  <si>
    <t>08/03/2018</t>
  </si>
  <si>
    <t>04/26/2018</t>
  </si>
  <si>
    <t>04/24/2018</t>
  </si>
  <si>
    <t>04/23/2018</t>
  </si>
  <si>
    <t>04/20/2018</t>
  </si>
  <si>
    <t>04/18/2018</t>
  </si>
  <si>
    <t>04/13/2018</t>
  </si>
  <si>
    <t>04/11/2018</t>
  </si>
  <si>
    <t>04/10/2018</t>
  </si>
  <si>
    <t>04/09/2018</t>
  </si>
  <si>
    <t>04/06/2018</t>
  </si>
  <si>
    <t>04/05/2018</t>
  </si>
  <si>
    <t>04/04/2018</t>
  </si>
  <si>
    <t>04/03/2018</t>
  </si>
  <si>
    <t>04/02/2018</t>
  </si>
  <si>
    <t>03/29/2018</t>
  </si>
  <si>
    <t>03/28/2018</t>
  </si>
  <si>
    <t>03/26/2018</t>
  </si>
  <si>
    <t>03/23/2018</t>
  </si>
  <si>
    <t>03/22/2018</t>
  </si>
  <si>
    <t>03/20/2018</t>
  </si>
  <si>
    <t>03/19/2018</t>
  </si>
  <si>
    <t>03/15/2018</t>
  </si>
  <si>
    <t>03/14/2018</t>
  </si>
  <si>
    <t>03/13/2018</t>
  </si>
  <si>
    <t>03/12/2018</t>
  </si>
  <si>
    <t>03/09/2018</t>
  </si>
  <si>
    <t>03/08/2018</t>
  </si>
  <si>
    <t>03/07/2018</t>
  </si>
  <si>
    <t>03/06/2018</t>
  </si>
  <si>
    <t>03/05/2018</t>
  </si>
  <si>
    <t>03/02/2018</t>
  </si>
  <si>
    <t>03/01/2018</t>
  </si>
  <si>
    <t>02/28/2018</t>
  </si>
  <si>
    <t>02/27/2018</t>
  </si>
  <si>
    <t>02/26/2018</t>
  </si>
  <si>
    <t>02/23/2018</t>
  </si>
  <si>
    <t>02/22/2018</t>
  </si>
  <si>
    <t>02/21/2018</t>
  </si>
  <si>
    <t>02/20/2018</t>
  </si>
  <si>
    <t>11/06/2018</t>
  </si>
  <si>
    <t>02/16/2018</t>
  </si>
  <si>
    <t>02/15/2018</t>
  </si>
  <si>
    <t>02/14/2018</t>
  </si>
  <si>
    <t>02/09/2018</t>
  </si>
  <si>
    <t>02/08/2018</t>
  </si>
  <si>
    <t>02/07/2018</t>
  </si>
  <si>
    <t>02/02/2018</t>
  </si>
  <si>
    <t>02/01/2018</t>
  </si>
  <si>
    <t>01/31/2018</t>
  </si>
  <si>
    <t>01/30/2018</t>
  </si>
  <si>
    <t>01/29/2018</t>
  </si>
  <si>
    <t>11/09/2019</t>
  </si>
  <si>
    <t>01/24/2018</t>
  </si>
  <si>
    <t>01/23/2018</t>
  </si>
  <si>
    <t>01/22/2018</t>
  </si>
  <si>
    <t>01/19/2018</t>
  </si>
  <si>
    <t>01/18/2018</t>
  </si>
  <si>
    <t>01/17/2018</t>
  </si>
  <si>
    <t>01/12/2018</t>
  </si>
  <si>
    <t>01/11/2018</t>
  </si>
  <si>
    <t>01/10/2018</t>
  </si>
  <si>
    <t>01/09/2018</t>
  </si>
  <si>
    <t>01/08/2018</t>
  </si>
  <si>
    <t>01/05/2018</t>
  </si>
  <si>
    <t>01/03/2018</t>
  </si>
  <si>
    <t>01/02/2018</t>
  </si>
  <si>
    <t>12/21/2017</t>
  </si>
  <si>
    <t>12/20/2017</t>
  </si>
  <si>
    <t>12/19/2017</t>
  </si>
  <si>
    <t>12/15/2017</t>
  </si>
  <si>
    <t>12/14/2017</t>
  </si>
  <si>
    <t>12/13/2017</t>
  </si>
  <si>
    <t>12/08/2017</t>
  </si>
  <si>
    <t>12/04/2017</t>
  </si>
  <si>
    <t>12/01/2017</t>
  </si>
  <si>
    <t>11/30/2017</t>
  </si>
  <si>
    <t>11/28/2017</t>
  </si>
  <si>
    <t>11/27/2017</t>
  </si>
  <si>
    <t>11/22/2017</t>
  </si>
  <si>
    <t>11/17/2017</t>
  </si>
  <si>
    <t>11/16/2017</t>
  </si>
  <si>
    <t>11/15/2017</t>
  </si>
  <si>
    <t>11/14/2017</t>
  </si>
  <si>
    <t>11/13/2017</t>
  </si>
  <si>
    <t>11/09/2017</t>
  </si>
  <si>
    <t>11/08/2017</t>
  </si>
  <si>
    <t>11/06/2017</t>
  </si>
  <si>
    <t>11/03/2017</t>
  </si>
  <si>
    <t>11/02/2017</t>
  </si>
  <si>
    <t>11/01/2017</t>
  </si>
  <si>
    <t>10/30/2017</t>
  </si>
  <si>
    <t>10/26/2017</t>
  </si>
  <si>
    <t>10/25/2017</t>
  </si>
  <si>
    <t>10/20/2017</t>
  </si>
  <si>
    <t>10/19/2017</t>
  </si>
  <si>
    <t>10/18/2017</t>
  </si>
  <si>
    <t>10/17/2017</t>
  </si>
  <si>
    <t>10/16/2017</t>
  </si>
  <si>
    <t>10/12/2017</t>
  </si>
  <si>
    <t>10/11/2017</t>
  </si>
  <si>
    <t>10/10/2017</t>
  </si>
  <si>
    <t>10/02/2017</t>
  </si>
  <si>
    <t>09/29/2017</t>
  </si>
  <si>
    <t>09/26/2017</t>
  </si>
  <si>
    <t>09/25/2017</t>
  </si>
  <si>
    <t>09/21/2017</t>
  </si>
  <si>
    <t>09/19/2017</t>
  </si>
  <si>
    <t>09/18/2017</t>
  </si>
  <si>
    <t>09/15/2017</t>
  </si>
  <si>
    <t>09/13/2017</t>
  </si>
  <si>
    <t>09/12/2017</t>
  </si>
  <si>
    <t>09/11/2017</t>
  </si>
  <si>
    <t>09/05/2017</t>
  </si>
  <si>
    <t>09/01/2017</t>
  </si>
  <si>
    <t>08/31/2017</t>
  </si>
  <si>
    <t>08/28/2017</t>
  </si>
  <si>
    <t>08/25/2017</t>
  </si>
  <si>
    <t>08/22/2017</t>
  </si>
  <si>
    <t>08/11/2017</t>
  </si>
  <si>
    <t>08/07/2017</t>
  </si>
  <si>
    <t>08/04/2017</t>
  </si>
  <si>
    <t>08/01/2017</t>
  </si>
  <si>
    <t>07/20/2017</t>
  </si>
  <si>
    <t>07/13/2017</t>
  </si>
  <si>
    <t>07/11/2017</t>
  </si>
  <si>
    <t>07/10/2017</t>
  </si>
  <si>
    <t>07/06/2017</t>
  </si>
  <si>
    <t>06/30/2017</t>
  </si>
  <si>
    <t>06/28/2017</t>
  </si>
  <si>
    <t>06/21/2017</t>
  </si>
  <si>
    <t>06/12/2017</t>
  </si>
  <si>
    <t>06/08/2017</t>
  </si>
  <si>
    <t>06/07/2017</t>
  </si>
  <si>
    <t>06/01/2017</t>
  </si>
  <si>
    <t>05/26/2017</t>
  </si>
  <si>
    <t>05/24/2017</t>
  </si>
  <si>
    <t>05/22/2017</t>
  </si>
  <si>
    <t>05/17/2017</t>
  </si>
  <si>
    <t>05/15/2017</t>
  </si>
  <si>
    <t>05/11/2017</t>
  </si>
  <si>
    <t>05/08/2017</t>
  </si>
  <si>
    <t>05/05/2017</t>
  </si>
  <si>
    <t>05/04/2017</t>
  </si>
  <si>
    <t>04/21/2017</t>
  </si>
  <si>
    <t>04/19/2017</t>
  </si>
  <si>
    <t>04/13/2017</t>
  </si>
  <si>
    <t>04/10/2017</t>
  </si>
  <si>
    <t>04/03/2017</t>
  </si>
  <si>
    <t>03/29/2017</t>
  </si>
  <si>
    <t>03/28/2017</t>
  </si>
  <si>
    <t>03/27/2017</t>
  </si>
  <si>
    <t>03/23/2017</t>
  </si>
  <si>
    <t>03/21/2017</t>
  </si>
  <si>
    <t>03/10/2017</t>
  </si>
  <si>
    <t>03/06/2017</t>
  </si>
  <si>
    <t>02/22/2017</t>
  </si>
  <si>
    <t>02/21/2017</t>
  </si>
  <si>
    <t>02/08/2017</t>
  </si>
  <si>
    <t>01/23/2017</t>
  </si>
  <si>
    <t>01/17/2017</t>
  </si>
  <si>
    <t>01/11/2017</t>
  </si>
  <si>
    <t>01/09/2017</t>
  </si>
  <si>
    <t>12/28/2016</t>
  </si>
  <si>
    <t>12/19/2016</t>
  </si>
  <si>
    <t>12/12/2016</t>
  </si>
  <si>
    <t>12/06/2016</t>
  </si>
  <si>
    <t>11/30/2016</t>
  </si>
  <si>
    <t>11/10/2016</t>
  </si>
  <si>
    <t>11/09/2016</t>
  </si>
  <si>
    <t>11/03/2016</t>
  </si>
  <si>
    <t>08/29/2016</t>
  </si>
  <si>
    <t>08/18/2016</t>
  </si>
  <si>
    <t>08/12/2016</t>
  </si>
  <si>
    <t>07/15/2016</t>
  </si>
  <si>
    <t>07/01/2016</t>
  </si>
  <si>
    <t>12/09/2015</t>
  </si>
  <si>
    <t>10/20/2015</t>
  </si>
  <si>
    <t>09/23/2015</t>
  </si>
  <si>
    <t>06/01/2015</t>
  </si>
  <si>
    <t>05/04/2015</t>
  </si>
  <si>
    <t>04/10/2015</t>
  </si>
  <si>
    <t>04/01/2015</t>
  </si>
  <si>
    <t>02/18/2015</t>
  </si>
  <si>
    <t>01/28/2015</t>
  </si>
  <si>
    <t>01/13/2015</t>
  </si>
  <si>
    <t>01/01/2015</t>
  </si>
  <si>
    <t>05/14/2014</t>
  </si>
  <si>
    <t>02/26/2014</t>
  </si>
  <si>
    <t>03/28/2013</t>
  </si>
  <si>
    <t>None</t>
  </si>
  <si>
    <t>HRA-DSS</t>
  </si>
  <si>
    <t>ActionNYC</t>
  </si>
  <si>
    <t>T1</t>
  </si>
  <si>
    <t>T2</t>
  </si>
  <si>
    <t>So</t>
  </si>
  <si>
    <t xml:space="preserve">B </t>
  </si>
  <si>
    <t>EAD</t>
  </si>
  <si>
    <t>MAR</t>
  </si>
  <si>
    <t>HO_I918</t>
  </si>
  <si>
    <t>CON</t>
  </si>
  <si>
    <t>ething is wrong</t>
  </si>
  <si>
    <t>RD</t>
  </si>
  <si>
    <t>AR</t>
  </si>
  <si>
    <t>AOS</t>
  </si>
  <si>
    <t>REPO_CRIM</t>
  </si>
  <si>
    <t>CIT</t>
  </si>
  <si>
    <t>SIJS</t>
  </si>
  <si>
    <t>FAM</t>
  </si>
  <si>
    <t>OTH_G639</t>
  </si>
  <si>
    <t>HO_I914</t>
  </si>
  <si>
    <t>OTH_I-192</t>
  </si>
  <si>
    <t>TRV</t>
  </si>
  <si>
    <t>OTH_I824</t>
  </si>
  <si>
    <t>GCR</t>
  </si>
  <si>
    <t>TPS</t>
  </si>
  <si>
    <t>HO_I929</t>
  </si>
  <si>
    <t>APO</t>
  </si>
  <si>
    <t>ADVI</t>
  </si>
  <si>
    <t>DACA</t>
  </si>
  <si>
    <t>INQ</t>
  </si>
  <si>
    <t>OTH_I-912</t>
  </si>
  <si>
    <t>VAWA</t>
  </si>
  <si>
    <t>FC</t>
  </si>
  <si>
    <t>SC</t>
  </si>
  <si>
    <t>CERT</t>
  </si>
  <si>
    <t>EMP</t>
  </si>
  <si>
    <t>OTH_NameChange</t>
  </si>
  <si>
    <t>APD</t>
  </si>
  <si>
    <t>Application Submitted</t>
  </si>
  <si>
    <t>Advice Given</t>
  </si>
  <si>
    <t>Application Granted</t>
  </si>
  <si>
    <t>Inquiry Submitted</t>
  </si>
  <si>
    <t>Decided by Presiding Court/Tribunal-APPROVED</t>
  </si>
  <si>
    <t>Application Rejected</t>
  </si>
  <si>
    <t>Complaint Submitted</t>
  </si>
  <si>
    <t>Decided by Presiding Court/Tribunal—DENIED</t>
  </si>
  <si>
    <t>Client withdrew/did not return</t>
  </si>
  <si>
    <t>10/13/2019</t>
  </si>
  <si>
    <t>09/26/2019</t>
  </si>
  <si>
    <t>05/28/2019</t>
  </si>
  <si>
    <t>05/22/2019</t>
  </si>
  <si>
    <t>04/30/2019</t>
  </si>
  <si>
    <t>03/10/2019</t>
  </si>
  <si>
    <t>03/12/2019</t>
  </si>
  <si>
    <t>04/16/2019</t>
  </si>
  <si>
    <t>12/06/2019</t>
  </si>
  <si>
    <t>02/12/2019</t>
  </si>
  <si>
    <t>01/31/2019</t>
  </si>
  <si>
    <t>07/13/2018</t>
  </si>
  <si>
    <t>11/13/2018</t>
  </si>
  <si>
    <t>08/08/2019</t>
  </si>
  <si>
    <t>04/19/2019</t>
  </si>
  <si>
    <t>07/11/2018</t>
  </si>
  <si>
    <t>06/28/2018</t>
  </si>
  <si>
    <t>06/11/2018</t>
  </si>
  <si>
    <t>05/10/2018</t>
  </si>
  <si>
    <t>05/14/2019</t>
  </si>
  <si>
    <t>04/16/2018</t>
  </si>
  <si>
    <t>08/10/2017</t>
  </si>
  <si>
    <t>06/29/2018</t>
  </si>
  <si>
    <t>02/02/2017</t>
  </si>
  <si>
    <t>06/20/2019</t>
  </si>
  <si>
    <t>10/23/2017</t>
  </si>
  <si>
    <t>03/21/2018</t>
  </si>
  <si>
    <t>02/13/2018</t>
  </si>
  <si>
    <t>12/15/2018</t>
  </si>
  <si>
    <t>10/28/2017</t>
  </si>
  <si>
    <t>06/09/2017</t>
  </si>
  <si>
    <t>09/06/2017</t>
  </si>
  <si>
    <t>04/07/2017</t>
  </si>
  <si>
    <t>06/26/2017</t>
  </si>
  <si>
    <t>12/29/2017</t>
  </si>
  <si>
    <t>10/05/2016</t>
  </si>
  <si>
    <t>01/26/2017</t>
  </si>
  <si>
    <t>04/27/2017</t>
  </si>
  <si>
    <t>12/16/2016</t>
  </si>
  <si>
    <t>12/11/2017</t>
  </si>
  <si>
    <t>10/13/2016</t>
  </si>
  <si>
    <t>09/15/2016</t>
  </si>
  <si>
    <t>11/12/2015</t>
  </si>
  <si>
    <t>12/07/2015</t>
  </si>
  <si>
    <t>01/19/2016</t>
  </si>
  <si>
    <t>04/28/2015</t>
  </si>
  <si>
    <t>06/09/2015</t>
  </si>
  <si>
    <t>05/14/2015</t>
  </si>
  <si>
    <t>04/11/2013</t>
  </si>
  <si>
    <t>No</t>
  </si>
  <si>
    <t>Yes</t>
  </si>
  <si>
    <t>Jay does this manually later</t>
  </si>
  <si>
    <t>I-765</t>
  </si>
  <si>
    <t>I-130 (spouse)</t>
  </si>
  <si>
    <t>I-918</t>
  </si>
  <si>
    <t>DS-260</t>
  </si>
  <si>
    <t>Removal Defense</t>
  </si>
  <si>
    <t>I-730</t>
  </si>
  <si>
    <t>I-485 Affirmative</t>
  </si>
  <si>
    <t>N-400</t>
  </si>
  <si>
    <t>SIJS Guardianship Proceeding</t>
  </si>
  <si>
    <t>I-360 SIJS</t>
  </si>
  <si>
    <t>I-751</t>
  </si>
  <si>
    <t>N-648</t>
  </si>
  <si>
    <t>I-485 Defensive</t>
  </si>
  <si>
    <t>I-589 Affirmative</t>
  </si>
  <si>
    <t>N-600</t>
  </si>
  <si>
    <t>I-130</t>
  </si>
  <si>
    <t>G-639</t>
  </si>
  <si>
    <t>I-914A</t>
  </si>
  <si>
    <t>I-192</t>
  </si>
  <si>
    <t>I-131 Advanced Parole</t>
  </si>
  <si>
    <t>N-565</t>
  </si>
  <si>
    <t>I-824</t>
  </si>
  <si>
    <t>I-90</t>
  </si>
  <si>
    <t>I-360 VAWA Self-Petition</t>
  </si>
  <si>
    <t>I-821</t>
  </si>
  <si>
    <t>I-589 Defensive</t>
  </si>
  <si>
    <t>I-929</t>
  </si>
  <si>
    <t>I-290B  Motion to Reopen/Reconsider</t>
  </si>
  <si>
    <t>N/A</t>
  </si>
  <si>
    <t>I-601</t>
  </si>
  <si>
    <t>DS-160</t>
  </si>
  <si>
    <t>I-821D</t>
  </si>
  <si>
    <t>330 Guardianship Children</t>
  </si>
  <si>
    <t>I-912</t>
  </si>
  <si>
    <t>311 Custody</t>
  </si>
  <si>
    <t>327 Uncontested Divorce</t>
  </si>
  <si>
    <t>EOIR-42B</t>
  </si>
  <si>
    <t>I-914</t>
  </si>
  <si>
    <t>N-336</t>
  </si>
  <si>
    <t>AOS (Not I-130)</t>
  </si>
  <si>
    <t>I-864</t>
  </si>
  <si>
    <t>339 Guardianship</t>
  </si>
  <si>
    <t>I-918A</t>
  </si>
  <si>
    <t>220 Wage/Hour Claims</t>
  </si>
  <si>
    <t>340 Name Change</t>
  </si>
  <si>
    <t>I-131 Refugee Travel Document</t>
  </si>
  <si>
    <t>I-290B AAO appeal</t>
  </si>
  <si>
    <t>AOS I-130</t>
  </si>
  <si>
    <t>Emergency Planning</t>
  </si>
  <si>
    <t>I-589</t>
  </si>
  <si>
    <t>I-212</t>
  </si>
  <si>
    <t>Full Rep or Extensive Service</t>
  </si>
  <si>
    <t>Hold For Review</t>
  </si>
  <si>
    <t>Advice</t>
  </si>
  <si>
    <t>Brief Service</t>
  </si>
  <si>
    <t>T1-EAD</t>
  </si>
  <si>
    <t>T1-MAR</t>
  </si>
  <si>
    <t>T2-HO_I918</t>
  </si>
  <si>
    <t>T1-CON</t>
  </si>
  <si>
    <t>Something is wrong</t>
  </si>
  <si>
    <t>T2-RD</t>
  </si>
  <si>
    <t>T2-AR</t>
  </si>
  <si>
    <t>T1-AOS</t>
  </si>
  <si>
    <t>T2-REPO_CRIM</t>
  </si>
  <si>
    <t>T1-CIT</t>
  </si>
  <si>
    <t>T2-SIJS</t>
  </si>
  <si>
    <t>T1-FAM</t>
  </si>
  <si>
    <t>T1-OTH_G639</t>
  </si>
  <si>
    <t>T2-HO_I914</t>
  </si>
  <si>
    <t>T2-OTH_I-192</t>
  </si>
  <si>
    <t>T1-TRV</t>
  </si>
  <si>
    <t>T1-OTH_I824</t>
  </si>
  <si>
    <t>T1-GCR</t>
  </si>
  <si>
    <t>T1-TPS</t>
  </si>
  <si>
    <t>T2-HO_I929</t>
  </si>
  <si>
    <t>T2-APO</t>
  </si>
  <si>
    <t>B -ADVI</t>
  </si>
  <si>
    <t>T1-DACA</t>
  </si>
  <si>
    <t>B -INQ</t>
  </si>
  <si>
    <t>T1-OTH_I-912</t>
  </si>
  <si>
    <t>T2-VAWA</t>
  </si>
  <si>
    <t>T2-FC</t>
  </si>
  <si>
    <t>T1-SC</t>
  </si>
  <si>
    <t>B -CERT</t>
  </si>
  <si>
    <t>B -EMP</t>
  </si>
  <si>
    <t>T1-OTH_NameChange</t>
  </si>
  <si>
    <t>B -APD</t>
  </si>
  <si>
    <t>MLS</t>
  </si>
  <si>
    <t>QLS</t>
  </si>
  <si>
    <t>BxLS</t>
  </si>
  <si>
    <t>LSU</t>
  </si>
  <si>
    <t>BkLS</t>
  </si>
  <si>
    <t>SILS</t>
  </si>
  <si>
    <t>Ventura, Lynn</t>
  </si>
  <si>
    <t>Vitale, Soo Kyung</t>
  </si>
  <si>
    <t>Madrid, Andrea</t>
  </si>
  <si>
    <t>Guiral Cuervo, Carolina</t>
  </si>
  <si>
    <t>Chua, Janice</t>
  </si>
  <si>
    <t>Dunlop-German, Allison</t>
  </si>
  <si>
    <t>Deolarte, Stephanie</t>
  </si>
  <si>
    <t>Sahai, Chelsea</t>
  </si>
  <si>
    <t>Taylor, Stephanie</t>
  </si>
  <si>
    <t>Kim, Jennie</t>
  </si>
  <si>
    <t>Patel, Kinjal</t>
  </si>
  <si>
    <t>Eugenio, Rosanna</t>
  </si>
  <si>
    <t>Guerra, Yolanda</t>
  </si>
  <si>
    <t>Morales-Robinson, Ana</t>
  </si>
  <si>
    <t>Wilkins, Dave</t>
  </si>
  <si>
    <t>Ramos, Kathryn</t>
  </si>
  <si>
    <t>Kim, Jae Young</t>
  </si>
  <si>
    <t>Telson, Sarah</t>
  </si>
  <si>
    <t>Rosario Rodriguez, Luis</t>
  </si>
  <si>
    <t>Mattessich, Sandra</t>
  </si>
  <si>
    <t>Heine, Isabel</t>
  </si>
  <si>
    <t>Cardenas, Lizeth</t>
  </si>
  <si>
    <t>Singh, Ermela</t>
  </si>
  <si>
    <t>Urizar, Ana</t>
  </si>
  <si>
    <t>Barrow, Jennifer</t>
  </si>
  <si>
    <t>Edwards, Zamara</t>
  </si>
  <si>
    <t>Rivera, Brunilda</t>
  </si>
  <si>
    <t>Ramos, Axel</t>
  </si>
  <si>
    <t>Patel, Roopal</t>
  </si>
  <si>
    <t>Chalas, Mayra</t>
  </si>
  <si>
    <t>Solis-Silva, Perla</t>
  </si>
  <si>
    <t>Carrillo, Sami</t>
  </si>
  <si>
    <t>Carlier, Milton</t>
  </si>
  <si>
    <t>Zaman, Razeen</t>
  </si>
  <si>
    <t>Camargo, Tatiana</t>
  </si>
  <si>
    <t>Odoemene, Udoka</t>
  </si>
  <si>
    <t>Tan, Andrea</t>
  </si>
  <si>
    <t>Tavis, Anna</t>
  </si>
  <si>
    <t>Cruz Pearson, Elsa</t>
  </si>
  <si>
    <t>Martinez-Gunter, Maribel</t>
  </si>
  <si>
    <t>Newton, Jack</t>
  </si>
  <si>
    <t>Richman, Emily</t>
  </si>
  <si>
    <t>Chen, Rex</t>
  </si>
  <si>
    <t>Crafton, Jessica</t>
  </si>
  <si>
    <t>Hernandez-Guzman, Sandra</t>
  </si>
  <si>
    <t>Sambataro, Debra</t>
  </si>
  <si>
    <t>Khan, Sofia</t>
  </si>
  <si>
    <t>Martinez, Matthues Eliazar</t>
  </si>
  <si>
    <t>Martinez, Michael A</t>
  </si>
  <si>
    <t>Avella, Adrian</t>
  </si>
  <si>
    <t>Molina Hernandez, Maria Isabel</t>
  </si>
  <si>
    <t>Herrera, Belen M</t>
  </si>
  <si>
    <t>Johnson, Nesi</t>
  </si>
  <si>
    <t>Monir, Sonia</t>
  </si>
  <si>
    <t>Kerr-Deans, Moya</t>
  </si>
  <si>
    <t>Gutierrez-Cua, Margarita Juana</t>
  </si>
  <si>
    <t>Gunea Gutierrez, Isaac Victor</t>
  </si>
  <si>
    <t>Valencia Nunez, Axel Jair</t>
  </si>
  <si>
    <t>Bernardez Zapata, Cinthia</t>
  </si>
  <si>
    <t>Bernardez Zapata, Vilma</t>
  </si>
  <si>
    <t>Bojang, Mariama</t>
  </si>
  <si>
    <t>Edwards Smith, Antoinette</t>
  </si>
  <si>
    <t>Chuquin Bello, Angie</t>
  </si>
  <si>
    <t>Anacleto Valerio, Jorge</t>
  </si>
  <si>
    <t>Appalsammy, Droubadie</t>
  </si>
  <si>
    <t>Benitez, Sonia</t>
  </si>
  <si>
    <t>Cepeda De Leon, Zhindel</t>
  </si>
  <si>
    <t>Chinchilla, Lorenza</t>
  </si>
  <si>
    <t>Dodson, David</t>
  </si>
  <si>
    <t>Agyare, Benjamin</t>
  </si>
  <si>
    <t>Akbar, Mohammad</t>
  </si>
  <si>
    <t>Alfonso, Mary</t>
  </si>
  <si>
    <t>Almonte, Dulce</t>
  </si>
  <si>
    <t>Alquorazy, Abed</t>
  </si>
  <si>
    <t>Bolvito Canahui, Baudilio</t>
  </si>
  <si>
    <t>Acosta, Yosvany</t>
  </si>
  <si>
    <t>Azcona, Fabio</t>
  </si>
  <si>
    <t>Bencosme, Jonathan</t>
  </si>
  <si>
    <t>Rosales Cardona, Luis David</t>
  </si>
  <si>
    <t>Cardona Alvarenga, Keishla Rocio</t>
  </si>
  <si>
    <t>Barahona Ruiz, Jean Jafeth</t>
  </si>
  <si>
    <t>Herenandez Maradiaga, Dilan</t>
  </si>
  <si>
    <t>Ruiz Diaz, Thiago Marcelo</t>
  </si>
  <si>
    <t>Grichev, Dmitrii</t>
  </si>
  <si>
    <t>Njuguna, Bilha M</t>
  </si>
  <si>
    <t>Kavaliou, Aliaksandr</t>
  </si>
  <si>
    <t>Leslie, Romaine</t>
  </si>
  <si>
    <t>Abet, Nally</t>
  </si>
  <si>
    <t>Lopez Mercado, Isaac Samael</t>
  </si>
  <si>
    <t>Popov, Stanislav</t>
  </si>
  <si>
    <t>Oyuela, Aracely</t>
  </si>
  <si>
    <t>Mendoza, Micaela Carrillo</t>
  </si>
  <si>
    <t>Okhotnikov, Nikolai</t>
  </si>
  <si>
    <t>Paredes, Lanier</t>
  </si>
  <si>
    <t>Demedetskiy, Andrey</t>
  </si>
  <si>
    <t>Abuabed, Khadijeh</t>
  </si>
  <si>
    <t>Khateeb, Ameena</t>
  </si>
  <si>
    <t>Brown, Stefano</t>
  </si>
  <si>
    <t>Ramirez, Orlando A</t>
  </si>
  <si>
    <t>Abdel Maksoud, Ahmed</t>
  </si>
  <si>
    <t>Sidime, Amara</t>
  </si>
  <si>
    <t>Sadykova, Assem</t>
  </si>
  <si>
    <t>Skeete, Wesley</t>
  </si>
  <si>
    <t>Norales Aranda, Josias</t>
  </si>
  <si>
    <t>Ramos Norales, Angel G</t>
  </si>
  <si>
    <t>Muyulema Camas, Luis Roberto</t>
  </si>
  <si>
    <t>Lewis Thomas, Rochell Ieisha</t>
  </si>
  <si>
    <t>Mijangos Sanchez, Melida Irma Ariseth</t>
  </si>
  <si>
    <t>Orellana, Victor</t>
  </si>
  <si>
    <t>Rochez Guzman, Brendel Y</t>
  </si>
  <si>
    <t>Rodriguez Perez, Isis</t>
  </si>
  <si>
    <t>Medina Andrade, Gelyn N</t>
  </si>
  <si>
    <t>Becerra Vasquez, Cristian A</t>
  </si>
  <si>
    <t>Arzu Garcia, Jemilson A</t>
  </si>
  <si>
    <t>Youssef, Jana</t>
  </si>
  <si>
    <t>Peralta, Crisbel Maria</t>
  </si>
  <si>
    <t>Zamora, Omar A.</t>
  </si>
  <si>
    <t>Juares, Daisy M.</t>
  </si>
  <si>
    <t>Marcos Zacarias, Maximo</t>
  </si>
  <si>
    <t>Ferrera Dominguez, Masciel</t>
  </si>
  <si>
    <t>Pelmantier, Altagracia</t>
  </si>
  <si>
    <t>Guzman, Ronnie</t>
  </si>
  <si>
    <t>Ladi, Marcial</t>
  </si>
  <si>
    <t>Medina Jorge, Verania</t>
  </si>
  <si>
    <t>Skuratov, Dmitrii A</t>
  </si>
  <si>
    <t>Imrose, Wasi</t>
  </si>
  <si>
    <t>Alas Vega, Gabriela Ivania</t>
  </si>
  <si>
    <t>Miranda Cardenas, Fernando</t>
  </si>
  <si>
    <t>Roque, Ramona</t>
  </si>
  <si>
    <t>Anguisaca, Darwin</t>
  </si>
  <si>
    <t>Arzu Madrid, Isieny</t>
  </si>
  <si>
    <t>Garcia, Amparo Milady</t>
  </si>
  <si>
    <t>Donadello, Giordano</t>
  </si>
  <si>
    <t>Lucero Campos, Belkis Elena</t>
  </si>
  <si>
    <t>Gallego Abad, Felipe</t>
  </si>
  <si>
    <t>Burton, Lijhaun Deondre</t>
  </si>
  <si>
    <t>Mejia Moran, Liam</t>
  </si>
  <si>
    <t>Diaz Ramirez, Angelique</t>
  </si>
  <si>
    <t>Li, Chunling</t>
  </si>
  <si>
    <t>Perez, Angel R</t>
  </si>
  <si>
    <t>Martinez, Jenny</t>
  </si>
  <si>
    <t>Georges, Agnes</t>
  </si>
  <si>
    <t>Blanco Landaverde, Miguel Fernando</t>
  </si>
  <si>
    <t>Abdallah, Mihad</t>
  </si>
  <si>
    <t>Antonio Martinez, Perla</t>
  </si>
  <si>
    <t>Lache, Milena</t>
  </si>
  <si>
    <t>De Jesus, Jeanette</t>
  </si>
  <si>
    <t>Ordonez Villela, Sarah</t>
  </si>
  <si>
    <t>Gonzalez, Camila</t>
  </si>
  <si>
    <t>Escalante, Melissa Gertrudis</t>
  </si>
  <si>
    <t>Sanchez, Yola</t>
  </si>
  <si>
    <t>Savitckii, Andrei A</t>
  </si>
  <si>
    <t>Magloire, Ghislaine</t>
  </si>
  <si>
    <t>Bernardez Flores, Kandy Jahira</t>
  </si>
  <si>
    <t>Bernardes, Marcelo</t>
  </si>
  <si>
    <t>Munoz, Fernando</t>
  </si>
  <si>
    <t>Pena Soto, Yocaira D</t>
  </si>
  <si>
    <t>Soto Peguero, Concepcion</t>
  </si>
  <si>
    <t>Colon-Miguel, Cintia</t>
  </si>
  <si>
    <t>Garcia, Agripina</t>
  </si>
  <si>
    <t>Benito, Blanca J</t>
  </si>
  <si>
    <t>Zamora, Carlos</t>
  </si>
  <si>
    <t>Da Costa, Amalia</t>
  </si>
  <si>
    <t>Zelaya Bernardez, Loammy Yadira</t>
  </si>
  <si>
    <t>Castillo, Guadalupe</t>
  </si>
  <si>
    <t>Mieses, Virginia</t>
  </si>
  <si>
    <t>Francis Garth, Jaden</t>
  </si>
  <si>
    <t>Harvey, Yasmin</t>
  </si>
  <si>
    <t>Polanco, Cesar</t>
  </si>
  <si>
    <t>Ba, Biba</t>
  </si>
  <si>
    <t>Chiji, Chinonso Kingsley</t>
  </si>
  <si>
    <t>Ahmed, Shoaib</t>
  </si>
  <si>
    <t>Ewuola, Adebukola</t>
  </si>
  <si>
    <t>Martinez, Sandra</t>
  </si>
  <si>
    <t>Wang, Quan</t>
  </si>
  <si>
    <t>Gamboa Estrada, Cherry A.</t>
  </si>
  <si>
    <t>Velasquez Martinez, Terma M.</t>
  </si>
  <si>
    <t>Gamboa Velasquez, Keilyn A.</t>
  </si>
  <si>
    <t>Gamboa Velasquez, Keiry C.</t>
  </si>
  <si>
    <t>Planas, Leonardo</t>
  </si>
  <si>
    <t>Flores, Martin</t>
  </si>
  <si>
    <t>Hernandez Rivera, Jose Angel</t>
  </si>
  <si>
    <t>Ballesteros Bernardez, Genesis</t>
  </si>
  <si>
    <t>Ballesteros Bernardez, Jordan</t>
  </si>
  <si>
    <t>Nunez, Nikesha</t>
  </si>
  <si>
    <t>Jastrzebski, Piotr</t>
  </si>
  <si>
    <t>Nunez, Marcia Patricia</t>
  </si>
  <si>
    <t>Adekoya, Olabode</t>
  </si>
  <si>
    <t>Garcia, Adriana</t>
  </si>
  <si>
    <t>Gonzalez del Jesus, Maria Altagracia</t>
  </si>
  <si>
    <t>Rendon Monroy, Fernando</t>
  </si>
  <si>
    <t>Castillo Garcia, Keisy Yoliveth</t>
  </si>
  <si>
    <t>Maria, Juan A</t>
  </si>
  <si>
    <t>Pereyra, Kirnelys Marie</t>
  </si>
  <si>
    <t>Pereyra, Enmy N.</t>
  </si>
  <si>
    <t>Beeker, Vincent L</t>
  </si>
  <si>
    <t>Omosowon, Taiwo</t>
  </si>
  <si>
    <t>Abraham, Allana</t>
  </si>
  <si>
    <t>Aziz, Fifi</t>
  </si>
  <si>
    <t>Pimentel, Julio</t>
  </si>
  <si>
    <t>Rivera Cruz, Mauricio</t>
  </si>
  <si>
    <t>Bernal, Luisa</t>
  </si>
  <si>
    <t>Allen, Marvin</t>
  </si>
  <si>
    <t>Thompson, Jabari L</t>
  </si>
  <si>
    <t>Flores Rojas, Celia</t>
  </si>
  <si>
    <t>Mateo, Santa</t>
  </si>
  <si>
    <t>Borden, Gema</t>
  </si>
  <si>
    <t>Pinder, Eulile A</t>
  </si>
  <si>
    <t>Roman, Bartolo</t>
  </si>
  <si>
    <t>Gutierrez Suazo, Mirna M</t>
  </si>
  <si>
    <t>Vasquez, Romulo</t>
  </si>
  <si>
    <t>Garcia, Marce</t>
  </si>
  <si>
    <t>Bautista Aleman, Meylin</t>
  </si>
  <si>
    <t>Martinez, Pablo F.</t>
  </si>
  <si>
    <t>Soumere, Asha K</t>
  </si>
  <si>
    <t>Marcos Zacarias, Marisol</t>
  </si>
  <si>
    <t>Cadena Beltran, Yenis</t>
  </si>
  <si>
    <t>Garcia Casildo, Nelda</t>
  </si>
  <si>
    <t>Castillo Garcia, Reynaldo</t>
  </si>
  <si>
    <t>Gonzalez, Cristian Olber</t>
  </si>
  <si>
    <t>Rodriguez Segovia, Katherine Rosario</t>
  </si>
  <si>
    <t>Suling, Elsa A</t>
  </si>
  <si>
    <t>Remonvil, Ilsia</t>
  </si>
  <si>
    <t>Bentancourt, Joel</t>
  </si>
  <si>
    <t>Baptiste, Rose</t>
  </si>
  <si>
    <t>De la Rosa, Carina</t>
  </si>
  <si>
    <t>Quiambao, Romeo</t>
  </si>
  <si>
    <t>Dickson, Oril D</t>
  </si>
  <si>
    <t>Torres Hernandez, Airton A.</t>
  </si>
  <si>
    <t>Sotil Fernandez, Geraldine</t>
  </si>
  <si>
    <t>Moreira Mindiola, Rosario de la Merced</t>
  </si>
  <si>
    <t>Ramirez, Anahi</t>
  </si>
  <si>
    <t>Noel, Winston Allan</t>
  </si>
  <si>
    <t>Zuleta Chavez, Cristian</t>
  </si>
  <si>
    <t>Chatzopoulos, Loannis</t>
  </si>
  <si>
    <t>Inirio, Leisy</t>
  </si>
  <si>
    <t>Kim, Chang Bum</t>
  </si>
  <si>
    <t>Cardona-Urbina, Belkyn Mariana</t>
  </si>
  <si>
    <t>Aldana-Cardona, Rosa Lidia</t>
  </si>
  <si>
    <t>Bermudez Figueroa, Ronald Joel</t>
  </si>
  <si>
    <t>Maksimenko, Tatiana</t>
  </si>
  <si>
    <t>Maksimenko, Oleg</t>
  </si>
  <si>
    <t>Maksimenko, Margarita</t>
  </si>
  <si>
    <t>Maksimenko, Egor</t>
  </si>
  <si>
    <t>Aulov, Aleksei</t>
  </si>
  <si>
    <t>Cedillo Sian, Luis Miguel Andres</t>
  </si>
  <si>
    <t>Calderon Rodriguez, Ruth Abigail</t>
  </si>
  <si>
    <t>Smith, Winston R</t>
  </si>
  <si>
    <t>Alzaidy, Lawza</t>
  </si>
  <si>
    <t>Murillo, Junior</t>
  </si>
  <si>
    <t>Murillo, Carlos</t>
  </si>
  <si>
    <t>Costly Benneth, Arnold</t>
  </si>
  <si>
    <t>Setal, Yvonne</t>
  </si>
  <si>
    <t>Barrios Flores, Sharlian Berenice</t>
  </si>
  <si>
    <t>Cuellar Henriquez, Diana Veronica</t>
  </si>
  <si>
    <t>Amaya Moya, Denisse Samaris</t>
  </si>
  <si>
    <t>Amaya Moya, Ariana Gisel</t>
  </si>
  <si>
    <t>Martinez Flores, Keisy Mercedes</t>
  </si>
  <si>
    <t>Ortiz, Cinthia</t>
  </si>
  <si>
    <t>Hernandez Cabrera, Yudi Elizabeth</t>
  </si>
  <si>
    <t>Morgan, Delfant</t>
  </si>
  <si>
    <t>Garcia, Lorna</t>
  </si>
  <si>
    <t>Lino Garcia, Nahomy</t>
  </si>
  <si>
    <t>Lhamo, Dolma</t>
  </si>
  <si>
    <t>Eghan, David Claude</t>
  </si>
  <si>
    <t>Leon Rosas, Florencia C</t>
  </si>
  <si>
    <t>Cedillo Dominguez, Orlando Daniel</t>
  </si>
  <si>
    <t>Arslanbas, Ipek</t>
  </si>
  <si>
    <t>Martinez, Claudia M</t>
  </si>
  <si>
    <t>Ziama, Elfreada</t>
  </si>
  <si>
    <t>Omoruyi, Keith</t>
  </si>
  <si>
    <t>Garcia Marin, Destyni Z</t>
  </si>
  <si>
    <t>Garcia Marin, Emilson A</t>
  </si>
  <si>
    <t>Khozhev, Dimitry</t>
  </si>
  <si>
    <t>Plasencia, Litzy</t>
  </si>
  <si>
    <t>Maria, Alenny</t>
  </si>
  <si>
    <t>King, Sherwin</t>
  </si>
  <si>
    <t>Baca, Hector</t>
  </si>
  <si>
    <t>Batiz Martinez, Mirta Carolina</t>
  </si>
  <si>
    <t>Tsiklauri, Nika</t>
  </si>
  <si>
    <t>Zapata Figueroa, Pamela</t>
  </si>
  <si>
    <t>Zambrano, Gabriela</t>
  </si>
  <si>
    <t>Cedillo Dominguez, Orlando</t>
  </si>
  <si>
    <t>Mendoza Sanchez, Eduin</t>
  </si>
  <si>
    <t>Magomedova, Albina</t>
  </si>
  <si>
    <t>Mejia, Francy</t>
  </si>
  <si>
    <t>Pereira, Kary</t>
  </si>
  <si>
    <t>Diaz, Jose</t>
  </si>
  <si>
    <t>Gutierrez, Ana Lidia</t>
  </si>
  <si>
    <t>Salim, Shahnaz</t>
  </si>
  <si>
    <t>Martinez, Brenda</t>
  </si>
  <si>
    <t>Bryan, Allison Alvina</t>
  </si>
  <si>
    <t>Pena, Glenys</t>
  </si>
  <si>
    <t>Ramos Bernardez, Claudia</t>
  </si>
  <si>
    <t>James, Miama</t>
  </si>
  <si>
    <t>Nava, Emelia</t>
  </si>
  <si>
    <t>Quintanilla, Alejandro</t>
  </si>
  <si>
    <t>Mayor, Milady</t>
  </si>
  <si>
    <t>Alvarado, Ruth</t>
  </si>
  <si>
    <t>Guzman Tavarez, Derna</t>
  </si>
  <si>
    <t>Turcios, Rigoberto</t>
  </si>
  <si>
    <t>Fulgencio, Nicole</t>
  </si>
  <si>
    <t>Mendoza Sanchez, Nancy</t>
  </si>
  <si>
    <t>Pariste, Rosena</t>
  </si>
  <si>
    <t>Guzman, Gina</t>
  </si>
  <si>
    <t>Maguina, Milagros</t>
  </si>
  <si>
    <t>Smith, Eulet C</t>
  </si>
  <si>
    <t>Veras Diaz, Carlos A</t>
  </si>
  <si>
    <t>Morgan, Richard</t>
  </si>
  <si>
    <t>Songg, Priscilla</t>
  </si>
  <si>
    <t>Chavarria Garcia, Elda M</t>
  </si>
  <si>
    <t>Chavarria Garcia, Ashlee Nicole</t>
  </si>
  <si>
    <t>Morquecho, Luis</t>
  </si>
  <si>
    <t>Meade, Anthony</t>
  </si>
  <si>
    <t>Esquivel Tuchez, Olbia Jemima</t>
  </si>
  <si>
    <t>Amilo, Emmanuel</t>
  </si>
  <si>
    <t>Throught, Jahlee</t>
  </si>
  <si>
    <t>Lewis, Kammiel</t>
  </si>
  <si>
    <t>Abdulla, Lee-Shanique</t>
  </si>
  <si>
    <t>Laines-Juracan, Miguel</t>
  </si>
  <si>
    <t>Paz-Ramirez, Maryolin</t>
  </si>
  <si>
    <t>Chavez, Ivonne</t>
  </si>
  <si>
    <t>Ixmata Tambriz, Maria Angela</t>
  </si>
  <si>
    <t>Cunningham, Dwight</t>
  </si>
  <si>
    <t>Gausin, Maria</t>
  </si>
  <si>
    <t>Martin, Derwain</t>
  </si>
  <si>
    <t>Rivaz Guzman, Sharbie C.</t>
  </si>
  <si>
    <t>Bautista Carranza, Marcelino</t>
  </si>
  <si>
    <t>Ramirez, Ethel</t>
  </si>
  <si>
    <t>Bones, Veronica</t>
  </si>
  <si>
    <t>Aluwihare, Sashin</t>
  </si>
  <si>
    <t>Thiombiano, Abdoulaziz</t>
  </si>
  <si>
    <t>Telfer, Orete XW</t>
  </si>
  <si>
    <t>Perez Castro, Armando</t>
  </si>
  <si>
    <t>Murillo, Kenia</t>
  </si>
  <si>
    <t>Beharie, Venna M</t>
  </si>
  <si>
    <t>Murillo Garcia, Jose Antonio</t>
  </si>
  <si>
    <t>Coreas Portillo, Henry</t>
  </si>
  <si>
    <t>Owusu Adadio, Ben</t>
  </si>
  <si>
    <t>Rios Lara, Oscar Isaac</t>
  </si>
  <si>
    <t>Soung, Hyundong</t>
  </si>
  <si>
    <t>Sangare, Mawa</t>
  </si>
  <si>
    <t>Lopez Zapata, Aneiry</t>
  </si>
  <si>
    <t>Vallecillo-Ramirez, Angel David</t>
  </si>
  <si>
    <t>Nunes, Marlene</t>
  </si>
  <si>
    <t>Ballesteros Bernardez, Jahir</t>
  </si>
  <si>
    <t>Hernandez Campos, Angelica Maria</t>
  </si>
  <si>
    <t>Pargan, Harry</t>
  </si>
  <si>
    <t>Nunez, Helen</t>
  </si>
  <si>
    <t>Rodriguez, Rafael A</t>
  </si>
  <si>
    <t>Vidal, Ana C</t>
  </si>
  <si>
    <t>Roman, Jessica</t>
  </si>
  <si>
    <t>Roman Castillo, Xavier</t>
  </si>
  <si>
    <t>Gray, Delano</t>
  </si>
  <si>
    <t>Gordon, Dawn</t>
  </si>
  <si>
    <t>Alvarez, Jacklyn</t>
  </si>
  <si>
    <t>Likhacheva, Nadezda</t>
  </si>
  <si>
    <t>Ramos, Danielle</t>
  </si>
  <si>
    <t>Coreas Portillo, Owen</t>
  </si>
  <si>
    <t>Toro Porras, Yenny</t>
  </si>
  <si>
    <t>Goodwin, Matthew</t>
  </si>
  <si>
    <t>Banegas Garcia, Herber Fabricio</t>
  </si>
  <si>
    <t>Reid, Morris</t>
  </si>
  <si>
    <t>Franke, Marioara</t>
  </si>
  <si>
    <t>Martinez Crisostomo, Jorge Emilio</t>
  </si>
  <si>
    <t>Ventura, Sthewal</t>
  </si>
  <si>
    <t>Maynard, Lavern</t>
  </si>
  <si>
    <t>Lopez Perez, Wilson</t>
  </si>
  <si>
    <t>Tracey, Melrose</t>
  </si>
  <si>
    <t>Pineda, Isauro Eduardo</t>
  </si>
  <si>
    <t>Mendez Cruz, Ambar Nicolle</t>
  </si>
  <si>
    <t>Stugys, Algirdas</t>
  </si>
  <si>
    <t>Castro Alvarez, Fernando</t>
  </si>
  <si>
    <t>Miranda Alvarez, Carlos Geovany</t>
  </si>
  <si>
    <t>Chinchillia Montero, Kevin Esteban</t>
  </si>
  <si>
    <t>Ouedraogo, Ivan</t>
  </si>
  <si>
    <t>Saravia Mejia, Igundani Daneiri</t>
  </si>
  <si>
    <t>Lynch, Maria Corleta</t>
  </si>
  <si>
    <t>Tzep Quiema, Nancy Marisela</t>
  </si>
  <si>
    <t>Arevalo, Aura Maria</t>
  </si>
  <si>
    <t>Slashchev, Sergey</t>
  </si>
  <si>
    <t>Pastor Sierra, Elva</t>
  </si>
  <si>
    <t>Melendez Saravia, Brandi Odalis</t>
  </si>
  <si>
    <t>Mejia Saravia, Jilaryn D</t>
  </si>
  <si>
    <t>Pastor, Gleisy</t>
  </si>
  <si>
    <t>Cruz, Felipe</t>
  </si>
  <si>
    <t>Diallo, Mohamadou</t>
  </si>
  <si>
    <t>Almubarak, Iyman</t>
  </si>
  <si>
    <t>Gaffoor, Ameer</t>
  </si>
  <si>
    <t>Pyter, Malgorzata</t>
  </si>
  <si>
    <t>Portillo Reyes, Jennifer</t>
  </si>
  <si>
    <t>Bandeira, Joao Paulo</t>
  </si>
  <si>
    <t>Laoe, Curtis A</t>
  </si>
  <si>
    <t>Betancourt, Nelson</t>
  </si>
  <si>
    <t>Castellon Calderon, Monserath</t>
  </si>
  <si>
    <t>Paulino, Ismael</t>
  </si>
  <si>
    <t>Martinez, Katherin S</t>
  </si>
  <si>
    <t>Soria, Mariana Mora</t>
  </si>
  <si>
    <t>De Leon, Miguelina</t>
  </si>
  <si>
    <t>Montan Escanio, Carlos Jose</t>
  </si>
  <si>
    <t>Endraws, Viola</t>
  </si>
  <si>
    <t>Dixon, Andre</t>
  </si>
  <si>
    <t>Oyelohunnu, Olushola</t>
  </si>
  <si>
    <t>Amaya, Rosalina</t>
  </si>
  <si>
    <t>Martinez Amaya, Melvin Alexander</t>
  </si>
  <si>
    <t>Garcia Canales, Shelly</t>
  </si>
  <si>
    <t>Osorio, Delmi</t>
  </si>
  <si>
    <t>Lopez Padilla, Axel J</t>
  </si>
  <si>
    <t>Osorio Padilla, Jasiel O</t>
  </si>
  <si>
    <t>Reyes Castillo, Erlyn</t>
  </si>
  <si>
    <t>Flores Juarez, Sendy F</t>
  </si>
  <si>
    <t>Bernardez Ortiz, Daisy</t>
  </si>
  <si>
    <t>Walden, Jada</t>
  </si>
  <si>
    <t>Marin Bernandez, Bacilia</t>
  </si>
  <si>
    <t>Stewart, Talisa Rushelle</t>
  </si>
  <si>
    <t>Hernandez, Jacqueline T.</t>
  </si>
  <si>
    <t>Alvarado Ulloa, Maria Noemy</t>
  </si>
  <si>
    <t>Murillo Alvarado, Maria Jose</t>
  </si>
  <si>
    <t>Murillo Alvarado, Jose Antonio</t>
  </si>
  <si>
    <t>Najarro Dominguez, Yojana</t>
  </si>
  <si>
    <t>Gray, Shanielle Ciara</t>
  </si>
  <si>
    <t>Gray, Tajmar Tyrell</t>
  </si>
  <si>
    <t>Ali, Fayyaz</t>
  </si>
  <si>
    <t>Garzon, Diana</t>
  </si>
  <si>
    <t>Karpiuk, Beata</t>
  </si>
  <si>
    <t>Crisostomo Enamorado, Brenda Raquel</t>
  </si>
  <si>
    <t>Barrera, Ana Teresa</t>
  </si>
  <si>
    <t>Amador Rios, Necty Carolina</t>
  </si>
  <si>
    <t>Vidal, Isidra</t>
  </si>
  <si>
    <t>Medrano, Lourdes</t>
  </si>
  <si>
    <t>Ostanova, Feruza</t>
  </si>
  <si>
    <t>Vargas, Juana</t>
  </si>
  <si>
    <t>Naji, Soufiane</t>
  </si>
  <si>
    <t>Serech Vargas, Juana Araceli</t>
  </si>
  <si>
    <t>Grant, Jahveena</t>
  </si>
  <si>
    <t>Powis, Michael</t>
  </si>
  <si>
    <t>Mourissa Sam, Shanna</t>
  </si>
  <si>
    <t>Dego, Zemeto</t>
  </si>
  <si>
    <t>Martinez Palacios, Yolany</t>
  </si>
  <si>
    <t>Delcid Andino, Briany Janelssy</t>
  </si>
  <si>
    <t>Brito Ventura, Lorena</t>
  </si>
  <si>
    <t>Samlal, Salena</t>
  </si>
  <si>
    <t>Espinal, Sonia</t>
  </si>
  <si>
    <t>Matveev, Boris</t>
  </si>
  <si>
    <t>Guedez, Nikko</t>
  </si>
  <si>
    <t>Portillo Valdez, Yeimy</t>
  </si>
  <si>
    <t>Baquiax Sapon, Jose Arnoldo</t>
  </si>
  <si>
    <t>Juarez, Claudia</t>
  </si>
  <si>
    <t>Castro Prada, Jose</t>
  </si>
  <si>
    <t>Gilbert, Bethany</t>
  </si>
  <si>
    <t>Orellana, Nolvin</t>
  </si>
  <si>
    <t>Barry, Alpha B.</t>
  </si>
  <si>
    <t>Crisanto Ordonez, Keylin S.</t>
  </si>
  <si>
    <t>Soliz Crisanto, Joan</t>
  </si>
  <si>
    <t>Sanchez Arias, Luis A</t>
  </si>
  <si>
    <t>Gemmison, Jestina</t>
  </si>
  <si>
    <t>Reyes Mejia, Wilmer A</t>
  </si>
  <si>
    <t>Batiz, Linsy</t>
  </si>
  <si>
    <t>Arias Rivas, Edgar</t>
  </si>
  <si>
    <t>Arias Rivas, Betzaida O</t>
  </si>
  <si>
    <t>Plishkin, Anatolii</t>
  </si>
  <si>
    <t>Meza Rodriguez, Heiby A</t>
  </si>
  <si>
    <t>Delcid Rapalo, Marvin</t>
  </si>
  <si>
    <t>Martinez Flores, Saemy Saleisha</t>
  </si>
  <si>
    <t>Olmedo Zaracay, Katherine</t>
  </si>
  <si>
    <t>Alvares Guallpa, Moises Fernando</t>
  </si>
  <si>
    <t>Lluilema Garcia, Jose Antonio</t>
  </si>
  <si>
    <t>Gomez Fuentes, Marvin</t>
  </si>
  <si>
    <t>Gomez Fuentes, Leonardo</t>
  </si>
  <si>
    <t>Zapata-Santos, Keummy Arleth</t>
  </si>
  <si>
    <t>Garcia-Williams, Darrell Divanne</t>
  </si>
  <si>
    <t>Reyes Mejia, Carlos D</t>
  </si>
  <si>
    <t>Castro, Edwin</t>
  </si>
  <si>
    <t>Velasquez Mancia, Rigel Yohairo</t>
  </si>
  <si>
    <t>Velasquez, Christopher</t>
  </si>
  <si>
    <t>Hossain, Arman</t>
  </si>
  <si>
    <t>Husban Issa Husban, Mohammadnour</t>
  </si>
  <si>
    <t>Bernal Bernal, Tamara Estafania</t>
  </si>
  <si>
    <t>Martinez Bonilla, Alma</t>
  </si>
  <si>
    <t>Santana, Indira</t>
  </si>
  <si>
    <t>Martinez Cruz, Ivis Andonis</t>
  </si>
  <si>
    <t>Garcia Zuniga, Julio Jorge</t>
  </si>
  <si>
    <t>Peralta, Leo</t>
  </si>
  <si>
    <t>Koumtog, Madeline I</t>
  </si>
  <si>
    <t>Giraldo, Noely</t>
  </si>
  <si>
    <t>Rabbani, Shammi</t>
  </si>
  <si>
    <t>Gonzalez, Macaria</t>
  </si>
  <si>
    <t>Tax Menchu, Angela</t>
  </si>
  <si>
    <t>Castro Eustate, Leudry Jose</t>
  </si>
  <si>
    <t>Altamirano, Juan</t>
  </si>
  <si>
    <t>Bolvito Lopez, Ruben</t>
  </si>
  <si>
    <t>Hernadez Diaz, Cinthia</t>
  </si>
  <si>
    <t>Gawin, Kat</t>
  </si>
  <si>
    <t>Medina Batiz, Henry Wilfredo</t>
  </si>
  <si>
    <t>Alba Hernandez, Andres Alonso</t>
  </si>
  <si>
    <t>Rodriguez, Fernando</t>
  </si>
  <si>
    <t>Roberts, Tajarie</t>
  </si>
  <si>
    <t>Taylor, Dianna</t>
  </si>
  <si>
    <t>Ali, Paula</t>
  </si>
  <si>
    <t>Flores Arzu, Jogeny Sarahi</t>
  </si>
  <si>
    <t>Medina Flores, Wilfer Jomary</t>
  </si>
  <si>
    <t>Medina Flores, Aisha Jogen</t>
  </si>
  <si>
    <t>Regalado, Claudia M</t>
  </si>
  <si>
    <t>Wraich, Sajid</t>
  </si>
  <si>
    <t>Vidals, Celestino</t>
  </si>
  <si>
    <t>Jurado, Karina</t>
  </si>
  <si>
    <t>Bienaime, Yolkingtz</t>
  </si>
  <si>
    <t>Guzman, Pedro Arturo</t>
  </si>
  <si>
    <t>Albert, Shemika</t>
  </si>
  <si>
    <t>Roberts, Khadijia</t>
  </si>
  <si>
    <t>Caceres Ortiz, Angelica</t>
  </si>
  <si>
    <t>Callejas Escobar, Dereck Alexander</t>
  </si>
  <si>
    <t>Vela Chiche, Edvin Jose Davida</t>
  </si>
  <si>
    <t>Guerra Robles, Wilder Concepcion</t>
  </si>
  <si>
    <t>Gomez, Pedro</t>
  </si>
  <si>
    <t>Kormyletskaya, Anastasia</t>
  </si>
  <si>
    <t>Tenempaguay, Maria</t>
  </si>
  <si>
    <t>Vasquez, Narcisa</t>
  </si>
  <si>
    <t>Saltos, Zahira</t>
  </si>
  <si>
    <t>Arias, Deyanira Y</t>
  </si>
  <si>
    <t>Castillo Garcia, Deinor</t>
  </si>
  <si>
    <t>Bolvito Rodriguez, Adali L</t>
  </si>
  <si>
    <t>Garcia-Zuniga, Julio Jorge</t>
  </si>
  <si>
    <t>Garcia Williams, Darrell Divanne</t>
  </si>
  <si>
    <t>Mejia, Mildren</t>
  </si>
  <si>
    <t>Castro, Darlin</t>
  </si>
  <si>
    <t>Segovia Castro, Kimberly</t>
  </si>
  <si>
    <t>Sanchez Flores, Umberto</t>
  </si>
  <si>
    <t>Fernandez-Medina, Keyvan A</t>
  </si>
  <si>
    <t>Bernardez Martinez, Danixy Chaneth</t>
  </si>
  <si>
    <t>Real, Jenny</t>
  </si>
  <si>
    <t>Ramcharan, Rosaline</t>
  </si>
  <si>
    <t>Taylor, Gina</t>
  </si>
  <si>
    <t>Yuganson, Leyda</t>
  </si>
  <si>
    <t>Zelaya, Raquel</t>
  </si>
  <si>
    <t>Moran, Alejandra</t>
  </si>
  <si>
    <t>Arizmendi Garcia, Alexa</t>
  </si>
  <si>
    <t>Benitez, Billay</t>
  </si>
  <si>
    <t>Romero Cabello, Fanny</t>
  </si>
  <si>
    <t>Aquino, Jessica</t>
  </si>
  <si>
    <t>Miranda, Miranda</t>
  </si>
  <si>
    <t>Ramcharan, Albert</t>
  </si>
  <si>
    <t>Medina-Gamboa, Darwin</t>
  </si>
  <si>
    <t>Angamarca, Ana</t>
  </si>
  <si>
    <t>Velasquez, Jesus A</t>
  </si>
  <si>
    <t>Ixtos Ortiz, Alonzo A</t>
  </si>
  <si>
    <t>Hernandez Lazaro, Olga Lidia</t>
  </si>
  <si>
    <t>Molano, Ruben</t>
  </si>
  <si>
    <t>Zamudio, Carlos Eduardo</t>
  </si>
  <si>
    <t>Vasquez Andrade, Yadira Gabriela</t>
  </si>
  <si>
    <t>Vasquez Portillo, Danna Monserrath</t>
  </si>
  <si>
    <t>Garcia Garcia, Erick Jose Miguel</t>
  </si>
  <si>
    <t>Rodriguez Reyes, Feisel Javier</t>
  </si>
  <si>
    <t>Escorcia, Julio</t>
  </si>
  <si>
    <t>Escorcia, Carlos Alberto</t>
  </si>
  <si>
    <t>Escorcia, Alicia</t>
  </si>
  <si>
    <t>Ramirez, Paula L</t>
  </si>
  <si>
    <t>Suazo Guity, Maura Alberta</t>
  </si>
  <si>
    <t>Campos, Guadalupe</t>
  </si>
  <si>
    <t>Monroy Mercado, Geraldine</t>
  </si>
  <si>
    <t>Reyes-Ariola, Naomi E</t>
  </si>
  <si>
    <t>Flores-Reyes, Jerome A</t>
  </si>
  <si>
    <t>Reyes-Ariola, Juan Pablo</t>
  </si>
  <si>
    <t>Zelaya, Shairon P.</t>
  </si>
  <si>
    <t>Zelaya Bernardez, Reymond A.</t>
  </si>
  <si>
    <t>Madrid Milla, Edgardo Josue</t>
  </si>
  <si>
    <t>Moise, Claudy</t>
  </si>
  <si>
    <t>Palacios-Marin, Lidice M</t>
  </si>
  <si>
    <t>Ram, Seloge Andrea</t>
  </si>
  <si>
    <t>Palacios Argueta, Roney</t>
  </si>
  <si>
    <t>Arias Rodas, Sandra</t>
  </si>
  <si>
    <t>Arias Rodas, Jesus David</t>
  </si>
  <si>
    <t>Ramjattan, Pushpawattee</t>
  </si>
  <si>
    <t>Wilson, Martine</t>
  </si>
  <si>
    <t>Andino Castro, Angelica</t>
  </si>
  <si>
    <t>Salazar, Rinor</t>
  </si>
  <si>
    <t>Wisner, Cenatus</t>
  </si>
  <si>
    <t>Guzman, Bryan</t>
  </si>
  <si>
    <t>Ayala, Lesby</t>
  </si>
  <si>
    <t>Guo, Yan Li</t>
  </si>
  <si>
    <t>De Leon Valdez, Sandra J</t>
  </si>
  <si>
    <t>Asobi, Pauline</t>
  </si>
  <si>
    <t>Onguko, Hazel H</t>
  </si>
  <si>
    <t>Soliz Crisanto, Deybi E.</t>
  </si>
  <si>
    <t>Lino, Fernando</t>
  </si>
  <si>
    <t>George, Ivee</t>
  </si>
  <si>
    <t>Gongar, Grace M</t>
  </si>
  <si>
    <t>Soukouna, Youssouf</t>
  </si>
  <si>
    <t>Cepeda, Dolores</t>
  </si>
  <si>
    <t>Peralta, Luis</t>
  </si>
  <si>
    <t>Gomez, Delmy</t>
  </si>
  <si>
    <t>De Leon-Gomez, Ismael</t>
  </si>
  <si>
    <t>Gomez, Irene Sofia</t>
  </si>
  <si>
    <t>Feliz Arias, Giselle M</t>
  </si>
  <si>
    <t>Fernandez Molina, Rahi Emmanuel</t>
  </si>
  <si>
    <t>Caballero, Milton Leonel</t>
  </si>
  <si>
    <t>Villanueva, Edin</t>
  </si>
  <si>
    <t>Villanueva Inestroza, Italo</t>
  </si>
  <si>
    <t>Rivas, Luis</t>
  </si>
  <si>
    <t>Leon Martinez, Remedios</t>
  </si>
  <si>
    <t>Tulloch, Horace</t>
  </si>
  <si>
    <t>Cardenas, Julio</t>
  </si>
  <si>
    <t>Pratt, Wale</t>
  </si>
  <si>
    <t>Martinez, Khaleb</t>
  </si>
  <si>
    <t>Martinez, Jessica M</t>
  </si>
  <si>
    <t>Norales, Sheilan</t>
  </si>
  <si>
    <t>Norales, Sherry</t>
  </si>
  <si>
    <t>Madrid Quezada, Edgardo Josue</t>
  </si>
  <si>
    <t>Castillo Marin, Maura</t>
  </si>
  <si>
    <t>Olmedo Zaracay, Rodrigo</t>
  </si>
  <si>
    <t>Suazo Castillo, Glenda D.</t>
  </si>
  <si>
    <t>Suazo Castillo, Melvis S.</t>
  </si>
  <si>
    <t>Suazo Castillo, Nady C.</t>
  </si>
  <si>
    <t>Castillo, Sherler</t>
  </si>
  <si>
    <t>Gonzalez Irias, Dennis A</t>
  </si>
  <si>
    <t>Peart, Amoy Tiffany Keydene</t>
  </si>
  <si>
    <t>Diaz Espitia, Carlos Enrique</t>
  </si>
  <si>
    <t>Bermudez Marin, Laureen Yarleth</t>
  </si>
  <si>
    <t>Martinez Marin, Angel Francisco</t>
  </si>
  <si>
    <t>Velasquez, Yachuan P.</t>
  </si>
  <si>
    <t>Madrid Milla, Jonathan Josue</t>
  </si>
  <si>
    <t>Lopez Suazo, Hailyn Yulissa</t>
  </si>
  <si>
    <t>Gomez Velasquez, Carolina</t>
  </si>
  <si>
    <t>Villanueva, Dayany M.</t>
  </si>
  <si>
    <t>Tkachuk, Maksym</t>
  </si>
  <si>
    <t>Marte Tejeda, Gabina</t>
  </si>
  <si>
    <t>Osorio Andino, LLoid Samir</t>
  </si>
  <si>
    <t>Vela Chiche, Edvin Jose David</t>
  </si>
  <si>
    <t>Ramirez Candia, Vannessa</t>
  </si>
  <si>
    <t>Rozhdestvenskiy, Alexey</t>
  </si>
  <si>
    <t>Calderon Rodriguez, Angel Esau</t>
  </si>
  <si>
    <t>Ojeda De Nunez, Marisol</t>
  </si>
  <si>
    <t>Cortez Cabrera, Lester Yobanny</t>
  </si>
  <si>
    <t>Zaracay de Olmedo, Maria</t>
  </si>
  <si>
    <t>Egboh, Favour C</t>
  </si>
  <si>
    <t>Alekseev, Aleksei</t>
  </si>
  <si>
    <t>Rowe, Leonardo</t>
  </si>
  <si>
    <t>Rodriguez Luciano, Juan F</t>
  </si>
  <si>
    <t>Rodriguez, Fernando A</t>
  </si>
  <si>
    <t>Benjamin, Charlene</t>
  </si>
  <si>
    <t>Chica Rosales, Jency Pamela</t>
  </si>
  <si>
    <t>Hernandez Gonzalez, Guillermina</t>
  </si>
  <si>
    <t>Mendoza Mejia, Angel Josue</t>
  </si>
  <si>
    <t>Garzona Zelada, Juan D</t>
  </si>
  <si>
    <t>Zelada Torres, Brenda C</t>
  </si>
  <si>
    <t>Mai (for Yanzhen He), Jianfang</t>
  </si>
  <si>
    <t>Castillo Valencia, Santos Engelberto</t>
  </si>
  <si>
    <t>Mercuri Santos, Atilio</t>
  </si>
  <si>
    <t>Mendoza, Sandra Lorena</t>
  </si>
  <si>
    <t>Mendoza, Ingris Emeli</t>
  </si>
  <si>
    <t>Perez, Edward</t>
  </si>
  <si>
    <t>Pulgar Fuenmayor, Dervis Jose</t>
  </si>
  <si>
    <t>Veloz Cabral, Robinson R</t>
  </si>
  <si>
    <t>Garcia Amaya, Kemely E</t>
  </si>
  <si>
    <t>Amaya Ramirez, Martha</t>
  </si>
  <si>
    <t>Valencia Nunez, Stefany Milexy</t>
  </si>
  <si>
    <t>Aguilar, Dylan</t>
  </si>
  <si>
    <t>Lohinov, Andrii</t>
  </si>
  <si>
    <t>Santos, Ramon</t>
  </si>
  <si>
    <t>Torales, Dulce M.</t>
  </si>
  <si>
    <t>Muhaidat, Sami A</t>
  </si>
  <si>
    <t>Andrade Loor, Lisseth Viviana</t>
  </si>
  <si>
    <t>Calderon, Miguel Angel</t>
  </si>
  <si>
    <t>Herrera Rodas, Jose Luis</t>
  </si>
  <si>
    <t>Pedro, Najimdin</t>
  </si>
  <si>
    <t>Bourdeau, Myrtha</t>
  </si>
  <si>
    <t>Raymundo Cedillo, Jacinto Gerardo</t>
  </si>
  <si>
    <t>Natt, Dillman</t>
  </si>
  <si>
    <t>Rodriguez Reyes, Susan</t>
  </si>
  <si>
    <t>Tineo, Marleny</t>
  </si>
  <si>
    <t>Encarnacion Feliz, Juana</t>
  </si>
  <si>
    <t>Polanco Acacio, Barney</t>
  </si>
  <si>
    <t>Guzman Encarnacion, Luis Angel</t>
  </si>
  <si>
    <t>Guzman Encarnacion, Ana Camil</t>
  </si>
  <si>
    <t>Guzman Encarnacion, Cesar Anthony</t>
  </si>
  <si>
    <t>Salgado Rodriguez, Ashley Guadalupe</t>
  </si>
  <si>
    <t>Herrera, Concepcion</t>
  </si>
  <si>
    <t>Kozina, Anastasiia</t>
  </si>
  <si>
    <t>Larionova, Larisa</t>
  </si>
  <si>
    <t>Diaz, Carolina A</t>
  </si>
  <si>
    <t>La Cruz Lucero, Jhoismar Karina</t>
  </si>
  <si>
    <t>Shiwmangal, Ariel</t>
  </si>
  <si>
    <t>Chukwu, Ramseyn</t>
  </si>
  <si>
    <t>Medina, Jerlin Lino</t>
  </si>
  <si>
    <t>Kante, Aissata</t>
  </si>
  <si>
    <t>Lino Flores, Lisi Yaneira</t>
  </si>
  <si>
    <t>Orellana, Keylin</t>
  </si>
  <si>
    <t>Ayala Hernandez, Billy A</t>
  </si>
  <si>
    <t>Hernandez, Glenda Y</t>
  </si>
  <si>
    <t>Guzman, Johanna</t>
  </si>
  <si>
    <t>Castro  Lalin, Darien</t>
  </si>
  <si>
    <t>Orellana, Anisthon Meza</t>
  </si>
  <si>
    <t>Castro Lalin, Dania M</t>
  </si>
  <si>
    <t>Palacios Castillo, Martha Olivia</t>
  </si>
  <si>
    <t>Miranda Montero, Olga Mileny</t>
  </si>
  <si>
    <t>Miranda Moreno, Denovan Javier</t>
  </si>
  <si>
    <t>Neil, Tracy Ann</t>
  </si>
  <si>
    <t>Marin Ramirez, Tifany Yoely</t>
  </si>
  <si>
    <t>Marin Ramirez, Yehinor Lenin</t>
  </si>
  <si>
    <t>Cortez Galicia, Marvin Yobany</t>
  </si>
  <si>
    <t>Cupil Istazuy, Ismael</t>
  </si>
  <si>
    <t>Bagadzhiyan, Roman</t>
  </si>
  <si>
    <t>St. Juste, Philipa</t>
  </si>
  <si>
    <t>Menchu-Garcia, Vicenta</t>
  </si>
  <si>
    <t>Calel Hernandez, Pedro</t>
  </si>
  <si>
    <t>Baizan, Graciana E.</t>
  </si>
  <si>
    <t>Ramjattan, Deonarine</t>
  </si>
  <si>
    <t>Alvarez Zelaya, Dariela</t>
  </si>
  <si>
    <t>Lascano Miranda, Maria I</t>
  </si>
  <si>
    <t>Prokhorko, Igor</t>
  </si>
  <si>
    <t>Castillo, Ilda M</t>
  </si>
  <si>
    <t>Pedroza, Ada</t>
  </si>
  <si>
    <t>Melendez, Elly F</t>
  </si>
  <si>
    <t>Francis, Isaiah</t>
  </si>
  <si>
    <t>Chuqin Bello, Catherin Eliza</t>
  </si>
  <si>
    <t>Fernandez Soto, Juan Pablo</t>
  </si>
  <si>
    <t>Boureima, Hawa</t>
  </si>
  <si>
    <t>Kosenkov, Andrei</t>
  </si>
  <si>
    <t>Valencia Balbuena, Anai</t>
  </si>
  <si>
    <t>Rodriguez, Gloria</t>
  </si>
  <si>
    <t>Hill, Joelynn</t>
  </si>
  <si>
    <t>Lewis Thomas, Rochell</t>
  </si>
  <si>
    <t>Granda, Freddy</t>
  </si>
  <si>
    <t>Bello, Tatiana</t>
  </si>
  <si>
    <t>Tisol Arias, Meison Ivan</t>
  </si>
  <si>
    <t>Martinez, Sara</t>
  </si>
  <si>
    <t>Peterson, Yessenia</t>
  </si>
  <si>
    <t>Pobedash, Sergei</t>
  </si>
  <si>
    <t>Pobedash, Andrei</t>
  </si>
  <si>
    <t>Herrera, Juan Luis</t>
  </si>
  <si>
    <t>Munoz, Ana Sofia</t>
  </si>
  <si>
    <t>Fernandes, Erica</t>
  </si>
  <si>
    <t>Elazab, Mohamed Haytham Ebrahim Mohamed</t>
  </si>
  <si>
    <t>Lin, Qian</t>
  </si>
  <si>
    <t>Cuello Avila, Ender Exgles</t>
  </si>
  <si>
    <t>Pylypenko, Maksym</t>
  </si>
  <si>
    <t>Francis, Felecia</t>
  </si>
  <si>
    <t>Louis, Sirenayka</t>
  </si>
  <si>
    <t>Mohamed, Benkada</t>
  </si>
  <si>
    <t>Ramirez Velazco, Alondra E</t>
  </si>
  <si>
    <t>Brown, Carolina</t>
  </si>
  <si>
    <t>Jerez, Gregoria</t>
  </si>
  <si>
    <t>Lopez, Cheyra</t>
  </si>
  <si>
    <t>Javier, Maria D</t>
  </si>
  <si>
    <t>Godoy Minchala, Thalia</t>
  </si>
  <si>
    <t>Alegre, Juana Isabel</t>
  </si>
  <si>
    <t>Ambrose, George</t>
  </si>
  <si>
    <t>Grey, Ian</t>
  </si>
  <si>
    <t>Dapun, Ramsey</t>
  </si>
  <si>
    <t>Murashov, Mikhail</t>
  </si>
  <si>
    <t>Mai (for Jiayu Mai), Jianfang</t>
  </si>
  <si>
    <t>Roopnarine, Yushwant</t>
  </si>
  <si>
    <t>Mesa, John</t>
  </si>
  <si>
    <t>Hernandez Lozano, Maria Argelia</t>
  </si>
  <si>
    <t>Lee, Donovan</t>
  </si>
  <si>
    <t>Salazar de Marroquin, Silvia Yanira</t>
  </si>
  <si>
    <t>Basdeo, Mahadeo</t>
  </si>
  <si>
    <t>Bonnet, John R.</t>
  </si>
  <si>
    <t>Basdeo, Basmattie</t>
  </si>
  <si>
    <t>Ollarvez Pinto, Yecenia</t>
  </si>
  <si>
    <t>Conde Ollarvez, Jorgelys Valentina</t>
  </si>
  <si>
    <t>Conde Ollarvez, Mariangel Ariadna</t>
  </si>
  <si>
    <t>Ambrocio Chic, Jose Abel</t>
  </si>
  <si>
    <t>Chic Hernandez, Lidia</t>
  </si>
  <si>
    <t>Ochoa Chic, Cristhofer Alejandro</t>
  </si>
  <si>
    <t>Harripaul, Seuraragee</t>
  </si>
  <si>
    <t>Cortes Valdez, Beatriz</t>
  </si>
  <si>
    <t>Brodrick, Samantha E</t>
  </si>
  <si>
    <t>Pujols, Hilda</t>
  </si>
  <si>
    <t>Mann, Jenielle</t>
  </si>
  <si>
    <t>Abreu de Fuentes, Roxanna</t>
  </si>
  <si>
    <t>Villalba, Fidel</t>
  </si>
  <si>
    <t>Petrov, Andrei</t>
  </si>
  <si>
    <t>Ishimskiy, Dmitriy</t>
  </si>
  <si>
    <t>Harris, Humberto</t>
  </si>
  <si>
    <t>Tello, Alvaro</t>
  </si>
  <si>
    <t>Narvaez Padilla, Mirian</t>
  </si>
  <si>
    <t>Garanin, Aleksei</t>
  </si>
  <si>
    <t>Sani, Ali</t>
  </si>
  <si>
    <t>Benitez Sarmiento, Thaily</t>
  </si>
  <si>
    <t>Urushadze, Vakhtang</t>
  </si>
  <si>
    <t>Aleman Montoya, Cintya</t>
  </si>
  <si>
    <t>Taveras, Ignacio</t>
  </si>
  <si>
    <t>McLaughlin, Jon-Michael</t>
  </si>
  <si>
    <t>McLaughlin, Jon-Michela</t>
  </si>
  <si>
    <t>Aucapina de Quito, Mirian</t>
  </si>
  <si>
    <t>Morales Najarro, Wilder</t>
  </si>
  <si>
    <t>Restrepo Soto, Maria D</t>
  </si>
  <si>
    <t>Nachande, Judith</t>
  </si>
  <si>
    <t>Escamilla Ortega, Rafael</t>
  </si>
  <si>
    <t>Pineyro Rodriguez, Samantha</t>
  </si>
  <si>
    <t>Briceño, Jose Conde</t>
  </si>
  <si>
    <t>Annan, Wilhemina</t>
  </si>
  <si>
    <t>Seeram, Mohanee</t>
  </si>
  <si>
    <t>Maya Gonzalez, Leticia</t>
  </si>
  <si>
    <t>Snyder, Jorey</t>
  </si>
  <si>
    <t>Lyu, Lin</t>
  </si>
  <si>
    <t>Curtis, Pamela S</t>
  </si>
  <si>
    <t>Zacaria Martin, Maria</t>
  </si>
  <si>
    <t>Shenouda, Samy</t>
  </si>
  <si>
    <t>Edmund, Shawn</t>
  </si>
  <si>
    <t>Gutierrez Fernandez, Digna Ondina</t>
  </si>
  <si>
    <t>Garcia Martinez, Nilda</t>
  </si>
  <si>
    <t>Paiva, Maria De F</t>
  </si>
  <si>
    <t>Correa Valencia, Luz Jannet</t>
  </si>
  <si>
    <t>Pobedash, Ella</t>
  </si>
  <si>
    <t>Moran Silva, Kevin Jose</t>
  </si>
  <si>
    <t>Moran Silva, Yendi Gabriela</t>
  </si>
  <si>
    <t>Sochtohom de Bulux, Juana P.</t>
  </si>
  <si>
    <t>Bulux Soch, Yoselin E.</t>
  </si>
  <si>
    <t>Kaur, Satinder</t>
  </si>
  <si>
    <t>Oliva, Marcela Alejandra</t>
  </si>
  <si>
    <t>Oliva, Daniel Alejandro</t>
  </si>
  <si>
    <t>Vivas, Elvis</t>
  </si>
  <si>
    <t>de la Cruz Zumbana, Maria Carmen</t>
  </si>
  <si>
    <t>Vivas, Segundo</t>
  </si>
  <si>
    <t>Saidykhan, Fatoumata</t>
  </si>
  <si>
    <t>Ramirez, Cassandra</t>
  </si>
  <si>
    <t>Lewis, Kijana</t>
  </si>
  <si>
    <t>Mendez Escalante, Angelica</t>
  </si>
  <si>
    <t>Alvarez, Isabel</t>
  </si>
  <si>
    <t>Batiz Martinez, Kirad Y</t>
  </si>
  <si>
    <t>Martinez Casildo, Sairi Judith</t>
  </si>
  <si>
    <t>Mejia Mena, Franklin Edenilson</t>
  </si>
  <si>
    <t>Orazbayev, Darkhan</t>
  </si>
  <si>
    <t>Quashie, Rudolph</t>
  </si>
  <si>
    <t>Alvarez Rosales, Carlos Daniel</t>
  </si>
  <si>
    <t>Alvarez Lobo, Carlos Roberto</t>
  </si>
  <si>
    <t>Mejia Mena, Cristian Josue</t>
  </si>
  <si>
    <t>Mejia Mena, Itzel Jareth</t>
  </si>
  <si>
    <t>Jimenez Pelico, Henry Juvencio</t>
  </si>
  <si>
    <t>Velasquez Cal, Cristina M</t>
  </si>
  <si>
    <t>Barry, Alpha Boubacar</t>
  </si>
  <si>
    <t>Lovos Monterroza, Daniela Abigail</t>
  </si>
  <si>
    <t>Celestin, Guy</t>
  </si>
  <si>
    <t>Ibrahim, Mervot</t>
  </si>
  <si>
    <t>Cutz, Jose Daniel</t>
  </si>
  <si>
    <t>Gerrado Cuevas, Belky</t>
  </si>
  <si>
    <t>Morris, Orville O</t>
  </si>
  <si>
    <t>Davis, Jeron</t>
  </si>
  <si>
    <t>Serech Vargas, William Eduardo</t>
  </si>
  <si>
    <t>Silva Queche, Blanca Amarilis</t>
  </si>
  <si>
    <t>Roberts, Shanique</t>
  </si>
  <si>
    <t>Roberts, Khadija</t>
  </si>
  <si>
    <t>Gonzalez, Argelia</t>
  </si>
  <si>
    <t>Ramirez, Aleyda</t>
  </si>
  <si>
    <t>Quezada Lopez, Willianny</t>
  </si>
  <si>
    <t>Quezada Lopez, Wiridiam</t>
  </si>
  <si>
    <t>Ramirez, Francisco</t>
  </si>
  <si>
    <t>Smith, Raphia S</t>
  </si>
  <si>
    <t>Riaz, Rooha</t>
  </si>
  <si>
    <t>Vargas, Harry</t>
  </si>
  <si>
    <t>Garcia, Ivonne</t>
  </si>
  <si>
    <t>Dominguez Cruz, Blanca</t>
  </si>
  <si>
    <t>Zelaya, Wendy</t>
  </si>
  <si>
    <t>Sadni, Laila Z.</t>
  </si>
  <si>
    <t>Arias Arevalo, Maritza</t>
  </si>
  <si>
    <t>Ilin, Pavel</t>
  </si>
  <si>
    <t>Izadi, Mohammad</t>
  </si>
  <si>
    <t>Rowana, Gangaya</t>
  </si>
  <si>
    <t>Rowana, Premwatie</t>
  </si>
  <si>
    <t>Hassin, Ali</t>
  </si>
  <si>
    <t>Velazquez, Rafaela</t>
  </si>
  <si>
    <t>Tzul Tiu, Fernando Isaac</t>
  </si>
  <si>
    <t>Tzul-Tiu, Guidman Aaron</t>
  </si>
  <si>
    <t>Frias, Carmen</t>
  </si>
  <si>
    <t>Cooper, Lucy</t>
  </si>
  <si>
    <t>Urbaez, Juana</t>
  </si>
  <si>
    <t>Delgado Mendez, Juan</t>
  </si>
  <si>
    <t>Kamara, Fatmata</t>
  </si>
  <si>
    <t>Lopez Ramirez, Karla Valentina</t>
  </si>
  <si>
    <t>Benedit Martinez, Esmy</t>
  </si>
  <si>
    <t>Guo, Yan li</t>
  </si>
  <si>
    <t>Montero, Perla E</t>
  </si>
  <si>
    <t>Vargas, Celia</t>
  </si>
  <si>
    <t>Basdeo, Soamnauph</t>
  </si>
  <si>
    <t>Cisneros, Trifosa</t>
  </si>
  <si>
    <t>Guerrero Cabanas, Erika</t>
  </si>
  <si>
    <t>Ruiz Campaz, Alicia</t>
  </si>
  <si>
    <t>Tavarez, Josefina</t>
  </si>
  <si>
    <t>Miranda, Kehila Yahisset</t>
  </si>
  <si>
    <t>Jimenez, Eduvigis</t>
  </si>
  <si>
    <t>Sanchez Melendez, Kevin Asaac</t>
  </si>
  <si>
    <t>Navas Contreras, Anyi Alicia</t>
  </si>
  <si>
    <t>Diallo, Saifoulaye</t>
  </si>
  <si>
    <t>Veitch, Damion A</t>
  </si>
  <si>
    <t>Alvarez, Ana</t>
  </si>
  <si>
    <t>Rodriguez, Maria</t>
  </si>
  <si>
    <t>Martinez, Francisca</t>
  </si>
  <si>
    <t>Molina, Rossie</t>
  </si>
  <si>
    <t>Salas, Leonardo</t>
  </si>
  <si>
    <t>Torres Garcia, Keyden</t>
  </si>
  <si>
    <t>Rogers, Owen</t>
  </si>
  <si>
    <t>Veras, Johanna</t>
  </si>
  <si>
    <t>Vazquez Olivos, Honoria</t>
  </si>
  <si>
    <t>Bozkurt, Sertac</t>
  </si>
  <si>
    <t>Morgan, Fayez</t>
  </si>
  <si>
    <t>Rivas, Jaime</t>
  </si>
  <si>
    <t>Flores Garcia, Jenny Ave</t>
  </si>
  <si>
    <t>Molina, Francisca</t>
  </si>
  <si>
    <t>Hernandez Lazaro, Olga</t>
  </si>
  <si>
    <t>Venceslau, Fernando</t>
  </si>
  <si>
    <t>Bejja, Kamal</t>
  </si>
  <si>
    <t>Poma, Edwin P.</t>
  </si>
  <si>
    <t>Robinson, Shantall</t>
  </si>
  <si>
    <t>Batiz Martinez, Ana Vilma</t>
  </si>
  <si>
    <t>Lopez Benitez, Israel</t>
  </si>
  <si>
    <t>Tenorio, Edgar</t>
  </si>
  <si>
    <t>Narvaez, Nancy</t>
  </si>
  <si>
    <t>Tong, Wanzhe</t>
  </si>
  <si>
    <t>Carriel, Martha</t>
  </si>
  <si>
    <t>Frank, Patrick</t>
  </si>
  <si>
    <t>Aguirre Gomez, Dora Fries</t>
  </si>
  <si>
    <t>Cortes Reyes, Kairos Evelyn</t>
  </si>
  <si>
    <t>Martinez Fernandez, Ibelinn Vanessa</t>
  </si>
  <si>
    <t>Mejia Martinez, Ryan Janil</t>
  </si>
  <si>
    <t>Clarke, Dennis</t>
  </si>
  <si>
    <t>Hernandez, Viviana</t>
  </si>
  <si>
    <t>Zea, Wilson</t>
  </si>
  <si>
    <t>Marin Gonzalez, Dinia T</t>
  </si>
  <si>
    <t>Castillo Reyes, Julio</t>
  </si>
  <si>
    <t>Medina-Ramos, Belkis</t>
  </si>
  <si>
    <t>Alvarado Murillo, Delcy</t>
  </si>
  <si>
    <t>Robles Portillo, Suyapa</t>
  </si>
  <si>
    <t>Flores, Meynardo</t>
  </si>
  <si>
    <t>Lugo, Doris</t>
  </si>
  <si>
    <t>Benitez Reyes, Jose Florentino</t>
  </si>
  <si>
    <t>Pellicone, Marissa</t>
  </si>
  <si>
    <t>Taveras, Mariana</t>
  </si>
  <si>
    <t>Chen, Baoming</t>
  </si>
  <si>
    <t>Xavier, Martha</t>
  </si>
  <si>
    <t>Farciert, Araceli</t>
  </si>
  <si>
    <t>Flores, Jeferson D.</t>
  </si>
  <si>
    <t>Figueroa, Jose</t>
  </si>
  <si>
    <t>Peralta de Torres, Genara</t>
  </si>
  <si>
    <t>Syrtsov, Arkadii</t>
  </si>
  <si>
    <t>Bibi, Rukhasana</t>
  </si>
  <si>
    <t>Muller, Sharmilla C</t>
  </si>
  <si>
    <t>Reyes Garcia, Jonathan</t>
  </si>
  <si>
    <t>Reyes Ortega, Heidy Yadira</t>
  </si>
  <si>
    <t>Hidalgo Reyes, Erika Joneydi</t>
  </si>
  <si>
    <t>Rodriguez, Silvestre</t>
  </si>
  <si>
    <t>Urbina Licona, Maria Jose</t>
  </si>
  <si>
    <t>Tiozang, Vincent (Helen)</t>
  </si>
  <si>
    <t>Tiozang, Vincent (Solomon)</t>
  </si>
  <si>
    <t>Tiozang, Vincent (Jones)</t>
  </si>
  <si>
    <t>Cortes  Xicohtencatl, Guadalupe</t>
  </si>
  <si>
    <t>Miller, Jogo</t>
  </si>
  <si>
    <t>Verde Mendoza, Maynor Jareth</t>
  </si>
  <si>
    <t>Verde Mendoza, Maynor Janeth</t>
  </si>
  <si>
    <t>Cruz Gomez, Linney Sorayssi</t>
  </si>
  <si>
    <t>Cruz Gomez, Mizrahi Iram Hosseffet</t>
  </si>
  <si>
    <t>Ibeneme, David</t>
  </si>
  <si>
    <t>Ochoa, Lubys</t>
  </si>
  <si>
    <t>Tiu-Ordonez, Emiliana Cecilia</t>
  </si>
  <si>
    <t>Cordova, Vilma</t>
  </si>
  <si>
    <t>Mejia, Hector</t>
  </si>
  <si>
    <t>Mejia, Maria</t>
  </si>
  <si>
    <t>Santos Salazar, Esdras Omar</t>
  </si>
  <si>
    <t>Silva Vazquez, Gabriela</t>
  </si>
  <si>
    <t>Rasulov, Odiljon</t>
  </si>
  <si>
    <t>Ordonez, Juana</t>
  </si>
  <si>
    <t>Lopez Lecaros, Luis Alberto</t>
  </si>
  <si>
    <t>Djonovic, Aise</t>
  </si>
  <si>
    <t>Anderson, Ryando</t>
  </si>
  <si>
    <t>Carlina, Pheches</t>
  </si>
  <si>
    <t>Velasquez, Cristopher</t>
  </si>
  <si>
    <t>Grullon, Paula</t>
  </si>
  <si>
    <t>Ozah, Oluwasegun</t>
  </si>
  <si>
    <t>Chagdurov, Aleksandr</t>
  </si>
  <si>
    <t>Ramirez, Jonas</t>
  </si>
  <si>
    <t>Naula Bermeo, Hilda</t>
  </si>
  <si>
    <t>Castrejon, Karla Elizabeth</t>
  </si>
  <si>
    <t>Nasser, Amadou</t>
  </si>
  <si>
    <t>Escobar Avilez, Micaelina</t>
  </si>
  <si>
    <t>Arzu Colon, Jairo</t>
  </si>
  <si>
    <t>Alegre Kopp, Sheila E</t>
  </si>
  <si>
    <t>Cid-Ortiz, Brisa Hinelda</t>
  </si>
  <si>
    <t>Portella Arteaga, Milena Teresa</t>
  </si>
  <si>
    <t>Sanic Tax, Sindi Mishel</t>
  </si>
  <si>
    <t>Basdeo, Paul N</t>
  </si>
  <si>
    <t>Barrientes Contreras, Angelica</t>
  </si>
  <si>
    <t>Waongho, Zita-Irene</t>
  </si>
  <si>
    <t>Loja Ugana, Olga Lucia</t>
  </si>
  <si>
    <t>Flores Maria, Jorge</t>
  </si>
  <si>
    <t>Daniels, Carol</t>
  </si>
  <si>
    <t>Duarte, Angelica</t>
  </si>
  <si>
    <t>Sewsankar, Bagwattie</t>
  </si>
  <si>
    <t>Barrera, Lorenza</t>
  </si>
  <si>
    <t>Barcia, Victor</t>
  </si>
  <si>
    <t>Quijije, Randy</t>
  </si>
  <si>
    <t>Taher, Abu</t>
  </si>
  <si>
    <t>Guzman, Rosario</t>
  </si>
  <si>
    <t>Ustinov, Igor</t>
  </si>
  <si>
    <t>Peña, Ronaldo DeJuan</t>
  </si>
  <si>
    <t>Montoya, Greisy</t>
  </si>
  <si>
    <t>Esteban Perez, Esmeralda</t>
  </si>
  <si>
    <t>Valencia, Jorge</t>
  </si>
  <si>
    <t>Namina Sislema, Cristobal</t>
  </si>
  <si>
    <t>Contreras Rosales, Eddie</t>
  </si>
  <si>
    <t>Mashihi Mutondo Ngoma, Mymy</t>
  </si>
  <si>
    <t>Pastor Mejia, Asencion</t>
  </si>
  <si>
    <t>Robinson, Christopher</t>
  </si>
  <si>
    <t>Williams, Tino</t>
  </si>
  <si>
    <t>Bhuiyan, Mobassir</t>
  </si>
  <si>
    <t>Hernandez, Primitivo</t>
  </si>
  <si>
    <t>Manuel, Osvaldo</t>
  </si>
  <si>
    <t>Small, Anthony</t>
  </si>
  <si>
    <t>Jarjou, Emily Olimatou</t>
  </si>
  <si>
    <t>Fariño, Douglas</t>
  </si>
  <si>
    <t>Jaquez de Peralta, Selena</t>
  </si>
  <si>
    <t>Das, Soma</t>
  </si>
  <si>
    <t>Williams, Althea Rollock</t>
  </si>
  <si>
    <t>Milon, Popi</t>
  </si>
  <si>
    <t>Bucup Calel, Vicente Fernando</t>
  </si>
  <si>
    <t>Youssef, Mohamed</t>
  </si>
  <si>
    <t>Pena Hernandez, Martha</t>
  </si>
  <si>
    <t>Perez, Amalia</t>
  </si>
  <si>
    <t>Navarro Perez, Nadia</t>
  </si>
  <si>
    <t>Nugra Saeteros, Maria</t>
  </si>
  <si>
    <t>Hidalgo, Eris</t>
  </si>
  <si>
    <t>Hidalgo Reyes, Jostin Omar</t>
  </si>
  <si>
    <t>Tinuade, Tinuola</t>
  </si>
  <si>
    <t>Lopez, Amy</t>
  </si>
  <si>
    <t>Bermejo, Rosa Maria</t>
  </si>
  <si>
    <t>Lalmahamad, Arrefa</t>
  </si>
  <si>
    <t>Matthew, Grayson E</t>
  </si>
  <si>
    <t>Mishurov, Anatoly</t>
  </si>
  <si>
    <t>Velasquez, Zonia</t>
  </si>
  <si>
    <t>Hidalgo, Dileny</t>
  </si>
  <si>
    <t>Mejia, Danny B</t>
  </si>
  <si>
    <t>Payano Diaz, Marilyn</t>
  </si>
  <si>
    <t>Aragon, Michelle</t>
  </si>
  <si>
    <t>Avalos Alfallo, Lulu</t>
  </si>
  <si>
    <t>Zebulon, Andrea</t>
  </si>
  <si>
    <t>Azeeze, Kamroon N</t>
  </si>
  <si>
    <t>Chand, Cameel</t>
  </si>
  <si>
    <t>Zapata Florez, Mario</t>
  </si>
  <si>
    <t>Kuzmin, Valeriya</t>
  </si>
  <si>
    <t>Kuzmin, Elizaveta</t>
  </si>
  <si>
    <t>Dia, Ibrahima</t>
  </si>
  <si>
    <t>Martinez, Massiel</t>
  </si>
  <si>
    <t>Yetman, Jan-Adelle</t>
  </si>
  <si>
    <t>Casco Lopez, Laura Isabel</t>
  </si>
  <si>
    <t>Laguna, Jair</t>
  </si>
  <si>
    <t>Yetman, Dale</t>
  </si>
  <si>
    <t>Peralta Perez, Maria Blanca</t>
  </si>
  <si>
    <t>Garcia Campos, Elvia</t>
  </si>
  <si>
    <t>Zapata, Elvin</t>
  </si>
  <si>
    <t>Peterson, Denise</t>
  </si>
  <si>
    <t>Cruz, Milagros</t>
  </si>
  <si>
    <t>Shamuratova, Alsu</t>
  </si>
  <si>
    <t>Riggon, Renaldo</t>
  </si>
  <si>
    <t>Almanzar, Maria E</t>
  </si>
  <si>
    <t>Da Silva, Darwin</t>
  </si>
  <si>
    <t>Calderon, Jose</t>
  </si>
  <si>
    <t>Flores Mira, Glenda Esmeralda</t>
  </si>
  <si>
    <t>Gutierrez-Martinez, Elda Maritza</t>
  </si>
  <si>
    <t>Gomez Cortez, Damaris Carina</t>
  </si>
  <si>
    <t>Eustate de Suarez, Marilelby</t>
  </si>
  <si>
    <t>Zhong, Saiyin</t>
  </si>
  <si>
    <t>Shaybout, Mervat</t>
  </si>
  <si>
    <t>Santos, Perla Cristal</t>
  </si>
  <si>
    <t>Sween, Tyrell</t>
  </si>
  <si>
    <t>Cuc-Garcia, Jose</t>
  </si>
  <si>
    <t>Medina Fuentes, Stephanie Nicoll</t>
  </si>
  <si>
    <t>Pleshkanev, Alexander</t>
  </si>
  <si>
    <t>Guo, Lingfang</t>
  </si>
  <si>
    <t>Contreras, Lizdy</t>
  </si>
  <si>
    <t>Kuzmin, Aleksei</t>
  </si>
  <si>
    <t>Loots, Talia</t>
  </si>
  <si>
    <t>Marshall, Johanna</t>
  </si>
  <si>
    <t>Zapata Ballesteros, Maria</t>
  </si>
  <si>
    <t>Talibakhunova, Shirin Adilovna</t>
  </si>
  <si>
    <t>Mendoza Varela, Kenia Dalila</t>
  </si>
  <si>
    <t>Centeno, Nadia</t>
  </si>
  <si>
    <t>Farez, Leslie</t>
  </si>
  <si>
    <t>Blanco Ortiz, Edinson</t>
  </si>
  <si>
    <t>Martinez Gutierrez, Gustavo</t>
  </si>
  <si>
    <t>Fam, Marven</t>
  </si>
  <si>
    <t>Louis, Jean</t>
  </si>
  <si>
    <t>Mena de Mejia, Rosa Maria</t>
  </si>
  <si>
    <t>Fernandez, Kendra Y</t>
  </si>
  <si>
    <t>Abdul Rahman, Issaka</t>
  </si>
  <si>
    <t>Bartley, Miriam</t>
  </si>
  <si>
    <t>Moran, Maribel</t>
  </si>
  <si>
    <t>Mendoza, Nicanor</t>
  </si>
  <si>
    <t>Glasgow, Sherryann</t>
  </si>
  <si>
    <t>Moran Juarez, Jesus</t>
  </si>
  <si>
    <t>Singh, Nikita</t>
  </si>
  <si>
    <t>Mahabir, Sadia</t>
  </si>
  <si>
    <t>Garcia Chavez, Riccy Mabel</t>
  </si>
  <si>
    <t>Hernandez Romero, Citlaly</t>
  </si>
  <si>
    <t>Solis Romero, Yancy</t>
  </si>
  <si>
    <t>Loza, Karina</t>
  </si>
  <si>
    <t>Granados, Lorena Yanira</t>
  </si>
  <si>
    <t>Hanley, Robert</t>
  </si>
  <si>
    <t>Jack, Paulina</t>
  </si>
  <si>
    <t>Quezada, Teresa</t>
  </si>
  <si>
    <t>Ramos Rosales, Carlos Javier</t>
  </si>
  <si>
    <t>Diamond, Curtis</t>
  </si>
  <si>
    <t>Harripaul, Mohanie</t>
  </si>
  <si>
    <t>Hernandez, Yeny</t>
  </si>
  <si>
    <t>Vargas, Veronica</t>
  </si>
  <si>
    <t>Rosales, Adriana</t>
  </si>
  <si>
    <t>Hanson, Kimanie</t>
  </si>
  <si>
    <t>Pogbene, Alidou</t>
  </si>
  <si>
    <t>Foster, Jamal</t>
  </si>
  <si>
    <t>Hinds, Jamar</t>
  </si>
  <si>
    <t>Scott, Deidra</t>
  </si>
  <si>
    <t>Hernandez, Emma G</t>
  </si>
  <si>
    <t>Mohammad, Ahmad A</t>
  </si>
  <si>
    <t>Berrios, Felicia</t>
  </si>
  <si>
    <t>Camacho, Nancy</t>
  </si>
  <si>
    <t>Santos-Garcia, Cristian</t>
  </si>
  <si>
    <t>Ordonez, Martha</t>
  </si>
  <si>
    <t>Carabajo Hermida, Jose M</t>
  </si>
  <si>
    <t>Rivera Hernandez, Roberto B</t>
  </si>
  <si>
    <t>Saavedra, Roberto</t>
  </si>
  <si>
    <t>Ceballos- Gonzalez, Julian</t>
  </si>
  <si>
    <t>Rodriguez, Carola</t>
  </si>
  <si>
    <t>Perez, Maria</t>
  </si>
  <si>
    <t>Alvarez, Arnold Juvencio</t>
  </si>
  <si>
    <t>Rodriguez Cepeda, Ezequiel</t>
  </si>
  <si>
    <t>Ali, Paula A</t>
  </si>
  <si>
    <t>De Jesus, Georgina</t>
  </si>
  <si>
    <t>Ramos Felipe, Rosa</t>
  </si>
  <si>
    <t>Dauletzharova, Takhmina</t>
  </si>
  <si>
    <t>Portilla, Maria</t>
  </si>
  <si>
    <t>McTaggard, Stanley R</t>
  </si>
  <si>
    <t>Freeman, Paul</t>
  </si>
  <si>
    <t>Patk, Justyna</t>
  </si>
  <si>
    <t>Abreu, Leida</t>
  </si>
  <si>
    <t>Valera, Joan</t>
  </si>
  <si>
    <t>Henry, Leisha</t>
  </si>
  <si>
    <t>Rojas, Tiffany</t>
  </si>
  <si>
    <t>Perez Vicente, Erick</t>
  </si>
  <si>
    <t>Perez Vicente, Luis Geovany</t>
  </si>
  <si>
    <t>Forbes, Margaret</t>
  </si>
  <si>
    <t>Charles, Piklin</t>
  </si>
  <si>
    <t>Camacho Silven, Eulalia Dinora</t>
  </si>
  <si>
    <t>Correa, Sorledy</t>
  </si>
  <si>
    <t>Benneth, Sarahlee</t>
  </si>
  <si>
    <t>Diaz - De Collado, Maria</t>
  </si>
  <si>
    <t>Tavarez, Reinaldo</t>
  </si>
  <si>
    <t>Mercedes Moreno, Berkis Rafelina Alexandra</t>
  </si>
  <si>
    <t>Aguilar Martinez, Jesus</t>
  </si>
  <si>
    <t>Bravo Lopez, Daniela</t>
  </si>
  <si>
    <t>Vasilev, Rustam</t>
  </si>
  <si>
    <t>Lopez, Tania</t>
  </si>
  <si>
    <t>Satchell, Flowers A</t>
  </si>
  <si>
    <t>Martinez, Gladis</t>
  </si>
  <si>
    <t>Toribio Castillo, Cindy P</t>
  </si>
  <si>
    <t>Guerrero, Gloria</t>
  </si>
  <si>
    <t>Guimaraes Da Silva, Elineide</t>
  </si>
  <si>
    <t>Meredith, Leeamoy Alisha</t>
  </si>
  <si>
    <t>Ryan, Raheem</t>
  </si>
  <si>
    <t>Rhoden, Nathaniel Andrew</t>
  </si>
  <si>
    <t>Aguilar, Josefina</t>
  </si>
  <si>
    <t>Garvey, Andrianna N</t>
  </si>
  <si>
    <t>King, Henry</t>
  </si>
  <si>
    <t>Rosas Mendez, Daniel</t>
  </si>
  <si>
    <t>Cruz Pacheco, Sahory</t>
  </si>
  <si>
    <t>Cruz Pacheco, Jennifer</t>
  </si>
  <si>
    <t>Cruz Pacheco, Joseph</t>
  </si>
  <si>
    <t>Khoury, Rafael</t>
  </si>
  <si>
    <t>Reid, Barbara</t>
  </si>
  <si>
    <t>Reyez Diaz, Geremias</t>
  </si>
  <si>
    <t>Kadir, Fadia</t>
  </si>
  <si>
    <t>Manzano, Erasmo</t>
  </si>
  <si>
    <t>Clemente Ramirez, Anderson Neptaly</t>
  </si>
  <si>
    <t>Chavez, Maria</t>
  </si>
  <si>
    <t>Amaya Perez, Belladira</t>
  </si>
  <si>
    <t>Sancho Zumba, Dioselina</t>
  </si>
  <si>
    <t>Napoleon Louis, Darline</t>
  </si>
  <si>
    <t>Marcano, Merici</t>
  </si>
  <si>
    <t>Hernandez Ferrer de Cuello, Maribel</t>
  </si>
  <si>
    <t>Waheed, Jasna Mina</t>
  </si>
  <si>
    <t>Loka, Amanda</t>
  </si>
  <si>
    <t>Sweeny, Barbara</t>
  </si>
  <si>
    <t>Castillo, Nilsa</t>
  </si>
  <si>
    <t>Toribio, Xiomara</t>
  </si>
  <si>
    <t>Santos de Hernandez, Rosalba</t>
  </si>
  <si>
    <t>Shields, Annette</t>
  </si>
  <si>
    <t>Ruiz Escobar, Eudocia A</t>
  </si>
  <si>
    <t>Gomez, Lino</t>
  </si>
  <si>
    <t>Suero, Jhony</t>
  </si>
  <si>
    <t>Gomez, Elizabeth</t>
  </si>
  <si>
    <t>Alcantara, Ceneyli</t>
  </si>
  <si>
    <t>Pitcairn, Shermayne Lance</t>
  </si>
  <si>
    <t>Sanchez, Olga</t>
  </si>
  <si>
    <t>Richards, Jahlani</t>
  </si>
  <si>
    <t>Vargas Tolentino, Cenaida</t>
  </si>
  <si>
    <t>Reyes, Cesar</t>
  </si>
  <si>
    <t>Bahja, Rajmonda</t>
  </si>
  <si>
    <t>Fernandez, Jocelin</t>
  </si>
  <si>
    <t>Chavez Chicas, Yesli</t>
  </si>
  <si>
    <t>Shaikh, Mussarat</t>
  </si>
  <si>
    <t>Barcia, Jose</t>
  </si>
  <si>
    <t>Perechu Tzep, Yessica Marleny</t>
  </si>
  <si>
    <t>Romero, Rosalinda</t>
  </si>
  <si>
    <t>Dixon, Kerema</t>
  </si>
  <si>
    <t>Pak, Hyoncha</t>
  </si>
  <si>
    <t>Reyes Alvarado, Elia</t>
  </si>
  <si>
    <t>Gaynor, Sylvia</t>
  </si>
  <si>
    <t>Rodriguez, Henrry</t>
  </si>
  <si>
    <t>Perez, Nolberto</t>
  </si>
  <si>
    <t>Perez, Ruth C</t>
  </si>
  <si>
    <t>Friday, Charlene</t>
  </si>
  <si>
    <t>Reyes, Angela</t>
  </si>
  <si>
    <t>Almonte, Sugeiry</t>
  </si>
  <si>
    <t>Anderson, Sonia May</t>
  </si>
  <si>
    <t>Basurto, Luzelbi</t>
  </si>
  <si>
    <t>Sanon, Marie Gladis</t>
  </si>
  <si>
    <t>Mpia, Carine</t>
  </si>
  <si>
    <t>Morgan, Milad</t>
  </si>
  <si>
    <t>Sandiford, Brittany</t>
  </si>
  <si>
    <t>Romero Saldana, Carolina</t>
  </si>
  <si>
    <t>Campbell, Alousius</t>
  </si>
  <si>
    <t>Rojas, Elvira</t>
  </si>
  <si>
    <t>Ruiz, Karmina</t>
  </si>
  <si>
    <t>Medina, Raquel</t>
  </si>
  <si>
    <t>Doukoure, Aissatou</t>
  </si>
  <si>
    <t>Doukoure, Kadidia</t>
  </si>
  <si>
    <t>Gray, Natasha</t>
  </si>
  <si>
    <t>Sterling, Valrita</t>
  </si>
  <si>
    <t>Akkuns, Gorkem</t>
  </si>
  <si>
    <t>Tardio, Luis H</t>
  </si>
  <si>
    <t>Plasencia, Rosa Nery</t>
  </si>
  <si>
    <t>Moonsammy, Sindamanie</t>
  </si>
  <si>
    <t>Joseph, Blenda</t>
  </si>
  <si>
    <t>Setal, Raymond</t>
  </si>
  <si>
    <t>Armstrong, Kathleen</t>
  </si>
  <si>
    <t>Diaz Montes, Millie</t>
  </si>
  <si>
    <t>Persaud, Jasodra</t>
  </si>
  <si>
    <t>Cameron, Noreen</t>
  </si>
  <si>
    <t>Vera, Jose</t>
  </si>
  <si>
    <t>Fuentez Solis, Elsy</t>
  </si>
  <si>
    <t>St Sume, Marie</t>
  </si>
  <si>
    <t>Morocho Tenemaza, Tanya Maribel</t>
  </si>
  <si>
    <t>Cardoza Nevarez, Maria de los Angeles</t>
  </si>
  <si>
    <t>Rodriguez, Yazmin</t>
  </si>
  <si>
    <t>Melara Sanchez, Alva Maria</t>
  </si>
  <si>
    <t>Marquez, Maria Petronila</t>
  </si>
  <si>
    <t>Licona, Flor</t>
  </si>
  <si>
    <t>Dorlice, Marlene</t>
  </si>
  <si>
    <t>Ahmed, Tarek</t>
  </si>
  <si>
    <t>Colon, Guillerma</t>
  </si>
  <si>
    <t>Charles, Kenneth</t>
  </si>
  <si>
    <t>Mullings, Dane</t>
  </si>
  <si>
    <t>Pichardo, Manuel Antonio</t>
  </si>
  <si>
    <t>Ramirez, Orlando</t>
  </si>
  <si>
    <t>Melendez Velasquez, Bertha Isela</t>
  </si>
  <si>
    <t>VARGAS, ELIZABETH</t>
  </si>
  <si>
    <t>Hernandez, Roger</t>
  </si>
  <si>
    <t>Ugursu, Belgin</t>
  </si>
  <si>
    <t>Gutierrez, Brayan</t>
  </si>
  <si>
    <t>Salvi, Maria</t>
  </si>
  <si>
    <t>James, Geneva</t>
  </si>
  <si>
    <t>Madrid Gutierrez, Fernanda</t>
  </si>
  <si>
    <t>Clarke Balin, Dianne</t>
  </si>
  <si>
    <t>Harris, Roshannee</t>
  </si>
  <si>
    <t>Canales Maradiaga, Brithany Josely</t>
  </si>
  <si>
    <t>Canales Maradiaga, Edwin Yadiel</t>
  </si>
  <si>
    <t>Canales Maradiaga, Kenner Jared</t>
  </si>
  <si>
    <t>Julu, Babysister</t>
  </si>
  <si>
    <t>Lopez, Carmen C</t>
  </si>
  <si>
    <t>Toure, Awa</t>
  </si>
  <si>
    <t>Garcia Blanco, Edgar Eli</t>
  </si>
  <si>
    <t>Garcia Blanco, Leslie Alejandra</t>
  </si>
  <si>
    <t>Dymov, Yevgeniy</t>
  </si>
  <si>
    <t>Talla, Celestin</t>
  </si>
  <si>
    <t>Harbajan, Keisha</t>
  </si>
  <si>
    <t>Taverez, Waldy</t>
  </si>
  <si>
    <t>De La Cruz Rodriguez, Xiomara</t>
  </si>
  <si>
    <t>Hernandez Nunez, Luisa</t>
  </si>
  <si>
    <t>Abubakar, Saeed</t>
  </si>
  <si>
    <t>Ramirez, Renzo</t>
  </si>
  <si>
    <t>Kone, Losseni</t>
  </si>
  <si>
    <t>Betancur, Maria Salome</t>
  </si>
  <si>
    <t>Alrubaii, Zahralyemen</t>
  </si>
  <si>
    <t>Romero, Fabiola</t>
  </si>
  <si>
    <t>Estrada, Ruth</t>
  </si>
  <si>
    <t>Pantoja Benavides, Noe</t>
  </si>
  <si>
    <t>Flores, Andrea</t>
  </si>
  <si>
    <t>Morastitla, Teodora</t>
  </si>
  <si>
    <t>Hernandez, Catalina</t>
  </si>
  <si>
    <t>Tula, Elizabeth</t>
  </si>
  <si>
    <t>Ramos Norales, Angel</t>
  </si>
  <si>
    <t>Youssef, Mario</t>
  </si>
  <si>
    <t>Enriquez, Ricardo</t>
  </si>
  <si>
    <t>Martinez, Silvia</t>
  </si>
  <si>
    <t>Calderon, Erika</t>
  </si>
  <si>
    <t>Vasquez, Emma</t>
  </si>
  <si>
    <t>Saint Louis, Nogah</t>
  </si>
  <si>
    <t>Segovia, Edson</t>
  </si>
  <si>
    <t>Alvarez Ramirez, Yainia Arali</t>
  </si>
  <si>
    <t>Zhagui Bravo, Ana</t>
  </si>
  <si>
    <t>Guillauville, Jeanne Andrea</t>
  </si>
  <si>
    <t>Ferrer, Cleopatra</t>
  </si>
  <si>
    <t>Cardona Alvarenga, Keyla</t>
  </si>
  <si>
    <t>Rodriguez Blanco, Meralyn Yohami</t>
  </si>
  <si>
    <t>Rodriguez Blanco, Angel Emanuel</t>
  </si>
  <si>
    <t>Perez Cartagena, Loany</t>
  </si>
  <si>
    <t>Alvarado Perez, Rosangela Giccel</t>
  </si>
  <si>
    <t>Padilla, Angelica</t>
  </si>
  <si>
    <t>Mitchell, Ricardo</t>
  </si>
  <si>
    <t>Torres, Emelia H</t>
  </si>
  <si>
    <t>Hernandez, Edras</t>
  </si>
  <si>
    <t>Jairam, Gaffiloom</t>
  </si>
  <si>
    <t>Guevara Castro, Osman Gerardo</t>
  </si>
  <si>
    <t>Lew, Beverly</t>
  </si>
  <si>
    <t>Bratu, Georgeta</t>
  </si>
  <si>
    <t>Williams, Claudette</t>
  </si>
  <si>
    <t>Clarke, Kadeen</t>
  </si>
  <si>
    <t>Sanchez Gomez, Maria Soledad</t>
  </si>
  <si>
    <t>Cruz, Victoriano</t>
  </si>
  <si>
    <t>Salazar-Moronta, Luis</t>
  </si>
  <si>
    <t>Javed, Suleman</t>
  </si>
  <si>
    <t>Archer, Maureen</t>
  </si>
  <si>
    <t>Castillo, Angela</t>
  </si>
  <si>
    <t>Iagudin, Timur</t>
  </si>
  <si>
    <t>Flores, Ismael</t>
  </si>
  <si>
    <t>Gomez, Yanet</t>
  </si>
  <si>
    <t>Padilla, Marina</t>
  </si>
  <si>
    <t>Rodriguez, Sara De Los Angeles</t>
  </si>
  <si>
    <t>Jorge, Maria</t>
  </si>
  <si>
    <t>Blanco De Garcia, Ingrid Albertina</t>
  </si>
  <si>
    <t>James, Rickein</t>
  </si>
  <si>
    <t>Mahabir, NO GIVEN NAME</t>
  </si>
  <si>
    <t>Flores, Raymundo</t>
  </si>
  <si>
    <t>Cornielle, Donna</t>
  </si>
  <si>
    <t>Castillo, Joselyn Dennise</t>
  </si>
  <si>
    <t>Dolor, Gervin</t>
  </si>
  <si>
    <t>Erazo Sarmiento, Alexandra</t>
  </si>
  <si>
    <t>Andrade Vijil, Evelin J</t>
  </si>
  <si>
    <t>Ramos, Zoila</t>
  </si>
  <si>
    <t>Enamorado-Hernandez, Heidi</t>
  </si>
  <si>
    <t>Canales Enamorado, Oscar</t>
  </si>
  <si>
    <t>Pryce, Raymond R</t>
  </si>
  <si>
    <t>Ally, Subhan</t>
  </si>
  <si>
    <t>Gabriel Quezada, Henrry A</t>
  </si>
  <si>
    <t>Zadani, Fath</t>
  </si>
  <si>
    <t>Sokhna, Aminata</t>
  </si>
  <si>
    <t>Ayala, Jesus</t>
  </si>
  <si>
    <t>Beckford-Duffault, Dennekia</t>
  </si>
  <si>
    <t>Mehdi, Syed</t>
  </si>
  <si>
    <t>Singh, Bibi H</t>
  </si>
  <si>
    <t>Raskin, Viktoriya</t>
  </si>
  <si>
    <t>Corado Cortez, Andres Alfonso</t>
  </si>
  <si>
    <t>Harbajan, Curtis</t>
  </si>
  <si>
    <t>Harbajan, Kyle Kristoff</t>
  </si>
  <si>
    <t>Shiamsundar, Marvin</t>
  </si>
  <si>
    <t>Ekweanya, Victor Somtochukwu</t>
  </si>
  <si>
    <t>Ramirez, Cesar Samuel</t>
  </si>
  <si>
    <t>Feliz, Edwin</t>
  </si>
  <si>
    <t>Lopez, Diomedes</t>
  </si>
  <si>
    <t>Lyuman, Sevil</t>
  </si>
  <si>
    <t>Paulino, Georgina D</t>
  </si>
  <si>
    <t>Guzman, Yanira</t>
  </si>
  <si>
    <t>Jimenez Rodriguez, Lisbeth Pamela</t>
  </si>
  <si>
    <t>Ortiz-Cruzel, Eriberto</t>
  </si>
  <si>
    <t>Han-Kufner, Jungwon</t>
  </si>
  <si>
    <t>Chicas Rodriguez, Leslie</t>
  </si>
  <si>
    <t>Nunez, Francisco</t>
  </si>
  <si>
    <t>Reneau, Cherry M</t>
  </si>
  <si>
    <t>Nkwocha, Michael</t>
  </si>
  <si>
    <t>Castro, Delia</t>
  </si>
  <si>
    <t>Pacheco, Nilcer</t>
  </si>
  <si>
    <t>Eleshin, Adiza</t>
  </si>
  <si>
    <t>Smith-Williams, Elecia</t>
  </si>
  <si>
    <t>Rambarrack, Moneshwar</t>
  </si>
  <si>
    <t>Shefild, Dmitry</t>
  </si>
  <si>
    <t>Rivera, Nancy R</t>
  </si>
  <si>
    <t>Gonzalez, karina</t>
  </si>
  <si>
    <t>Smith, Kennard</t>
  </si>
  <si>
    <t>Bowen-Ellis, Conrado Eduardo</t>
  </si>
  <si>
    <t>Velasquez, Herminia V</t>
  </si>
  <si>
    <t>Martinez Moreno, William</t>
  </si>
  <si>
    <t>Quezada, Carlos</t>
  </si>
  <si>
    <t>Sarabia, Idelma</t>
  </si>
  <si>
    <t>Volquez, Miguel</t>
  </si>
  <si>
    <t>Yilmaz, Ezgi</t>
  </si>
  <si>
    <t>Gbapaywhea, Samuel</t>
  </si>
  <si>
    <t>Chiche, Maria</t>
  </si>
  <si>
    <t>Steele, Keinda</t>
  </si>
  <si>
    <t>Del Rosario, Victor</t>
  </si>
  <si>
    <t>Ramos, Elsa</t>
  </si>
  <si>
    <t>Mendez, Alma</t>
  </si>
  <si>
    <t>Rodriguez de Gomez, Ydalia</t>
  </si>
  <si>
    <t>Muniz, Jesus</t>
  </si>
  <si>
    <t>Lozano, Dionicia</t>
  </si>
  <si>
    <t>Tapia, Annette</t>
  </si>
  <si>
    <t>Lindsay, Gilma</t>
  </si>
  <si>
    <t>Mohabir, Deolall</t>
  </si>
  <si>
    <t>Lorenzo, Yobanis</t>
  </si>
  <si>
    <t>Lopez, Telma</t>
  </si>
  <si>
    <t>Nimbabaje, Jacqueline</t>
  </si>
  <si>
    <t>Bilic, Sandra</t>
  </si>
  <si>
    <t>Agajumayev, Guvanch</t>
  </si>
  <si>
    <t>Contreras Cortorreal, Joandry</t>
  </si>
  <si>
    <t>Fernandez, Francisca</t>
  </si>
  <si>
    <t>Borges, Miguel</t>
  </si>
  <si>
    <t>Sic Xitumul, Gladys Yanira</t>
  </si>
  <si>
    <t>Ualiyev, Daniyar</t>
  </si>
  <si>
    <t>Zhuravlev, Maksim</t>
  </si>
  <si>
    <t>Rosado Paulino, Pura Aida C</t>
  </si>
  <si>
    <t>Perez, Sonia</t>
  </si>
  <si>
    <t>Latyshev, Sergei</t>
  </si>
  <si>
    <t>Kim, Hyunhee</t>
  </si>
  <si>
    <t>Luzin, Kirill</t>
  </si>
  <si>
    <t>Hernandez, Gabriel</t>
  </si>
  <si>
    <t>Perez Cartagena, Emerson Jafeth</t>
  </si>
  <si>
    <t>Husbands, Shelly</t>
  </si>
  <si>
    <t>Caceres Luna, Mariel M</t>
  </si>
  <si>
    <t>Ortega, Armando</t>
  </si>
  <si>
    <t>Rivera- Duran, Salomon</t>
  </si>
  <si>
    <t>Ramirez, Ingrid</t>
  </si>
  <si>
    <t>Galindo, Guillermo</t>
  </si>
  <si>
    <t>Padilla, Maria</t>
  </si>
  <si>
    <t>Escobar, Yury</t>
  </si>
  <si>
    <t>Esin, Vadim</t>
  </si>
  <si>
    <t>Golovin, Ilya</t>
  </si>
  <si>
    <t>Perez, Yulis</t>
  </si>
  <si>
    <t>Chavez, Miriam</t>
  </si>
  <si>
    <t>Murillo Cartagena, Reina</t>
  </si>
  <si>
    <t>Navarro Murillo, Luis Alonso</t>
  </si>
  <si>
    <t>Vinnik, Andrey</t>
  </si>
  <si>
    <t>Kalashnikov, Boris</t>
  </si>
  <si>
    <t>Malakhov, Roman</t>
  </si>
  <si>
    <t>Kiselev, Ilya</t>
  </si>
  <si>
    <t>Pleshkov, Andrey</t>
  </si>
  <si>
    <t>Sarmiento, Gloria</t>
  </si>
  <si>
    <t>Andrade Vijil, Karla</t>
  </si>
  <si>
    <t>Orihuela, Roxana</t>
  </si>
  <si>
    <t>Savin, Igor</t>
  </si>
  <si>
    <t>Maradiaga Alvarado, Jeimy</t>
  </si>
  <si>
    <t>Zou, Jin Ying</t>
  </si>
  <si>
    <t>Enriquez Vivar, Claudia</t>
  </si>
  <si>
    <t>Raja, Mohamed Javaid</t>
  </si>
  <si>
    <t>Tulay, Sarah</t>
  </si>
  <si>
    <t>Kataballi, Daywatti</t>
  </si>
  <si>
    <t>Bravo Bolanos, Heladio</t>
  </si>
  <si>
    <t>Gueye, Sabrina</t>
  </si>
  <si>
    <t>Torres Romero, Bessy Patricia</t>
  </si>
  <si>
    <t>Viruel, Alvaro</t>
  </si>
  <si>
    <t>Sosa, Leonides</t>
  </si>
  <si>
    <t>Herrera, Alejandro</t>
  </si>
  <si>
    <t>Zenteno, Celia</t>
  </si>
  <si>
    <t>Navarro Moran, Darcedalia</t>
  </si>
  <si>
    <t>Soankopo Ghislane, Nikiema</t>
  </si>
  <si>
    <t>Orea, Arely</t>
  </si>
  <si>
    <t>Lopez, Elida</t>
  </si>
  <si>
    <t>Sanango Chabla, Maria Hilda</t>
  </si>
  <si>
    <t>Rosendo, Yudith Lucia</t>
  </si>
  <si>
    <t>Arzumanyants, Janna</t>
  </si>
  <si>
    <t>Representation - Admin. Agency</t>
  </si>
  <si>
    <t>Representation - State Court</t>
  </si>
  <si>
    <t>Representation—EOIR</t>
  </si>
  <si>
    <t>Out-of-Court Advocacy</t>
  </si>
  <si>
    <t>Representation - Federal Court</t>
  </si>
  <si>
    <t>Needs DHCI Form</t>
  </si>
  <si>
    <t>Needs Income Waiver</t>
  </si>
  <si>
    <t>Needs Substantial Activity in FY20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</si>
</sst>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1962"/>
  <sheetViews>
    <sheetView tabSelected="1" workbookViewId="0"/>
  </sheetViews>
  <sheetFormatPr defaultRowHeight="15"/>
  <cols>
    <col min="1" max="1" width="20.7109375" style="1" customWidth="1"/>
    <col min="2" max="2" width="19.7109375" customWidth="1"/>
    <col min="3" max="64" width="30.7109375" customWidth="1"/>
  </cols>
  <sheetData>
    <row r="1" spans="1:4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25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5</v>
      </c>
      <c r="AM1" s="2" t="s">
        <v>36</v>
      </c>
      <c r="AN1" s="2" t="s">
        <v>27</v>
      </c>
      <c r="AO1" s="2" t="s">
        <v>37</v>
      </c>
    </row>
    <row r="2" spans="1:41">
      <c r="A2" s="1" t="s">
        <v>38</v>
      </c>
      <c r="B2" t="s">
        <v>1998</v>
      </c>
      <c r="C2" t="s">
        <v>1998</v>
      </c>
      <c r="D2" t="s">
        <v>2026</v>
      </c>
      <c r="E2" t="s">
        <v>2111</v>
      </c>
      <c r="F2" t="s">
        <v>2114</v>
      </c>
      <c r="G2" t="s">
        <v>2211</v>
      </c>
      <c r="H2">
        <v>10032</v>
      </c>
      <c r="I2" t="s">
        <v>2229</v>
      </c>
      <c r="J2">
        <v>3</v>
      </c>
      <c r="K2">
        <v>2</v>
      </c>
      <c r="L2" t="s">
        <v>2255</v>
      </c>
      <c r="M2" t="s">
        <v>2677</v>
      </c>
      <c r="P2" t="s">
        <v>2686</v>
      </c>
      <c r="Q2" t="s">
        <v>2113</v>
      </c>
      <c r="R2" t="s">
        <v>3258</v>
      </c>
      <c r="S2" t="s">
        <v>3262</v>
      </c>
      <c r="X2" t="s">
        <v>3354</v>
      </c>
      <c r="Y2" t="s">
        <v>2678</v>
      </c>
      <c r="Z2" t="s">
        <v>3355</v>
      </c>
      <c r="AA2" t="s">
        <v>3406</v>
      </c>
      <c r="AB2" t="s">
        <v>3410</v>
      </c>
      <c r="AC2">
        <f>HYPERLINK("https://lsnyc.legalserver.org/matter/dynamic-profile/view/1917990","20-1917990")</f>
        <v>0</v>
      </c>
      <c r="AD2" t="s">
        <v>3442</v>
      </c>
      <c r="AE2" t="s">
        <v>3448</v>
      </c>
      <c r="AF2" t="s">
        <v>3495</v>
      </c>
      <c r="AG2" t="s">
        <v>3355</v>
      </c>
      <c r="AH2" t="s">
        <v>4904</v>
      </c>
      <c r="AL2" t="s">
        <v>2114</v>
      </c>
      <c r="AN2" t="s">
        <v>3410</v>
      </c>
    </row>
    <row r="3" spans="1:41">
      <c r="A3" s="1" t="s">
        <v>39</v>
      </c>
      <c r="B3" t="s">
        <v>1998</v>
      </c>
      <c r="C3" t="s">
        <v>2016</v>
      </c>
      <c r="D3" t="s">
        <v>2027</v>
      </c>
      <c r="E3" t="s">
        <v>2111</v>
      </c>
      <c r="F3" t="s">
        <v>2114</v>
      </c>
      <c r="G3" t="s">
        <v>2211</v>
      </c>
      <c r="H3">
        <v>10032</v>
      </c>
      <c r="I3" t="s">
        <v>2229</v>
      </c>
      <c r="J3">
        <v>4</v>
      </c>
      <c r="K3">
        <v>3</v>
      </c>
      <c r="L3" t="s">
        <v>2255</v>
      </c>
      <c r="M3" t="s">
        <v>2677</v>
      </c>
      <c r="P3" t="s">
        <v>2686</v>
      </c>
      <c r="Q3" t="s">
        <v>2113</v>
      </c>
      <c r="R3" t="s">
        <v>3258</v>
      </c>
      <c r="S3" t="s">
        <v>3262</v>
      </c>
      <c r="X3" t="s">
        <v>3354</v>
      </c>
      <c r="Y3" t="s">
        <v>2678</v>
      </c>
      <c r="Z3" t="s">
        <v>3355</v>
      </c>
      <c r="AA3" t="s">
        <v>3406</v>
      </c>
      <c r="AB3" t="s">
        <v>3410</v>
      </c>
      <c r="AC3">
        <f>HYPERLINK("https://lsnyc.legalserver.org/matter/dynamic-profile/view/1917999","20-1917999")</f>
        <v>0</v>
      </c>
      <c r="AD3" t="s">
        <v>3442</v>
      </c>
      <c r="AE3" t="s">
        <v>3448</v>
      </c>
      <c r="AF3" t="s">
        <v>3496</v>
      </c>
      <c r="AG3" t="s">
        <v>3355</v>
      </c>
      <c r="AH3" t="s">
        <v>4904</v>
      </c>
      <c r="AL3" t="s">
        <v>2114</v>
      </c>
      <c r="AN3" t="s">
        <v>3410</v>
      </c>
    </row>
    <row r="4" spans="1:41">
      <c r="A4" s="1" t="s">
        <v>40</v>
      </c>
      <c r="B4" t="s">
        <v>1999</v>
      </c>
      <c r="C4" t="s">
        <v>2003</v>
      </c>
      <c r="D4" t="s">
        <v>2028</v>
      </c>
      <c r="E4" t="s">
        <v>2111</v>
      </c>
      <c r="G4" t="s">
        <v>2212</v>
      </c>
      <c r="H4">
        <v>11377</v>
      </c>
      <c r="I4" t="s">
        <v>2230</v>
      </c>
      <c r="J4">
        <v>1</v>
      </c>
      <c r="K4">
        <v>0</v>
      </c>
      <c r="L4" t="s">
        <v>2256</v>
      </c>
      <c r="M4" t="s">
        <v>2677</v>
      </c>
      <c r="P4" t="s">
        <v>2687</v>
      </c>
      <c r="Q4" t="s">
        <v>3255</v>
      </c>
      <c r="R4" t="s">
        <v>3258</v>
      </c>
      <c r="S4" t="s">
        <v>3263</v>
      </c>
      <c r="X4" t="s">
        <v>3354</v>
      </c>
      <c r="Y4" t="s">
        <v>2678</v>
      </c>
      <c r="Z4" t="s">
        <v>3356</v>
      </c>
      <c r="AB4" t="s">
        <v>3411</v>
      </c>
      <c r="AC4">
        <f>HYPERLINK("https://lsnyc.legalserver.org/matter/dynamic-profile/view/1915821","19-1915821")</f>
        <v>0</v>
      </c>
      <c r="AD4" t="s">
        <v>3443</v>
      </c>
      <c r="AE4" t="s">
        <v>3449</v>
      </c>
      <c r="AF4" t="s">
        <v>3497</v>
      </c>
      <c r="AG4" t="s">
        <v>3356</v>
      </c>
      <c r="AI4" t="s">
        <v>4909</v>
      </c>
      <c r="AN4" t="s">
        <v>3411</v>
      </c>
    </row>
    <row r="5" spans="1:41">
      <c r="A5" s="1" t="s">
        <v>41</v>
      </c>
      <c r="B5" t="s">
        <v>2000</v>
      </c>
      <c r="C5" t="s">
        <v>1998</v>
      </c>
      <c r="D5" t="s">
        <v>2029</v>
      </c>
      <c r="E5" t="s">
        <v>2112</v>
      </c>
      <c r="F5" t="s">
        <v>2115</v>
      </c>
      <c r="G5" t="s">
        <v>2212</v>
      </c>
      <c r="H5">
        <v>11432</v>
      </c>
      <c r="I5" t="s">
        <v>2229</v>
      </c>
      <c r="J5">
        <v>2</v>
      </c>
      <c r="K5">
        <v>1</v>
      </c>
      <c r="L5" t="s">
        <v>2257</v>
      </c>
      <c r="M5" t="s">
        <v>2677</v>
      </c>
      <c r="P5" t="s">
        <v>2687</v>
      </c>
      <c r="Q5" t="s">
        <v>2113</v>
      </c>
      <c r="R5" t="s">
        <v>3259</v>
      </c>
      <c r="S5" t="s">
        <v>3264</v>
      </c>
      <c r="X5" t="s">
        <v>3354</v>
      </c>
      <c r="Y5" t="s">
        <v>2678</v>
      </c>
      <c r="Z5" t="s">
        <v>3357</v>
      </c>
      <c r="AB5" t="s">
        <v>3412</v>
      </c>
      <c r="AC5">
        <f>HYPERLINK("https://lsnyc.legalserver.org/matter/dynamic-profile/view/1917972","20-1917972")</f>
        <v>0</v>
      </c>
      <c r="AD5" t="s">
        <v>3443</v>
      </c>
      <c r="AE5" t="s">
        <v>3450</v>
      </c>
      <c r="AF5" t="s">
        <v>3498</v>
      </c>
      <c r="AG5" t="s">
        <v>3357</v>
      </c>
      <c r="AI5" t="s">
        <v>4909</v>
      </c>
      <c r="AL5" t="s">
        <v>2115</v>
      </c>
      <c r="AN5" t="s">
        <v>3412</v>
      </c>
    </row>
    <row r="6" spans="1:41">
      <c r="A6" s="1" t="s">
        <v>42</v>
      </c>
      <c r="B6" t="s">
        <v>2001</v>
      </c>
      <c r="C6" t="s">
        <v>2001</v>
      </c>
      <c r="D6" t="s">
        <v>2030</v>
      </c>
      <c r="E6" t="s">
        <v>2112</v>
      </c>
      <c r="F6" t="s">
        <v>2116</v>
      </c>
      <c r="G6" t="s">
        <v>2213</v>
      </c>
      <c r="H6">
        <v>10467</v>
      </c>
      <c r="I6" t="s">
        <v>2229</v>
      </c>
      <c r="J6">
        <v>4</v>
      </c>
      <c r="K6">
        <v>2</v>
      </c>
      <c r="L6" t="s">
        <v>2258</v>
      </c>
      <c r="M6" t="s">
        <v>2677</v>
      </c>
      <c r="P6" t="s">
        <v>2687</v>
      </c>
      <c r="Q6" t="s">
        <v>2113</v>
      </c>
      <c r="R6" t="s">
        <v>3258</v>
      </c>
      <c r="S6" t="s">
        <v>3265</v>
      </c>
      <c r="V6" t="s">
        <v>3352</v>
      </c>
      <c r="X6" t="s">
        <v>3354</v>
      </c>
      <c r="Y6" t="s">
        <v>2678</v>
      </c>
      <c r="Z6" t="s">
        <v>3358</v>
      </c>
      <c r="AA6" t="s">
        <v>3406</v>
      </c>
      <c r="AB6" t="s">
        <v>3413</v>
      </c>
      <c r="AC6">
        <f>HYPERLINK("https://lsnyc.legalserver.org/matter/dynamic-profile/view/1917976","20-1917976")</f>
        <v>0</v>
      </c>
      <c r="AD6" t="s">
        <v>3444</v>
      </c>
      <c r="AE6" t="s">
        <v>3451</v>
      </c>
      <c r="AF6" t="s">
        <v>3499</v>
      </c>
      <c r="AG6" t="s">
        <v>3358</v>
      </c>
      <c r="AH6" t="s">
        <v>4904</v>
      </c>
      <c r="AI6" t="s">
        <v>4909</v>
      </c>
      <c r="AL6" t="s">
        <v>2116</v>
      </c>
      <c r="AN6" t="s">
        <v>3413</v>
      </c>
      <c r="AO6" t="s">
        <v>3352</v>
      </c>
    </row>
    <row r="7" spans="1:41">
      <c r="A7" s="1" t="s">
        <v>43</v>
      </c>
      <c r="B7" t="s">
        <v>2000</v>
      </c>
      <c r="C7" t="s">
        <v>2001</v>
      </c>
      <c r="D7" t="s">
        <v>2031</v>
      </c>
      <c r="E7" t="s">
        <v>2112</v>
      </c>
      <c r="F7" t="s">
        <v>2117</v>
      </c>
      <c r="G7" t="s">
        <v>2213</v>
      </c>
      <c r="H7">
        <v>10460</v>
      </c>
      <c r="I7" t="s">
        <v>2229</v>
      </c>
      <c r="J7">
        <v>2</v>
      </c>
      <c r="K7">
        <v>1</v>
      </c>
      <c r="L7" t="s">
        <v>2259</v>
      </c>
      <c r="M7" t="s">
        <v>2677</v>
      </c>
      <c r="P7" t="s">
        <v>2688</v>
      </c>
      <c r="Q7" t="s">
        <v>2113</v>
      </c>
      <c r="R7" t="s">
        <v>3260</v>
      </c>
      <c r="S7" t="s">
        <v>3266</v>
      </c>
      <c r="X7" t="s">
        <v>3354</v>
      </c>
      <c r="Y7" t="s">
        <v>2677</v>
      </c>
      <c r="AB7" t="s">
        <v>3414</v>
      </c>
      <c r="AC7">
        <f>HYPERLINK("https://lsnyc.legalserver.org/matter/dynamic-profile/view/1917753","20-1917753")</f>
        <v>0</v>
      </c>
      <c r="AD7" t="s">
        <v>3445</v>
      </c>
      <c r="AE7" t="s">
        <v>3452</v>
      </c>
      <c r="AF7" t="s">
        <v>3500</v>
      </c>
      <c r="AI7" t="s">
        <v>4909</v>
      </c>
      <c r="AL7" t="s">
        <v>2117</v>
      </c>
      <c r="AN7" t="s">
        <v>3414</v>
      </c>
    </row>
    <row r="8" spans="1:41">
      <c r="A8" s="1" t="s">
        <v>44</v>
      </c>
      <c r="B8" t="s">
        <v>2000</v>
      </c>
      <c r="C8" t="s">
        <v>2000</v>
      </c>
      <c r="D8" t="s">
        <v>2032</v>
      </c>
      <c r="E8" t="s">
        <v>2112</v>
      </c>
      <c r="F8" t="s">
        <v>2118</v>
      </c>
      <c r="G8" t="s">
        <v>2214</v>
      </c>
      <c r="H8">
        <v>11230</v>
      </c>
      <c r="I8" t="s">
        <v>2231</v>
      </c>
      <c r="J8">
        <v>2</v>
      </c>
      <c r="K8">
        <v>0</v>
      </c>
      <c r="L8" t="s">
        <v>2256</v>
      </c>
      <c r="M8" t="s">
        <v>2677</v>
      </c>
      <c r="P8" t="s">
        <v>2688</v>
      </c>
      <c r="Q8" t="s">
        <v>3255</v>
      </c>
      <c r="R8" t="s">
        <v>3259</v>
      </c>
      <c r="S8" t="s">
        <v>3267</v>
      </c>
      <c r="X8" t="s">
        <v>3354</v>
      </c>
      <c r="Y8" t="s">
        <v>2678</v>
      </c>
      <c r="Z8" t="s">
        <v>3359</v>
      </c>
      <c r="AB8" t="s">
        <v>3415</v>
      </c>
      <c r="AC8">
        <f>HYPERLINK("https://lsnyc.legalserver.org/matter/dynamic-profile/view/1917832","20-1917832")</f>
        <v>0</v>
      </c>
      <c r="AD8" t="s">
        <v>3446</v>
      </c>
      <c r="AE8" t="s">
        <v>3453</v>
      </c>
      <c r="AF8" t="s">
        <v>3501</v>
      </c>
      <c r="AG8" t="s">
        <v>3359</v>
      </c>
      <c r="AI8" t="s">
        <v>4909</v>
      </c>
      <c r="AL8" t="s">
        <v>2118</v>
      </c>
      <c r="AN8" t="s">
        <v>3415</v>
      </c>
    </row>
    <row r="9" spans="1:41">
      <c r="A9" s="1" t="s">
        <v>45</v>
      </c>
      <c r="B9" t="s">
        <v>2001</v>
      </c>
      <c r="C9" t="s">
        <v>2000</v>
      </c>
      <c r="D9" t="s">
        <v>2033</v>
      </c>
      <c r="E9" t="s">
        <v>2112</v>
      </c>
      <c r="G9" t="s">
        <v>2214</v>
      </c>
      <c r="H9">
        <v>11212</v>
      </c>
      <c r="I9" t="s">
        <v>2230</v>
      </c>
      <c r="J9">
        <v>2</v>
      </c>
      <c r="K9">
        <v>1</v>
      </c>
      <c r="L9" t="s">
        <v>2256</v>
      </c>
      <c r="M9" t="s">
        <v>2677</v>
      </c>
      <c r="P9" t="s">
        <v>2688</v>
      </c>
      <c r="Q9" t="s">
        <v>3255</v>
      </c>
      <c r="R9" t="s">
        <v>3260</v>
      </c>
      <c r="S9" t="s">
        <v>3266</v>
      </c>
      <c r="X9" t="s">
        <v>3354</v>
      </c>
      <c r="Y9" t="s">
        <v>2677</v>
      </c>
      <c r="AB9" t="s">
        <v>3414</v>
      </c>
      <c r="AC9">
        <f>HYPERLINK("https://lsnyc.legalserver.org/matter/dynamic-profile/view/1917845","20-1917845")</f>
        <v>0</v>
      </c>
      <c r="AD9" t="s">
        <v>3445</v>
      </c>
      <c r="AE9" t="s">
        <v>3452</v>
      </c>
      <c r="AF9" t="s">
        <v>3502</v>
      </c>
      <c r="AI9" t="s">
        <v>4909</v>
      </c>
      <c r="AN9" t="s">
        <v>3414</v>
      </c>
    </row>
    <row r="10" spans="1:41">
      <c r="A10" s="1" t="s">
        <v>46</v>
      </c>
      <c r="B10" t="s">
        <v>2002</v>
      </c>
      <c r="C10" t="s">
        <v>1998</v>
      </c>
      <c r="D10" t="s">
        <v>2034</v>
      </c>
      <c r="E10" t="s">
        <v>2112</v>
      </c>
      <c r="F10" t="s">
        <v>2115</v>
      </c>
      <c r="G10" t="s">
        <v>2214</v>
      </c>
      <c r="H10">
        <v>11220</v>
      </c>
      <c r="I10" t="s">
        <v>2229</v>
      </c>
      <c r="J10">
        <v>2</v>
      </c>
      <c r="K10">
        <v>1</v>
      </c>
      <c r="L10" t="s">
        <v>2260</v>
      </c>
      <c r="M10" t="s">
        <v>2677</v>
      </c>
      <c r="P10" t="s">
        <v>2689</v>
      </c>
      <c r="Q10" t="s">
        <v>2113</v>
      </c>
      <c r="R10" t="s">
        <v>3259</v>
      </c>
      <c r="S10" t="s">
        <v>3267</v>
      </c>
      <c r="X10" t="s">
        <v>3354</v>
      </c>
      <c r="Y10" t="s">
        <v>2678</v>
      </c>
      <c r="Z10" t="s">
        <v>3359</v>
      </c>
      <c r="AB10" t="s">
        <v>3415</v>
      </c>
      <c r="AC10">
        <f>HYPERLINK("https://lsnyc.legalserver.org/matter/dynamic-profile/view/1917731","19-1917731")</f>
        <v>0</v>
      </c>
      <c r="AD10" t="s">
        <v>3446</v>
      </c>
      <c r="AE10" t="s">
        <v>3454</v>
      </c>
      <c r="AF10" t="s">
        <v>3503</v>
      </c>
      <c r="AG10" t="s">
        <v>3359</v>
      </c>
      <c r="AI10" t="s">
        <v>4909</v>
      </c>
      <c r="AL10" t="s">
        <v>2115</v>
      </c>
      <c r="AN10" t="s">
        <v>3415</v>
      </c>
    </row>
    <row r="11" spans="1:41">
      <c r="A11" s="1" t="s">
        <v>47</v>
      </c>
      <c r="B11" t="s">
        <v>2002</v>
      </c>
      <c r="C11" t="s">
        <v>2018</v>
      </c>
      <c r="D11" t="s">
        <v>2035</v>
      </c>
      <c r="E11" t="s">
        <v>2111</v>
      </c>
      <c r="F11" t="s">
        <v>2115</v>
      </c>
      <c r="G11" t="s">
        <v>2214</v>
      </c>
      <c r="H11">
        <v>11220</v>
      </c>
      <c r="J11">
        <v>2</v>
      </c>
      <c r="K11">
        <v>1</v>
      </c>
      <c r="L11" t="s">
        <v>2260</v>
      </c>
      <c r="M11" t="s">
        <v>2677</v>
      </c>
      <c r="P11" t="s">
        <v>2689</v>
      </c>
      <c r="Q11" t="s">
        <v>2113</v>
      </c>
      <c r="R11" t="s">
        <v>3259</v>
      </c>
      <c r="S11" t="s">
        <v>3267</v>
      </c>
      <c r="X11" t="s">
        <v>3354</v>
      </c>
      <c r="Y11" t="s">
        <v>2678</v>
      </c>
      <c r="Z11" t="s">
        <v>3359</v>
      </c>
      <c r="AB11" t="s">
        <v>3415</v>
      </c>
      <c r="AC11">
        <f>HYPERLINK("https://lsnyc.legalserver.org/matter/dynamic-profile/view/1917733","19-1917733")</f>
        <v>0</v>
      </c>
      <c r="AD11" t="s">
        <v>3446</v>
      </c>
      <c r="AE11" t="s">
        <v>3454</v>
      </c>
      <c r="AF11" t="s">
        <v>3504</v>
      </c>
      <c r="AG11" t="s">
        <v>3359</v>
      </c>
      <c r="AI11" t="s">
        <v>4909</v>
      </c>
      <c r="AL11" t="s">
        <v>2115</v>
      </c>
      <c r="AN11" t="s">
        <v>3415</v>
      </c>
    </row>
    <row r="12" spans="1:41">
      <c r="A12" s="1" t="s">
        <v>48</v>
      </c>
      <c r="B12" t="s">
        <v>1998</v>
      </c>
      <c r="C12" t="s">
        <v>2020</v>
      </c>
      <c r="D12" t="s">
        <v>2036</v>
      </c>
      <c r="E12" t="s">
        <v>2111</v>
      </c>
      <c r="F12" t="s">
        <v>2117</v>
      </c>
      <c r="G12" t="s">
        <v>2213</v>
      </c>
      <c r="H12">
        <v>10457</v>
      </c>
      <c r="I12" t="s">
        <v>2229</v>
      </c>
      <c r="J12">
        <v>7</v>
      </c>
      <c r="K12">
        <v>4</v>
      </c>
      <c r="L12" t="s">
        <v>2261</v>
      </c>
      <c r="M12" t="s">
        <v>2677</v>
      </c>
      <c r="P12" t="s">
        <v>2690</v>
      </c>
      <c r="Q12" t="s">
        <v>2113</v>
      </c>
      <c r="R12" t="s">
        <v>3260</v>
      </c>
      <c r="S12" t="s">
        <v>3266</v>
      </c>
      <c r="X12" t="s">
        <v>3354</v>
      </c>
      <c r="Y12" t="s">
        <v>2677</v>
      </c>
      <c r="AA12" t="s">
        <v>3406</v>
      </c>
      <c r="AB12" t="s">
        <v>3414</v>
      </c>
      <c r="AC12">
        <f>HYPERLINK("https://lsnyc.legalserver.org/matter/dynamic-profile/view/1917564","19-1917564")</f>
        <v>0</v>
      </c>
      <c r="AD12" t="s">
        <v>3445</v>
      </c>
      <c r="AE12" t="s">
        <v>3455</v>
      </c>
      <c r="AF12" t="s">
        <v>3505</v>
      </c>
      <c r="AH12" t="s">
        <v>4904</v>
      </c>
      <c r="AL12" t="s">
        <v>2117</v>
      </c>
      <c r="AN12" t="s">
        <v>3414</v>
      </c>
    </row>
    <row r="13" spans="1:41">
      <c r="A13" s="1" t="s">
        <v>49</v>
      </c>
      <c r="B13" t="s">
        <v>2001</v>
      </c>
      <c r="C13" t="s">
        <v>2016</v>
      </c>
      <c r="D13" t="s">
        <v>2036</v>
      </c>
      <c r="E13" t="s">
        <v>2112</v>
      </c>
      <c r="F13" t="s">
        <v>2117</v>
      </c>
      <c r="G13" t="s">
        <v>2211</v>
      </c>
      <c r="H13">
        <v>10036</v>
      </c>
      <c r="I13" t="s">
        <v>2229</v>
      </c>
      <c r="J13">
        <v>3</v>
      </c>
      <c r="K13">
        <v>2</v>
      </c>
      <c r="L13" t="s">
        <v>2260</v>
      </c>
      <c r="M13" t="s">
        <v>2677</v>
      </c>
      <c r="P13" t="s">
        <v>2690</v>
      </c>
      <c r="Q13" t="s">
        <v>2113</v>
      </c>
      <c r="R13" t="s">
        <v>3258</v>
      </c>
      <c r="S13" t="s">
        <v>3262</v>
      </c>
      <c r="T13" t="s">
        <v>3294</v>
      </c>
      <c r="U13" t="s">
        <v>2690</v>
      </c>
      <c r="V13" t="s">
        <v>3353</v>
      </c>
      <c r="X13" t="s">
        <v>3354</v>
      </c>
      <c r="Y13" t="s">
        <v>2678</v>
      </c>
      <c r="Z13" t="s">
        <v>3355</v>
      </c>
      <c r="AA13" t="s">
        <v>3406</v>
      </c>
      <c r="AB13" t="s">
        <v>3410</v>
      </c>
      <c r="AC13">
        <f>HYPERLINK("https://lsnyc.legalserver.org/matter/dynamic-profile/view/1917620","19-1917620")</f>
        <v>0</v>
      </c>
      <c r="AD13" t="s">
        <v>3446</v>
      </c>
      <c r="AE13" t="s">
        <v>3456</v>
      </c>
      <c r="AF13" t="s">
        <v>3506</v>
      </c>
      <c r="AG13" t="s">
        <v>3355</v>
      </c>
      <c r="AH13" t="s">
        <v>4904</v>
      </c>
      <c r="AL13" t="s">
        <v>2117</v>
      </c>
      <c r="AM13" t="s">
        <v>3294</v>
      </c>
      <c r="AN13" t="s">
        <v>3410</v>
      </c>
      <c r="AO13" t="s">
        <v>3353</v>
      </c>
    </row>
    <row r="14" spans="1:41">
      <c r="A14" s="1" t="s">
        <v>50</v>
      </c>
      <c r="B14" t="s">
        <v>2001</v>
      </c>
      <c r="C14" t="s">
        <v>2016</v>
      </c>
      <c r="D14" t="s">
        <v>2037</v>
      </c>
      <c r="E14" t="s">
        <v>2112</v>
      </c>
      <c r="F14" t="s">
        <v>2117</v>
      </c>
      <c r="G14" t="s">
        <v>2211</v>
      </c>
      <c r="H14">
        <v>10036</v>
      </c>
      <c r="I14" t="s">
        <v>2229</v>
      </c>
      <c r="J14">
        <v>3</v>
      </c>
      <c r="K14">
        <v>2</v>
      </c>
      <c r="L14" t="s">
        <v>2260</v>
      </c>
      <c r="M14" t="s">
        <v>2677</v>
      </c>
      <c r="P14" t="s">
        <v>2690</v>
      </c>
      <c r="Q14" t="s">
        <v>2113</v>
      </c>
      <c r="R14" t="s">
        <v>3258</v>
      </c>
      <c r="S14" t="s">
        <v>3262</v>
      </c>
      <c r="T14" t="s">
        <v>3294</v>
      </c>
      <c r="U14" t="s">
        <v>2690</v>
      </c>
      <c r="V14" t="s">
        <v>3353</v>
      </c>
      <c r="X14" t="s">
        <v>3354</v>
      </c>
      <c r="Y14" t="s">
        <v>2678</v>
      </c>
      <c r="Z14" t="s">
        <v>3355</v>
      </c>
      <c r="AA14" t="s">
        <v>3406</v>
      </c>
      <c r="AB14" t="s">
        <v>3410</v>
      </c>
      <c r="AC14">
        <f>HYPERLINK("https://lsnyc.legalserver.org/matter/dynamic-profile/view/1917623","19-1917623")</f>
        <v>0</v>
      </c>
      <c r="AD14" t="s">
        <v>3446</v>
      </c>
      <c r="AE14" t="s">
        <v>3456</v>
      </c>
      <c r="AF14" t="s">
        <v>3507</v>
      </c>
      <c r="AG14" t="s">
        <v>3355</v>
      </c>
      <c r="AH14" t="s">
        <v>4904</v>
      </c>
      <c r="AL14" t="s">
        <v>2117</v>
      </c>
      <c r="AM14" t="s">
        <v>3294</v>
      </c>
      <c r="AN14" t="s">
        <v>3410</v>
      </c>
      <c r="AO14" t="s">
        <v>3353</v>
      </c>
    </row>
    <row r="15" spans="1:41">
      <c r="A15" s="1" t="s">
        <v>51</v>
      </c>
      <c r="B15" t="s">
        <v>2000</v>
      </c>
      <c r="C15" t="s">
        <v>1998</v>
      </c>
      <c r="D15" t="s">
        <v>2038</v>
      </c>
      <c r="E15" t="s">
        <v>2112</v>
      </c>
      <c r="F15" t="s">
        <v>2119</v>
      </c>
      <c r="G15" t="s">
        <v>2213</v>
      </c>
      <c r="H15">
        <v>10458</v>
      </c>
      <c r="I15" t="s">
        <v>2230</v>
      </c>
      <c r="J15">
        <v>1</v>
      </c>
      <c r="K15">
        <v>0</v>
      </c>
      <c r="L15" t="s">
        <v>2262</v>
      </c>
      <c r="M15" t="s">
        <v>2677</v>
      </c>
      <c r="P15" t="s">
        <v>2690</v>
      </c>
      <c r="Q15" t="s">
        <v>2113</v>
      </c>
      <c r="R15" t="s">
        <v>3259</v>
      </c>
      <c r="S15" t="s">
        <v>3268</v>
      </c>
      <c r="X15" t="s">
        <v>3354</v>
      </c>
      <c r="Y15" t="s">
        <v>2678</v>
      </c>
      <c r="Z15" t="s">
        <v>3360</v>
      </c>
      <c r="AA15" t="s">
        <v>3406</v>
      </c>
      <c r="AB15" t="s">
        <v>3416</v>
      </c>
      <c r="AC15">
        <f>HYPERLINK("https://lsnyc.legalserver.org/matter/dynamic-profile/view/1917638","19-1917638")</f>
        <v>0</v>
      </c>
      <c r="AD15" t="s">
        <v>3444</v>
      </c>
      <c r="AE15" t="s">
        <v>3451</v>
      </c>
      <c r="AF15" t="s">
        <v>3508</v>
      </c>
      <c r="AG15" t="s">
        <v>3360</v>
      </c>
      <c r="AH15" t="s">
        <v>4904</v>
      </c>
      <c r="AI15" t="s">
        <v>4909</v>
      </c>
      <c r="AL15" t="s">
        <v>2119</v>
      </c>
      <c r="AN15" t="s">
        <v>3416</v>
      </c>
    </row>
    <row r="16" spans="1:41">
      <c r="A16" s="1" t="s">
        <v>52</v>
      </c>
      <c r="B16" t="s">
        <v>2000</v>
      </c>
      <c r="C16" t="s">
        <v>1998</v>
      </c>
      <c r="D16" t="s">
        <v>2038</v>
      </c>
      <c r="E16" t="s">
        <v>2112</v>
      </c>
      <c r="F16" t="s">
        <v>2119</v>
      </c>
      <c r="G16" t="s">
        <v>2213</v>
      </c>
      <c r="H16">
        <v>10458</v>
      </c>
      <c r="I16" t="s">
        <v>2230</v>
      </c>
      <c r="J16">
        <v>1</v>
      </c>
      <c r="K16">
        <v>0</v>
      </c>
      <c r="L16" t="s">
        <v>2262</v>
      </c>
      <c r="M16" t="s">
        <v>2677</v>
      </c>
      <c r="P16" t="s">
        <v>2690</v>
      </c>
      <c r="Q16" t="s">
        <v>3255</v>
      </c>
      <c r="R16" t="s">
        <v>3259</v>
      </c>
      <c r="S16" t="s">
        <v>3268</v>
      </c>
      <c r="V16" t="s">
        <v>3352</v>
      </c>
      <c r="X16" t="s">
        <v>3354</v>
      </c>
      <c r="Y16" t="s">
        <v>2678</v>
      </c>
      <c r="Z16" t="s">
        <v>3360</v>
      </c>
      <c r="AA16" t="s">
        <v>3406</v>
      </c>
      <c r="AB16" t="s">
        <v>3416</v>
      </c>
      <c r="AC16">
        <f>HYPERLINK("https://lsnyc.legalserver.org/matter/dynamic-profile/view/1917653","19-1917653")</f>
        <v>0</v>
      </c>
      <c r="AD16" t="s">
        <v>3444</v>
      </c>
      <c r="AE16" t="s">
        <v>3451</v>
      </c>
      <c r="AF16" t="s">
        <v>3508</v>
      </c>
      <c r="AG16" t="s">
        <v>3360</v>
      </c>
      <c r="AH16" t="s">
        <v>4904</v>
      </c>
      <c r="AI16" t="s">
        <v>4909</v>
      </c>
      <c r="AL16" t="s">
        <v>2119</v>
      </c>
      <c r="AN16" t="s">
        <v>3416</v>
      </c>
      <c r="AO16" t="s">
        <v>3352</v>
      </c>
    </row>
    <row r="17" spans="1:41">
      <c r="A17" s="1" t="s">
        <v>53</v>
      </c>
      <c r="B17" t="s">
        <v>2003</v>
      </c>
      <c r="C17" t="s">
        <v>2005</v>
      </c>
      <c r="D17" t="s">
        <v>2039</v>
      </c>
      <c r="E17" t="s">
        <v>2111</v>
      </c>
      <c r="F17" t="s">
        <v>2120</v>
      </c>
      <c r="G17" t="s">
        <v>2214</v>
      </c>
      <c r="H17">
        <v>11233</v>
      </c>
      <c r="I17" t="s">
        <v>2230</v>
      </c>
      <c r="J17">
        <v>3</v>
      </c>
      <c r="K17">
        <v>1</v>
      </c>
      <c r="L17" t="s">
        <v>2263</v>
      </c>
      <c r="M17" t="s">
        <v>2677</v>
      </c>
      <c r="P17" t="s">
        <v>2690</v>
      </c>
      <c r="Q17" t="s">
        <v>2113</v>
      </c>
      <c r="R17" t="s">
        <v>3260</v>
      </c>
      <c r="S17" t="s">
        <v>3266</v>
      </c>
      <c r="X17" t="s">
        <v>3354</v>
      </c>
      <c r="Y17" t="s">
        <v>2677</v>
      </c>
      <c r="AB17" t="s">
        <v>3414</v>
      </c>
      <c r="AC17">
        <f>HYPERLINK("https://lsnyc.legalserver.org/matter/dynamic-profile/view/1917771","20-1917771")</f>
        <v>0</v>
      </c>
      <c r="AD17" t="s">
        <v>3445</v>
      </c>
      <c r="AE17" t="s">
        <v>3452</v>
      </c>
      <c r="AF17" t="s">
        <v>3509</v>
      </c>
      <c r="AI17" t="s">
        <v>4909</v>
      </c>
      <c r="AL17" t="s">
        <v>2120</v>
      </c>
      <c r="AN17" t="s">
        <v>3414</v>
      </c>
    </row>
    <row r="18" spans="1:41">
      <c r="A18" s="1" t="s">
        <v>54</v>
      </c>
      <c r="B18" t="s">
        <v>2004</v>
      </c>
      <c r="C18" t="s">
        <v>2005</v>
      </c>
      <c r="D18" t="s">
        <v>2040</v>
      </c>
      <c r="E18" t="s">
        <v>2112</v>
      </c>
      <c r="F18" t="s">
        <v>2121</v>
      </c>
      <c r="G18" t="s">
        <v>2212</v>
      </c>
      <c r="H18">
        <v>11356</v>
      </c>
      <c r="I18" t="s">
        <v>2229</v>
      </c>
      <c r="J18">
        <v>3</v>
      </c>
      <c r="K18">
        <v>0</v>
      </c>
      <c r="L18" t="s">
        <v>2264</v>
      </c>
      <c r="M18" t="s">
        <v>2677</v>
      </c>
      <c r="P18" t="s">
        <v>2690</v>
      </c>
      <c r="Q18" t="s">
        <v>3255</v>
      </c>
      <c r="R18" t="s">
        <v>3258</v>
      </c>
      <c r="S18" t="s">
        <v>3269</v>
      </c>
      <c r="X18" t="s">
        <v>3354</v>
      </c>
      <c r="Y18" t="s">
        <v>2678</v>
      </c>
      <c r="Z18" t="s">
        <v>3361</v>
      </c>
      <c r="AB18" t="s">
        <v>3417</v>
      </c>
      <c r="AC18">
        <f>HYPERLINK("https://lsnyc.legalserver.org/matter/dynamic-profile/view/1917785","20-1917785")</f>
        <v>0</v>
      </c>
      <c r="AD18" t="s">
        <v>3443</v>
      </c>
      <c r="AE18" t="s">
        <v>3457</v>
      </c>
      <c r="AF18" t="s">
        <v>3510</v>
      </c>
      <c r="AG18" t="s">
        <v>3361</v>
      </c>
      <c r="AI18" t="s">
        <v>4909</v>
      </c>
      <c r="AL18" t="s">
        <v>2121</v>
      </c>
      <c r="AN18" t="s">
        <v>3417</v>
      </c>
    </row>
    <row r="19" spans="1:41">
      <c r="A19" s="1" t="s">
        <v>55</v>
      </c>
      <c r="B19" t="s">
        <v>2001</v>
      </c>
      <c r="C19" t="s">
        <v>2000</v>
      </c>
      <c r="D19" t="s">
        <v>2033</v>
      </c>
      <c r="E19" t="s">
        <v>2112</v>
      </c>
      <c r="F19" t="s">
        <v>2120</v>
      </c>
      <c r="G19" t="s">
        <v>2214</v>
      </c>
      <c r="H19">
        <v>11212</v>
      </c>
      <c r="I19" t="s">
        <v>2230</v>
      </c>
      <c r="J19">
        <v>2</v>
      </c>
      <c r="K19">
        <v>1</v>
      </c>
      <c r="L19" t="s">
        <v>2256</v>
      </c>
      <c r="M19" t="s">
        <v>2677</v>
      </c>
      <c r="P19" t="s">
        <v>2690</v>
      </c>
      <c r="Q19" t="s">
        <v>2113</v>
      </c>
      <c r="R19" t="s">
        <v>3259</v>
      </c>
      <c r="S19" t="s">
        <v>3270</v>
      </c>
      <c r="V19" t="s">
        <v>3352</v>
      </c>
      <c r="X19" t="s">
        <v>3354</v>
      </c>
      <c r="Y19" t="s">
        <v>2677</v>
      </c>
      <c r="AA19" t="s">
        <v>3406</v>
      </c>
      <c r="AB19" t="s">
        <v>3418</v>
      </c>
      <c r="AC19">
        <f>HYPERLINK("https://lsnyc.legalserver.org/matter/dynamic-profile/view/1917836","20-1917836")</f>
        <v>0</v>
      </c>
      <c r="AD19" t="s">
        <v>3445</v>
      </c>
      <c r="AE19" t="s">
        <v>3452</v>
      </c>
      <c r="AF19" t="s">
        <v>3502</v>
      </c>
      <c r="AH19" t="s">
        <v>4904</v>
      </c>
      <c r="AL19" t="s">
        <v>2120</v>
      </c>
      <c r="AN19" t="s">
        <v>3418</v>
      </c>
      <c r="AO19" t="s">
        <v>3352</v>
      </c>
    </row>
    <row r="20" spans="1:41">
      <c r="A20" s="1" t="s">
        <v>56</v>
      </c>
      <c r="B20" t="s">
        <v>2005</v>
      </c>
      <c r="C20" t="s">
        <v>2000</v>
      </c>
      <c r="D20" t="s">
        <v>2041</v>
      </c>
      <c r="E20" t="s">
        <v>2111</v>
      </c>
      <c r="F20" t="s">
        <v>2117</v>
      </c>
      <c r="G20" t="s">
        <v>2213</v>
      </c>
      <c r="H20">
        <v>10456</v>
      </c>
      <c r="I20" t="s">
        <v>2229</v>
      </c>
      <c r="J20">
        <v>1</v>
      </c>
      <c r="K20">
        <v>0</v>
      </c>
      <c r="L20" t="s">
        <v>2265</v>
      </c>
      <c r="M20" t="s">
        <v>2677</v>
      </c>
      <c r="P20" t="s">
        <v>2691</v>
      </c>
      <c r="Q20" t="s">
        <v>2113</v>
      </c>
      <c r="R20" t="s">
        <v>3260</v>
      </c>
      <c r="S20" t="s">
        <v>3266</v>
      </c>
      <c r="X20" t="s">
        <v>3354</v>
      </c>
      <c r="Y20" t="s">
        <v>2677</v>
      </c>
      <c r="AB20" t="s">
        <v>3414</v>
      </c>
      <c r="AC20">
        <f>HYPERLINK("https://lsnyc.legalserver.org/matter/dynamic-profile/view/1917461","19-1917461")</f>
        <v>0</v>
      </c>
      <c r="AD20" t="s">
        <v>3445</v>
      </c>
      <c r="AE20" t="s">
        <v>3452</v>
      </c>
      <c r="AF20" t="s">
        <v>3511</v>
      </c>
      <c r="AI20" t="s">
        <v>4909</v>
      </c>
      <c r="AL20" t="s">
        <v>2117</v>
      </c>
      <c r="AN20" t="s">
        <v>3414</v>
      </c>
    </row>
    <row r="21" spans="1:41">
      <c r="A21" s="1" t="s">
        <v>57</v>
      </c>
      <c r="B21" t="s">
        <v>2006</v>
      </c>
      <c r="C21" t="s">
        <v>2012</v>
      </c>
      <c r="D21" t="s">
        <v>2032</v>
      </c>
      <c r="E21" t="s">
        <v>2112</v>
      </c>
      <c r="F21" t="s">
        <v>2122</v>
      </c>
      <c r="G21" t="s">
        <v>2214</v>
      </c>
      <c r="H21">
        <v>11208</v>
      </c>
      <c r="I21" t="s">
        <v>2230</v>
      </c>
      <c r="J21">
        <v>1</v>
      </c>
      <c r="K21">
        <v>0</v>
      </c>
      <c r="L21" t="s">
        <v>2266</v>
      </c>
      <c r="M21" t="s">
        <v>2677</v>
      </c>
      <c r="P21" t="s">
        <v>2691</v>
      </c>
      <c r="Q21" t="s">
        <v>2113</v>
      </c>
      <c r="R21" t="s">
        <v>3260</v>
      </c>
      <c r="S21" t="s">
        <v>3266</v>
      </c>
      <c r="X21" t="s">
        <v>3354</v>
      </c>
      <c r="Y21" t="s">
        <v>2677</v>
      </c>
      <c r="AB21" t="s">
        <v>3414</v>
      </c>
      <c r="AC21">
        <f>HYPERLINK("https://lsnyc.legalserver.org/matter/dynamic-profile/view/1917462","19-1917462")</f>
        <v>0</v>
      </c>
      <c r="AD21" t="s">
        <v>3445</v>
      </c>
      <c r="AE21" t="s">
        <v>3452</v>
      </c>
      <c r="AF21" t="s">
        <v>3512</v>
      </c>
      <c r="AI21" t="s">
        <v>4909</v>
      </c>
      <c r="AL21" t="s">
        <v>2122</v>
      </c>
      <c r="AN21" t="s">
        <v>3414</v>
      </c>
    </row>
    <row r="22" spans="1:41">
      <c r="A22" s="1" t="s">
        <v>58</v>
      </c>
      <c r="B22" t="s">
        <v>2001</v>
      </c>
      <c r="C22" t="s">
        <v>2000</v>
      </c>
      <c r="D22" t="s">
        <v>2042</v>
      </c>
      <c r="E22" t="s">
        <v>2112</v>
      </c>
      <c r="F22" t="s">
        <v>2121</v>
      </c>
      <c r="G22" t="s">
        <v>2215</v>
      </c>
      <c r="H22">
        <v>8046</v>
      </c>
      <c r="I22" t="s">
        <v>2229</v>
      </c>
      <c r="J22">
        <v>1</v>
      </c>
      <c r="K22">
        <v>0</v>
      </c>
      <c r="L22" t="s">
        <v>2267</v>
      </c>
      <c r="M22" t="s">
        <v>2677</v>
      </c>
      <c r="P22" t="s">
        <v>2691</v>
      </c>
      <c r="Q22" t="s">
        <v>2113</v>
      </c>
      <c r="R22" t="s">
        <v>3260</v>
      </c>
      <c r="S22" t="s">
        <v>3266</v>
      </c>
      <c r="V22" t="s">
        <v>3352</v>
      </c>
      <c r="X22" t="s">
        <v>3354</v>
      </c>
      <c r="Y22" t="s">
        <v>2677</v>
      </c>
      <c r="AA22" t="s">
        <v>3406</v>
      </c>
      <c r="AB22" t="s">
        <v>3414</v>
      </c>
      <c r="AC22">
        <f>HYPERLINK("https://lsnyc.legalserver.org/matter/dynamic-profile/view/1917536","19-1917536")</f>
        <v>0</v>
      </c>
      <c r="AD22" t="s">
        <v>3445</v>
      </c>
      <c r="AE22" t="s">
        <v>3452</v>
      </c>
      <c r="AF22" t="s">
        <v>3513</v>
      </c>
      <c r="AH22" t="s">
        <v>4904</v>
      </c>
      <c r="AL22" t="s">
        <v>2121</v>
      </c>
      <c r="AN22" t="s">
        <v>3414</v>
      </c>
      <c r="AO22" t="s">
        <v>3352</v>
      </c>
    </row>
    <row r="23" spans="1:41">
      <c r="A23" s="1" t="s">
        <v>59</v>
      </c>
      <c r="B23" t="s">
        <v>2001</v>
      </c>
      <c r="C23" t="s">
        <v>2004</v>
      </c>
      <c r="D23" t="s">
        <v>2040</v>
      </c>
      <c r="E23" t="s">
        <v>2112</v>
      </c>
      <c r="F23" t="s">
        <v>2123</v>
      </c>
      <c r="G23" t="s">
        <v>2214</v>
      </c>
      <c r="H23">
        <v>11225</v>
      </c>
      <c r="I23" t="s">
        <v>2230</v>
      </c>
      <c r="J23">
        <v>1</v>
      </c>
      <c r="K23">
        <v>0</v>
      </c>
      <c r="L23" t="s">
        <v>2260</v>
      </c>
      <c r="M23" t="s">
        <v>2677</v>
      </c>
      <c r="P23" t="s">
        <v>2691</v>
      </c>
      <c r="Q23" t="s">
        <v>2113</v>
      </c>
      <c r="R23" t="s">
        <v>3260</v>
      </c>
      <c r="S23" t="s">
        <v>3266</v>
      </c>
      <c r="V23" t="s">
        <v>3352</v>
      </c>
      <c r="X23" t="s">
        <v>3354</v>
      </c>
      <c r="Y23" t="s">
        <v>2677</v>
      </c>
      <c r="AA23" t="s">
        <v>3406</v>
      </c>
      <c r="AB23" t="s">
        <v>3414</v>
      </c>
      <c r="AC23">
        <f>HYPERLINK("https://lsnyc.legalserver.org/matter/dynamic-profile/view/1917540","19-1917540")</f>
        <v>0</v>
      </c>
      <c r="AD23" t="s">
        <v>3445</v>
      </c>
      <c r="AE23" t="s">
        <v>3452</v>
      </c>
      <c r="AF23" t="s">
        <v>3514</v>
      </c>
      <c r="AH23" t="s">
        <v>4904</v>
      </c>
      <c r="AL23" t="s">
        <v>2123</v>
      </c>
      <c r="AN23" t="s">
        <v>3414</v>
      </c>
      <c r="AO23" t="s">
        <v>3352</v>
      </c>
    </row>
    <row r="24" spans="1:41">
      <c r="A24" s="1" t="s">
        <v>60</v>
      </c>
      <c r="B24" t="s">
        <v>2004</v>
      </c>
      <c r="C24" t="s">
        <v>2000</v>
      </c>
      <c r="D24" t="s">
        <v>2043</v>
      </c>
      <c r="E24" t="s">
        <v>2112</v>
      </c>
      <c r="F24" t="s">
        <v>2117</v>
      </c>
      <c r="G24" t="s">
        <v>2213</v>
      </c>
      <c r="H24">
        <v>10455</v>
      </c>
      <c r="I24" t="s">
        <v>2229</v>
      </c>
      <c r="J24">
        <v>2</v>
      </c>
      <c r="K24">
        <v>0</v>
      </c>
      <c r="L24" t="s">
        <v>2268</v>
      </c>
      <c r="M24" t="s">
        <v>2677</v>
      </c>
      <c r="P24" t="s">
        <v>2691</v>
      </c>
      <c r="Q24" t="s">
        <v>2113</v>
      </c>
      <c r="R24" t="s">
        <v>3260</v>
      </c>
      <c r="S24" t="s">
        <v>3266</v>
      </c>
      <c r="V24" t="s">
        <v>3352</v>
      </c>
      <c r="X24" t="s">
        <v>3354</v>
      </c>
      <c r="Y24" t="s">
        <v>2677</v>
      </c>
      <c r="AA24" t="s">
        <v>3406</v>
      </c>
      <c r="AB24" t="s">
        <v>3414</v>
      </c>
      <c r="AC24">
        <f>HYPERLINK("https://lsnyc.legalserver.org/matter/dynamic-profile/view/1917545","19-1917545")</f>
        <v>0</v>
      </c>
      <c r="AD24" t="s">
        <v>3445</v>
      </c>
      <c r="AE24" t="s">
        <v>3452</v>
      </c>
      <c r="AF24" t="s">
        <v>3515</v>
      </c>
      <c r="AH24" t="s">
        <v>4904</v>
      </c>
      <c r="AL24" t="s">
        <v>2117</v>
      </c>
      <c r="AN24" t="s">
        <v>3414</v>
      </c>
      <c r="AO24" t="s">
        <v>3352</v>
      </c>
    </row>
    <row r="25" spans="1:41">
      <c r="A25" s="1" t="s">
        <v>61</v>
      </c>
      <c r="B25" t="s">
        <v>2000</v>
      </c>
      <c r="C25" t="s">
        <v>1998</v>
      </c>
      <c r="D25" t="s">
        <v>2030</v>
      </c>
      <c r="E25" t="s">
        <v>2111</v>
      </c>
      <c r="F25" t="s">
        <v>2124</v>
      </c>
      <c r="G25" t="s">
        <v>2214</v>
      </c>
      <c r="H25">
        <v>11207</v>
      </c>
      <c r="I25" t="s">
        <v>2230</v>
      </c>
      <c r="J25">
        <v>2</v>
      </c>
      <c r="K25">
        <v>0</v>
      </c>
      <c r="L25" t="s">
        <v>2269</v>
      </c>
      <c r="M25" t="s">
        <v>2677</v>
      </c>
      <c r="P25" t="s">
        <v>2691</v>
      </c>
      <c r="Q25" t="s">
        <v>2113</v>
      </c>
      <c r="R25" t="s">
        <v>3260</v>
      </c>
      <c r="S25" t="s">
        <v>3266</v>
      </c>
      <c r="X25" t="s">
        <v>3354</v>
      </c>
      <c r="Y25" t="s">
        <v>2677</v>
      </c>
      <c r="AB25" t="s">
        <v>3414</v>
      </c>
      <c r="AC25">
        <f>HYPERLINK("https://lsnyc.legalserver.org/matter/dynamic-profile/view/1917548","19-1917548")</f>
        <v>0</v>
      </c>
      <c r="AD25" t="s">
        <v>3445</v>
      </c>
      <c r="AE25" t="s">
        <v>3452</v>
      </c>
      <c r="AF25" t="s">
        <v>3516</v>
      </c>
      <c r="AI25" t="s">
        <v>4909</v>
      </c>
      <c r="AL25" t="s">
        <v>2124</v>
      </c>
      <c r="AN25" t="s">
        <v>3414</v>
      </c>
    </row>
    <row r="26" spans="1:41">
      <c r="A26" s="1" t="s">
        <v>62</v>
      </c>
      <c r="B26" t="s">
        <v>2007</v>
      </c>
      <c r="C26" t="s">
        <v>2001</v>
      </c>
      <c r="D26" t="s">
        <v>2044</v>
      </c>
      <c r="E26" t="s">
        <v>2111</v>
      </c>
      <c r="F26" t="s">
        <v>2125</v>
      </c>
      <c r="G26" t="s">
        <v>2213</v>
      </c>
      <c r="H26">
        <v>10451</v>
      </c>
      <c r="I26" t="s">
        <v>2230</v>
      </c>
      <c r="J26">
        <v>2</v>
      </c>
      <c r="K26">
        <v>0</v>
      </c>
      <c r="L26" t="s">
        <v>2270</v>
      </c>
      <c r="M26" t="s">
        <v>2677</v>
      </c>
      <c r="P26" t="s">
        <v>2692</v>
      </c>
      <c r="Q26" t="s">
        <v>2113</v>
      </c>
      <c r="R26" t="s">
        <v>3260</v>
      </c>
      <c r="S26" t="s">
        <v>3266</v>
      </c>
      <c r="V26" t="s">
        <v>3352</v>
      </c>
      <c r="X26" t="s">
        <v>3354</v>
      </c>
      <c r="Y26" t="s">
        <v>2677</v>
      </c>
      <c r="AA26" t="s">
        <v>3406</v>
      </c>
      <c r="AB26" t="s">
        <v>3414</v>
      </c>
      <c r="AC26">
        <f>HYPERLINK("https://lsnyc.legalserver.org/matter/dynamic-profile/view/1917439","19-1917439")</f>
        <v>0</v>
      </c>
      <c r="AD26" t="s">
        <v>3445</v>
      </c>
      <c r="AE26" t="s">
        <v>3452</v>
      </c>
      <c r="AF26" t="s">
        <v>3517</v>
      </c>
      <c r="AH26" t="s">
        <v>4904</v>
      </c>
      <c r="AL26" t="s">
        <v>2125</v>
      </c>
      <c r="AN26" t="s">
        <v>3414</v>
      </c>
      <c r="AO26" t="s">
        <v>3352</v>
      </c>
    </row>
    <row r="27" spans="1:41">
      <c r="A27" s="1" t="s">
        <v>63</v>
      </c>
      <c r="B27" t="s">
        <v>2008</v>
      </c>
      <c r="C27" t="s">
        <v>2000</v>
      </c>
      <c r="D27" t="s">
        <v>2045</v>
      </c>
      <c r="E27" t="s">
        <v>2111</v>
      </c>
      <c r="F27" t="s">
        <v>2126</v>
      </c>
      <c r="G27" t="s">
        <v>2212</v>
      </c>
      <c r="H27">
        <v>11356</v>
      </c>
      <c r="I27" t="s">
        <v>2230</v>
      </c>
      <c r="J27">
        <v>2</v>
      </c>
      <c r="K27">
        <v>0</v>
      </c>
      <c r="L27" t="s">
        <v>2271</v>
      </c>
      <c r="M27" t="s">
        <v>2677</v>
      </c>
      <c r="P27" t="s">
        <v>2692</v>
      </c>
      <c r="Q27" t="s">
        <v>2113</v>
      </c>
      <c r="R27" t="s">
        <v>3260</v>
      </c>
      <c r="S27" t="s">
        <v>3266</v>
      </c>
      <c r="V27" t="s">
        <v>3352</v>
      </c>
      <c r="X27" t="s">
        <v>3354</v>
      </c>
      <c r="Y27" t="s">
        <v>2677</v>
      </c>
      <c r="AA27" t="s">
        <v>3406</v>
      </c>
      <c r="AB27" t="s">
        <v>3414</v>
      </c>
      <c r="AC27">
        <f>HYPERLINK("https://lsnyc.legalserver.org/matter/dynamic-profile/view/1917444","19-1917444")</f>
        <v>0</v>
      </c>
      <c r="AD27" t="s">
        <v>3445</v>
      </c>
      <c r="AE27" t="s">
        <v>3452</v>
      </c>
      <c r="AF27" t="s">
        <v>3518</v>
      </c>
      <c r="AH27" t="s">
        <v>4904</v>
      </c>
      <c r="AL27" t="s">
        <v>2126</v>
      </c>
      <c r="AN27" t="s">
        <v>3414</v>
      </c>
      <c r="AO27" t="s">
        <v>3352</v>
      </c>
    </row>
    <row r="28" spans="1:41">
      <c r="A28" s="1" t="s">
        <v>64</v>
      </c>
      <c r="B28" t="s">
        <v>2009</v>
      </c>
      <c r="C28" t="s">
        <v>1998</v>
      </c>
      <c r="D28" t="s">
        <v>2046</v>
      </c>
      <c r="E28" t="s">
        <v>2112</v>
      </c>
      <c r="F28" t="s">
        <v>2121</v>
      </c>
      <c r="G28" t="s">
        <v>2212</v>
      </c>
      <c r="H28">
        <v>11372</v>
      </c>
      <c r="I28" t="s">
        <v>2229</v>
      </c>
      <c r="J28">
        <v>1</v>
      </c>
      <c r="K28">
        <v>0</v>
      </c>
      <c r="L28" t="s">
        <v>2272</v>
      </c>
      <c r="M28" t="s">
        <v>2677</v>
      </c>
      <c r="P28" t="s">
        <v>2692</v>
      </c>
      <c r="Q28" t="s">
        <v>2113</v>
      </c>
      <c r="R28" t="s">
        <v>3260</v>
      </c>
      <c r="S28" t="s">
        <v>3266</v>
      </c>
      <c r="X28" t="s">
        <v>3354</v>
      </c>
      <c r="Y28" t="s">
        <v>2677</v>
      </c>
      <c r="AB28" t="s">
        <v>3414</v>
      </c>
      <c r="AC28">
        <f>HYPERLINK("https://lsnyc.legalserver.org/matter/dynamic-profile/view/1917447","19-1917447")</f>
        <v>0</v>
      </c>
      <c r="AD28" t="s">
        <v>3445</v>
      </c>
      <c r="AE28" t="s">
        <v>3452</v>
      </c>
      <c r="AF28" t="s">
        <v>3519</v>
      </c>
      <c r="AI28" t="s">
        <v>4909</v>
      </c>
      <c r="AL28" t="s">
        <v>2121</v>
      </c>
      <c r="AN28" t="s">
        <v>3414</v>
      </c>
    </row>
    <row r="29" spans="1:41">
      <c r="A29" s="1" t="s">
        <v>65</v>
      </c>
      <c r="B29" t="s">
        <v>2009</v>
      </c>
      <c r="C29" t="s">
        <v>2002</v>
      </c>
      <c r="D29" t="s">
        <v>2047</v>
      </c>
      <c r="E29" t="s">
        <v>2112</v>
      </c>
      <c r="F29" t="s">
        <v>2123</v>
      </c>
      <c r="G29" t="s">
        <v>2214</v>
      </c>
      <c r="H29">
        <v>11208</v>
      </c>
      <c r="I29" t="s">
        <v>2229</v>
      </c>
      <c r="J29">
        <v>2</v>
      </c>
      <c r="K29">
        <v>0</v>
      </c>
      <c r="L29" t="s">
        <v>2273</v>
      </c>
      <c r="M29" t="s">
        <v>2677</v>
      </c>
      <c r="P29" t="s">
        <v>2692</v>
      </c>
      <c r="Q29" t="s">
        <v>2113</v>
      </c>
      <c r="R29" t="s">
        <v>3260</v>
      </c>
      <c r="S29" t="s">
        <v>3266</v>
      </c>
      <c r="X29" t="s">
        <v>3354</v>
      </c>
      <c r="Y29" t="s">
        <v>2677</v>
      </c>
      <c r="AB29" t="s">
        <v>3414</v>
      </c>
      <c r="AC29">
        <f>HYPERLINK("https://lsnyc.legalserver.org/matter/dynamic-profile/view/1917451","19-1917451")</f>
        <v>0</v>
      </c>
      <c r="AD29" t="s">
        <v>3445</v>
      </c>
      <c r="AE29" t="s">
        <v>3452</v>
      </c>
      <c r="AF29" t="s">
        <v>3520</v>
      </c>
      <c r="AI29" t="s">
        <v>4909</v>
      </c>
      <c r="AL29" t="s">
        <v>2123</v>
      </c>
      <c r="AN29" t="s">
        <v>3414</v>
      </c>
    </row>
    <row r="30" spans="1:41">
      <c r="A30" s="1" t="s">
        <v>66</v>
      </c>
      <c r="B30" t="s">
        <v>2009</v>
      </c>
      <c r="C30" t="s">
        <v>2014</v>
      </c>
      <c r="D30" t="s">
        <v>2048</v>
      </c>
      <c r="E30" t="s">
        <v>2111</v>
      </c>
      <c r="F30" t="s">
        <v>2127</v>
      </c>
      <c r="G30" t="s">
        <v>2213</v>
      </c>
      <c r="H30">
        <v>10451</v>
      </c>
      <c r="I30" t="s">
        <v>2230</v>
      </c>
      <c r="J30">
        <v>4</v>
      </c>
      <c r="K30">
        <v>2</v>
      </c>
      <c r="L30" t="s">
        <v>2274</v>
      </c>
      <c r="M30" t="s">
        <v>2677</v>
      </c>
      <c r="P30" t="s">
        <v>2692</v>
      </c>
      <c r="Q30" t="s">
        <v>2113</v>
      </c>
      <c r="R30" t="s">
        <v>3260</v>
      </c>
      <c r="S30" t="s">
        <v>3266</v>
      </c>
      <c r="X30" t="s">
        <v>3354</v>
      </c>
      <c r="Y30" t="s">
        <v>2677</v>
      </c>
      <c r="AB30" t="s">
        <v>3414</v>
      </c>
      <c r="AC30">
        <f>HYPERLINK("https://lsnyc.legalserver.org/matter/dynamic-profile/view/1917454","19-1917454")</f>
        <v>0</v>
      </c>
      <c r="AD30" t="s">
        <v>3445</v>
      </c>
      <c r="AE30" t="s">
        <v>3452</v>
      </c>
      <c r="AF30" t="s">
        <v>3521</v>
      </c>
      <c r="AI30" t="s">
        <v>4909</v>
      </c>
      <c r="AL30" t="s">
        <v>2127</v>
      </c>
      <c r="AN30" t="s">
        <v>3414</v>
      </c>
    </row>
    <row r="31" spans="1:41">
      <c r="A31" s="1" t="s">
        <v>67</v>
      </c>
      <c r="B31" t="s">
        <v>2000</v>
      </c>
      <c r="C31" t="s">
        <v>1998</v>
      </c>
      <c r="D31" t="s">
        <v>2049</v>
      </c>
      <c r="E31" t="s">
        <v>2113</v>
      </c>
      <c r="G31" t="s">
        <v>2216</v>
      </c>
      <c r="H31">
        <v>10302</v>
      </c>
      <c r="I31" t="s">
        <v>2229</v>
      </c>
      <c r="J31">
        <v>2</v>
      </c>
      <c r="K31">
        <v>1</v>
      </c>
      <c r="L31" t="s">
        <v>2275</v>
      </c>
      <c r="M31" t="s">
        <v>2677</v>
      </c>
      <c r="P31" t="s">
        <v>2692</v>
      </c>
      <c r="Q31" t="s">
        <v>3255</v>
      </c>
      <c r="R31" t="s">
        <v>3260</v>
      </c>
      <c r="S31" t="s">
        <v>3266</v>
      </c>
      <c r="X31" t="s">
        <v>3354</v>
      </c>
      <c r="Y31" t="s">
        <v>2678</v>
      </c>
      <c r="AB31" t="s">
        <v>3414</v>
      </c>
      <c r="AC31">
        <f>HYPERLINK("https://lsnyc.legalserver.org/matter/dynamic-profile/view/1917467","19-1917467")</f>
        <v>0</v>
      </c>
      <c r="AD31" t="s">
        <v>3447</v>
      </c>
      <c r="AE31" t="s">
        <v>3458</v>
      </c>
      <c r="AF31" t="s">
        <v>3522</v>
      </c>
      <c r="AI31" t="s">
        <v>4909</v>
      </c>
      <c r="AN31" t="s">
        <v>3414</v>
      </c>
    </row>
    <row r="32" spans="1:41">
      <c r="A32" s="1" t="s">
        <v>68</v>
      </c>
      <c r="B32" t="s">
        <v>2010</v>
      </c>
      <c r="C32" t="s">
        <v>2000</v>
      </c>
      <c r="D32" t="s">
        <v>2050</v>
      </c>
      <c r="E32" t="s">
        <v>2111</v>
      </c>
      <c r="F32" t="s">
        <v>2128</v>
      </c>
      <c r="G32" t="s">
        <v>2216</v>
      </c>
      <c r="H32">
        <v>10304</v>
      </c>
      <c r="I32" t="s">
        <v>2229</v>
      </c>
      <c r="J32">
        <v>1</v>
      </c>
      <c r="K32">
        <v>0</v>
      </c>
      <c r="L32" t="s">
        <v>2276</v>
      </c>
      <c r="M32" t="s">
        <v>2677</v>
      </c>
      <c r="P32" t="s">
        <v>2693</v>
      </c>
      <c r="Q32" t="s">
        <v>2113</v>
      </c>
      <c r="R32" t="s">
        <v>3260</v>
      </c>
      <c r="S32" t="s">
        <v>3266</v>
      </c>
      <c r="X32" t="s">
        <v>3354</v>
      </c>
      <c r="Y32" t="s">
        <v>2677</v>
      </c>
      <c r="AB32" t="s">
        <v>3414</v>
      </c>
      <c r="AC32">
        <f>HYPERLINK("https://lsnyc.legalserver.org/matter/dynamic-profile/view/1917433","19-1917433")</f>
        <v>0</v>
      </c>
      <c r="AD32" t="s">
        <v>3445</v>
      </c>
      <c r="AE32" t="s">
        <v>3452</v>
      </c>
      <c r="AF32" t="s">
        <v>3523</v>
      </c>
      <c r="AI32" t="s">
        <v>4909</v>
      </c>
      <c r="AL32" t="s">
        <v>2128</v>
      </c>
      <c r="AN32" t="s">
        <v>3414</v>
      </c>
    </row>
    <row r="33" spans="1:41">
      <c r="A33" s="1" t="s">
        <v>69</v>
      </c>
      <c r="B33" t="s">
        <v>2011</v>
      </c>
      <c r="C33" t="s">
        <v>1998</v>
      </c>
      <c r="D33" t="s">
        <v>2029</v>
      </c>
      <c r="E33" t="s">
        <v>2111</v>
      </c>
      <c r="F33" t="s">
        <v>2123</v>
      </c>
      <c r="G33" t="s">
        <v>2213</v>
      </c>
      <c r="H33">
        <v>10459</v>
      </c>
      <c r="I33" t="s">
        <v>2229</v>
      </c>
      <c r="J33">
        <v>4</v>
      </c>
      <c r="K33">
        <v>3</v>
      </c>
      <c r="L33" t="s">
        <v>2275</v>
      </c>
      <c r="M33" t="s">
        <v>2677</v>
      </c>
      <c r="P33" t="s">
        <v>2693</v>
      </c>
      <c r="Q33" t="s">
        <v>2113</v>
      </c>
      <c r="R33" t="s">
        <v>3260</v>
      </c>
      <c r="S33" t="s">
        <v>3266</v>
      </c>
      <c r="V33" t="s">
        <v>3352</v>
      </c>
      <c r="X33" t="s">
        <v>3354</v>
      </c>
      <c r="Y33" t="s">
        <v>2677</v>
      </c>
      <c r="AA33" t="s">
        <v>3406</v>
      </c>
      <c r="AB33" t="s">
        <v>3414</v>
      </c>
      <c r="AC33">
        <f>HYPERLINK("https://lsnyc.legalserver.org/matter/dynamic-profile/view/1917468","19-1917468")</f>
        <v>0</v>
      </c>
      <c r="AD33" t="s">
        <v>3445</v>
      </c>
      <c r="AE33" t="s">
        <v>3452</v>
      </c>
      <c r="AF33" t="s">
        <v>3524</v>
      </c>
      <c r="AH33" t="s">
        <v>4904</v>
      </c>
      <c r="AL33" t="s">
        <v>2123</v>
      </c>
      <c r="AN33" t="s">
        <v>3414</v>
      </c>
      <c r="AO33" t="s">
        <v>3352</v>
      </c>
    </row>
    <row r="34" spans="1:41">
      <c r="A34" s="1" t="s">
        <v>70</v>
      </c>
      <c r="B34" t="s">
        <v>2001</v>
      </c>
      <c r="C34" t="s">
        <v>2000</v>
      </c>
      <c r="D34" t="s">
        <v>2051</v>
      </c>
      <c r="E34" t="s">
        <v>2111</v>
      </c>
      <c r="F34" t="s">
        <v>2123</v>
      </c>
      <c r="G34" t="s">
        <v>2213</v>
      </c>
      <c r="H34">
        <v>10453</v>
      </c>
      <c r="I34" t="s">
        <v>2229</v>
      </c>
      <c r="J34">
        <v>4</v>
      </c>
      <c r="K34">
        <v>3</v>
      </c>
      <c r="L34" t="s">
        <v>2275</v>
      </c>
      <c r="M34" t="s">
        <v>2677</v>
      </c>
      <c r="P34" t="s">
        <v>2693</v>
      </c>
      <c r="Q34" t="s">
        <v>2113</v>
      </c>
      <c r="R34" t="s">
        <v>3258</v>
      </c>
      <c r="S34" t="s">
        <v>3271</v>
      </c>
      <c r="V34" t="s">
        <v>3352</v>
      </c>
      <c r="X34" t="s">
        <v>3354</v>
      </c>
      <c r="Y34" t="s">
        <v>2677</v>
      </c>
      <c r="Z34" t="s">
        <v>3362</v>
      </c>
      <c r="AA34" t="s">
        <v>3406</v>
      </c>
      <c r="AB34" t="s">
        <v>3419</v>
      </c>
      <c r="AC34">
        <f>HYPERLINK("https://lsnyc.legalserver.org/matter/dynamic-profile/view/1917529","19-1917529")</f>
        <v>0</v>
      </c>
      <c r="AD34" t="s">
        <v>3445</v>
      </c>
      <c r="AE34" t="s">
        <v>3452</v>
      </c>
      <c r="AF34" t="s">
        <v>3525</v>
      </c>
      <c r="AG34" t="s">
        <v>3362</v>
      </c>
      <c r="AH34" t="s">
        <v>4904</v>
      </c>
      <c r="AL34" t="s">
        <v>2123</v>
      </c>
      <c r="AN34" t="s">
        <v>3419</v>
      </c>
      <c r="AO34" t="s">
        <v>3352</v>
      </c>
    </row>
    <row r="35" spans="1:41">
      <c r="A35" s="1" t="s">
        <v>71</v>
      </c>
      <c r="B35" t="s">
        <v>2000</v>
      </c>
      <c r="C35" t="s">
        <v>2002</v>
      </c>
      <c r="D35" t="s">
        <v>2052</v>
      </c>
      <c r="E35" t="s">
        <v>2112</v>
      </c>
      <c r="G35" t="s">
        <v>2216</v>
      </c>
      <c r="H35">
        <v>10301</v>
      </c>
      <c r="I35" t="s">
        <v>2229</v>
      </c>
      <c r="J35">
        <v>3</v>
      </c>
      <c r="K35">
        <v>2</v>
      </c>
      <c r="L35" t="s">
        <v>2260</v>
      </c>
      <c r="M35" t="s">
        <v>2677</v>
      </c>
      <c r="P35" t="s">
        <v>2694</v>
      </c>
      <c r="Q35" t="s">
        <v>3255</v>
      </c>
      <c r="R35" t="s">
        <v>3260</v>
      </c>
      <c r="S35" t="s">
        <v>3266</v>
      </c>
      <c r="X35" t="s">
        <v>3354</v>
      </c>
      <c r="Y35" t="s">
        <v>2678</v>
      </c>
      <c r="Z35" t="s">
        <v>3363</v>
      </c>
      <c r="AA35" t="s">
        <v>3406</v>
      </c>
      <c r="AB35" t="s">
        <v>3414</v>
      </c>
      <c r="AC35">
        <f>HYPERLINK("https://lsnyc.legalserver.org/matter/dynamic-profile/view/1917287","19-1917287")</f>
        <v>0</v>
      </c>
      <c r="AD35" t="s">
        <v>3447</v>
      </c>
      <c r="AE35" t="s">
        <v>3459</v>
      </c>
      <c r="AF35" t="s">
        <v>3526</v>
      </c>
      <c r="AG35" t="s">
        <v>3363</v>
      </c>
      <c r="AH35" t="s">
        <v>4905</v>
      </c>
      <c r="AI35" t="s">
        <v>4909</v>
      </c>
      <c r="AN35" t="s">
        <v>3414</v>
      </c>
    </row>
    <row r="36" spans="1:41">
      <c r="A36" s="1" t="s">
        <v>72</v>
      </c>
      <c r="B36" t="s">
        <v>1998</v>
      </c>
      <c r="C36" t="s">
        <v>2001</v>
      </c>
      <c r="D36" t="s">
        <v>2053</v>
      </c>
      <c r="E36" t="s">
        <v>2112</v>
      </c>
      <c r="G36" t="s">
        <v>2216</v>
      </c>
      <c r="H36">
        <v>10301</v>
      </c>
      <c r="I36" t="s">
        <v>2229</v>
      </c>
      <c r="J36">
        <v>3</v>
      </c>
      <c r="K36">
        <v>2</v>
      </c>
      <c r="L36" t="s">
        <v>2260</v>
      </c>
      <c r="M36" t="s">
        <v>2677</v>
      </c>
      <c r="P36" t="s">
        <v>2694</v>
      </c>
      <c r="Q36" t="s">
        <v>3255</v>
      </c>
      <c r="R36" t="s">
        <v>3260</v>
      </c>
      <c r="S36" t="s">
        <v>3266</v>
      </c>
      <c r="X36" t="s">
        <v>3354</v>
      </c>
      <c r="Y36" t="s">
        <v>2678</v>
      </c>
      <c r="Z36" t="s">
        <v>3363</v>
      </c>
      <c r="AA36" t="s">
        <v>3406</v>
      </c>
      <c r="AB36" t="s">
        <v>3414</v>
      </c>
      <c r="AC36">
        <f>HYPERLINK("https://lsnyc.legalserver.org/matter/dynamic-profile/view/1917288","19-1917288")</f>
        <v>0</v>
      </c>
      <c r="AD36" t="s">
        <v>3447</v>
      </c>
      <c r="AE36" t="s">
        <v>3459</v>
      </c>
      <c r="AF36" t="s">
        <v>3527</v>
      </c>
      <c r="AG36" t="s">
        <v>3363</v>
      </c>
      <c r="AH36" t="s">
        <v>4905</v>
      </c>
      <c r="AI36" t="s">
        <v>4909</v>
      </c>
      <c r="AN36" t="s">
        <v>3414</v>
      </c>
    </row>
    <row r="37" spans="1:41">
      <c r="A37" s="1" t="s">
        <v>73</v>
      </c>
      <c r="B37" t="s">
        <v>1998</v>
      </c>
      <c r="C37" t="s">
        <v>2001</v>
      </c>
      <c r="D37" t="s">
        <v>2054</v>
      </c>
      <c r="E37" t="s">
        <v>2112</v>
      </c>
      <c r="G37" t="s">
        <v>2216</v>
      </c>
      <c r="H37">
        <v>10304</v>
      </c>
      <c r="I37" t="s">
        <v>2229</v>
      </c>
      <c r="J37">
        <v>6</v>
      </c>
      <c r="K37">
        <v>3</v>
      </c>
      <c r="L37" t="s">
        <v>2260</v>
      </c>
      <c r="M37" t="s">
        <v>2677</v>
      </c>
      <c r="P37" t="s">
        <v>2694</v>
      </c>
      <c r="Q37" t="s">
        <v>3255</v>
      </c>
      <c r="R37" t="s">
        <v>3259</v>
      </c>
      <c r="S37" t="s">
        <v>3272</v>
      </c>
      <c r="X37" t="s">
        <v>3354</v>
      </c>
      <c r="Y37" t="s">
        <v>2678</v>
      </c>
      <c r="Z37" t="s">
        <v>3364</v>
      </c>
      <c r="AA37" t="s">
        <v>3406</v>
      </c>
      <c r="AB37" t="s">
        <v>3420</v>
      </c>
      <c r="AC37">
        <f>HYPERLINK("https://lsnyc.legalserver.org/matter/dynamic-profile/view/1917291","19-1917291")</f>
        <v>0</v>
      </c>
      <c r="AD37" t="s">
        <v>3447</v>
      </c>
      <c r="AE37" t="s">
        <v>3459</v>
      </c>
      <c r="AF37" t="s">
        <v>3528</v>
      </c>
      <c r="AG37" t="s">
        <v>3364</v>
      </c>
      <c r="AH37" t="s">
        <v>4904</v>
      </c>
      <c r="AI37" t="s">
        <v>4909</v>
      </c>
      <c r="AN37" t="s">
        <v>3420</v>
      </c>
    </row>
    <row r="38" spans="1:41">
      <c r="A38" s="1" t="s">
        <v>74</v>
      </c>
      <c r="B38" t="s">
        <v>2001</v>
      </c>
      <c r="C38" t="s">
        <v>2016</v>
      </c>
      <c r="D38" t="s">
        <v>2026</v>
      </c>
      <c r="E38" t="s">
        <v>2111</v>
      </c>
      <c r="G38" t="s">
        <v>2216</v>
      </c>
      <c r="H38">
        <v>10301</v>
      </c>
      <c r="I38" t="s">
        <v>2229</v>
      </c>
      <c r="J38">
        <v>3</v>
      </c>
      <c r="K38">
        <v>1</v>
      </c>
      <c r="L38" t="s">
        <v>2260</v>
      </c>
      <c r="M38" t="s">
        <v>2677</v>
      </c>
      <c r="P38" t="s">
        <v>2694</v>
      </c>
      <c r="Q38" t="s">
        <v>3255</v>
      </c>
      <c r="R38" t="s">
        <v>3258</v>
      </c>
      <c r="S38" t="s">
        <v>3269</v>
      </c>
      <c r="X38" t="s">
        <v>3354</v>
      </c>
      <c r="Y38" t="s">
        <v>2678</v>
      </c>
      <c r="Z38" t="s">
        <v>3361</v>
      </c>
      <c r="AA38" t="s">
        <v>3406</v>
      </c>
      <c r="AB38" t="s">
        <v>3417</v>
      </c>
      <c r="AC38">
        <f>HYPERLINK("https://lsnyc.legalserver.org/matter/dynamic-profile/view/1917298","19-1917298")</f>
        <v>0</v>
      </c>
      <c r="AD38" t="s">
        <v>3447</v>
      </c>
      <c r="AE38" t="s">
        <v>3459</v>
      </c>
      <c r="AF38" t="s">
        <v>3529</v>
      </c>
      <c r="AG38" t="s">
        <v>3361</v>
      </c>
      <c r="AH38" t="s">
        <v>4904</v>
      </c>
      <c r="AI38" t="s">
        <v>4909</v>
      </c>
      <c r="AN38" t="s">
        <v>3417</v>
      </c>
    </row>
    <row r="39" spans="1:41">
      <c r="A39" s="1" t="s">
        <v>75</v>
      </c>
      <c r="B39" t="s">
        <v>2002</v>
      </c>
      <c r="C39" t="s">
        <v>2004</v>
      </c>
      <c r="D39" t="s">
        <v>2035</v>
      </c>
      <c r="E39" t="s">
        <v>2111</v>
      </c>
      <c r="G39" t="s">
        <v>2213</v>
      </c>
      <c r="H39">
        <v>10451</v>
      </c>
      <c r="I39" t="s">
        <v>2229</v>
      </c>
      <c r="J39">
        <v>2</v>
      </c>
      <c r="K39">
        <v>1</v>
      </c>
      <c r="L39" t="s">
        <v>2260</v>
      </c>
      <c r="M39" t="s">
        <v>2677</v>
      </c>
      <c r="P39" t="s">
        <v>2695</v>
      </c>
      <c r="Q39" t="s">
        <v>2113</v>
      </c>
      <c r="R39" t="s">
        <v>3260</v>
      </c>
      <c r="S39" t="s">
        <v>3266</v>
      </c>
      <c r="X39" t="s">
        <v>3354</v>
      </c>
      <c r="Y39" t="s">
        <v>2677</v>
      </c>
      <c r="AB39" t="s">
        <v>3414</v>
      </c>
      <c r="AC39">
        <f>HYPERLINK("https://lsnyc.legalserver.org/matter/dynamic-profile/view/1917190","19-1917190")</f>
        <v>0</v>
      </c>
      <c r="AD39" t="s">
        <v>3445</v>
      </c>
      <c r="AE39" t="s">
        <v>3455</v>
      </c>
      <c r="AF39" t="s">
        <v>3530</v>
      </c>
      <c r="AI39" t="s">
        <v>4909</v>
      </c>
      <c r="AN39" t="s">
        <v>3414</v>
      </c>
    </row>
    <row r="40" spans="1:41">
      <c r="A40" s="1" t="s">
        <v>76</v>
      </c>
      <c r="B40" t="s">
        <v>2012</v>
      </c>
      <c r="C40" t="s">
        <v>2017</v>
      </c>
      <c r="D40" t="s">
        <v>2055</v>
      </c>
      <c r="E40" t="s">
        <v>2111</v>
      </c>
      <c r="F40" t="s">
        <v>2129</v>
      </c>
      <c r="G40" t="s">
        <v>2211</v>
      </c>
      <c r="H40">
        <v>10019</v>
      </c>
      <c r="I40" t="s">
        <v>2232</v>
      </c>
      <c r="J40">
        <v>1</v>
      </c>
      <c r="K40">
        <v>0</v>
      </c>
      <c r="L40" t="s">
        <v>2272</v>
      </c>
      <c r="M40" t="s">
        <v>2677</v>
      </c>
      <c r="P40" t="s">
        <v>2695</v>
      </c>
      <c r="Q40" t="s">
        <v>2113</v>
      </c>
      <c r="R40" t="s">
        <v>3260</v>
      </c>
      <c r="S40" t="s">
        <v>3266</v>
      </c>
      <c r="X40" t="s">
        <v>3354</v>
      </c>
      <c r="Y40" t="s">
        <v>2677</v>
      </c>
      <c r="AB40" t="s">
        <v>3414</v>
      </c>
      <c r="AC40">
        <f>HYPERLINK("https://lsnyc.legalserver.org/matter/dynamic-profile/view/1917423","19-1917423")</f>
        <v>0</v>
      </c>
      <c r="AD40" t="s">
        <v>3445</v>
      </c>
      <c r="AE40" t="s">
        <v>3455</v>
      </c>
      <c r="AF40" t="s">
        <v>3531</v>
      </c>
      <c r="AI40" t="s">
        <v>4909</v>
      </c>
      <c r="AL40" t="s">
        <v>2129</v>
      </c>
      <c r="AN40" t="s">
        <v>3414</v>
      </c>
    </row>
    <row r="41" spans="1:41">
      <c r="A41" s="1" t="s">
        <v>77</v>
      </c>
      <c r="B41" t="s">
        <v>2013</v>
      </c>
      <c r="C41" t="s">
        <v>2016</v>
      </c>
      <c r="D41" t="s">
        <v>2056</v>
      </c>
      <c r="E41" t="s">
        <v>2112</v>
      </c>
      <c r="G41" t="s">
        <v>2211</v>
      </c>
      <c r="H41">
        <v>10035</v>
      </c>
      <c r="I41" t="s">
        <v>2230</v>
      </c>
      <c r="J41">
        <v>1</v>
      </c>
      <c r="K41">
        <v>0</v>
      </c>
      <c r="L41" t="s">
        <v>2277</v>
      </c>
      <c r="M41" t="s">
        <v>2677</v>
      </c>
      <c r="P41" t="s">
        <v>2696</v>
      </c>
      <c r="Q41" t="s">
        <v>2113</v>
      </c>
      <c r="R41" t="s">
        <v>3258</v>
      </c>
      <c r="S41" t="s">
        <v>3273</v>
      </c>
      <c r="X41" t="s">
        <v>3354</v>
      </c>
      <c r="Y41" t="s">
        <v>2678</v>
      </c>
      <c r="Z41" t="s">
        <v>3365</v>
      </c>
      <c r="AA41" t="s">
        <v>3406</v>
      </c>
      <c r="AB41" t="s">
        <v>3421</v>
      </c>
      <c r="AC41">
        <f>HYPERLINK("https://lsnyc.legalserver.org/matter/dynamic-profile/view/1917056","19-1917056")</f>
        <v>0</v>
      </c>
      <c r="AD41" t="s">
        <v>3442</v>
      </c>
      <c r="AE41" t="s">
        <v>3460</v>
      </c>
      <c r="AF41" t="s">
        <v>3532</v>
      </c>
      <c r="AG41" t="s">
        <v>3365</v>
      </c>
      <c r="AH41" t="s">
        <v>4904</v>
      </c>
      <c r="AN41" t="s">
        <v>3421</v>
      </c>
    </row>
    <row r="42" spans="1:41">
      <c r="A42" s="1" t="s">
        <v>78</v>
      </c>
      <c r="B42" t="s">
        <v>1998</v>
      </c>
      <c r="C42" t="s">
        <v>2009</v>
      </c>
      <c r="D42" t="s">
        <v>2057</v>
      </c>
      <c r="E42" t="s">
        <v>2111</v>
      </c>
      <c r="F42" t="s">
        <v>2130</v>
      </c>
      <c r="G42" t="s">
        <v>2214</v>
      </c>
      <c r="H42">
        <v>11230</v>
      </c>
      <c r="I42" t="s">
        <v>2230</v>
      </c>
      <c r="J42">
        <v>1</v>
      </c>
      <c r="K42">
        <v>0</v>
      </c>
      <c r="L42" t="s">
        <v>2275</v>
      </c>
      <c r="M42" t="s">
        <v>2677</v>
      </c>
      <c r="P42" t="s">
        <v>2696</v>
      </c>
      <c r="Q42" t="s">
        <v>2113</v>
      </c>
      <c r="R42" t="s">
        <v>3260</v>
      </c>
      <c r="S42" t="s">
        <v>3266</v>
      </c>
      <c r="X42" t="s">
        <v>3354</v>
      </c>
      <c r="Y42" t="s">
        <v>2677</v>
      </c>
      <c r="AB42" t="s">
        <v>3414</v>
      </c>
      <c r="AC42">
        <f>HYPERLINK("https://lsnyc.legalserver.org/matter/dynamic-profile/view/1917077","19-1917077")</f>
        <v>0</v>
      </c>
      <c r="AD42" t="s">
        <v>3445</v>
      </c>
      <c r="AE42" t="s">
        <v>3461</v>
      </c>
      <c r="AF42" t="s">
        <v>3533</v>
      </c>
      <c r="AI42" t="s">
        <v>4909</v>
      </c>
      <c r="AL42" t="s">
        <v>2130</v>
      </c>
      <c r="AN42" t="s">
        <v>3414</v>
      </c>
    </row>
    <row r="43" spans="1:41">
      <c r="A43" s="1" t="s">
        <v>79</v>
      </c>
      <c r="B43" t="s">
        <v>2001</v>
      </c>
      <c r="C43" t="s">
        <v>2000</v>
      </c>
      <c r="D43" t="s">
        <v>2049</v>
      </c>
      <c r="E43" t="s">
        <v>2111</v>
      </c>
      <c r="F43" t="s">
        <v>2120</v>
      </c>
      <c r="G43" t="s">
        <v>2213</v>
      </c>
      <c r="H43">
        <v>10458</v>
      </c>
      <c r="I43" t="s">
        <v>2230</v>
      </c>
      <c r="J43">
        <v>1</v>
      </c>
      <c r="K43">
        <v>0</v>
      </c>
      <c r="L43" t="s">
        <v>2278</v>
      </c>
      <c r="M43" t="s">
        <v>2678</v>
      </c>
      <c r="P43" t="s">
        <v>2696</v>
      </c>
      <c r="Q43" t="s">
        <v>2113</v>
      </c>
      <c r="R43" t="s">
        <v>3260</v>
      </c>
      <c r="S43" t="s">
        <v>3266</v>
      </c>
      <c r="X43" t="s">
        <v>3354</v>
      </c>
      <c r="Y43" t="s">
        <v>2677</v>
      </c>
      <c r="AB43" t="s">
        <v>3414</v>
      </c>
      <c r="AC43">
        <f>HYPERLINK("https://lsnyc.legalserver.org/matter/dynamic-profile/view/1917094","19-1917094")</f>
        <v>0</v>
      </c>
      <c r="AD43" t="s">
        <v>3445</v>
      </c>
      <c r="AE43" t="s">
        <v>3461</v>
      </c>
      <c r="AF43" t="s">
        <v>3534</v>
      </c>
      <c r="AI43" t="s">
        <v>4909</v>
      </c>
      <c r="AJ43" t="s">
        <v>4910</v>
      </c>
      <c r="AL43" t="s">
        <v>2120</v>
      </c>
      <c r="AN43" t="s">
        <v>3414</v>
      </c>
    </row>
    <row r="44" spans="1:41">
      <c r="A44" s="1" t="s">
        <v>80</v>
      </c>
      <c r="B44" t="s">
        <v>2014</v>
      </c>
      <c r="C44" t="s">
        <v>1998</v>
      </c>
      <c r="D44" t="s">
        <v>2044</v>
      </c>
      <c r="E44" t="s">
        <v>2111</v>
      </c>
      <c r="F44" t="s">
        <v>2131</v>
      </c>
      <c r="G44" t="s">
        <v>2212</v>
      </c>
      <c r="H44">
        <v>11372</v>
      </c>
      <c r="I44" t="s">
        <v>2230</v>
      </c>
      <c r="J44">
        <v>1</v>
      </c>
      <c r="K44">
        <v>0</v>
      </c>
      <c r="L44" t="s">
        <v>2279</v>
      </c>
      <c r="M44" t="s">
        <v>2678</v>
      </c>
      <c r="P44" t="s">
        <v>2696</v>
      </c>
      <c r="Q44" t="s">
        <v>2113</v>
      </c>
      <c r="R44" t="s">
        <v>3260</v>
      </c>
      <c r="S44" t="s">
        <v>3266</v>
      </c>
      <c r="X44" t="s">
        <v>3354</v>
      </c>
      <c r="Y44" t="s">
        <v>2677</v>
      </c>
      <c r="AB44" t="s">
        <v>3414</v>
      </c>
      <c r="AC44">
        <f>HYPERLINK("https://lsnyc.legalserver.org/matter/dynamic-profile/view/1917101","19-1917101")</f>
        <v>0</v>
      </c>
      <c r="AD44" t="s">
        <v>3445</v>
      </c>
      <c r="AE44" t="s">
        <v>3461</v>
      </c>
      <c r="AF44" t="s">
        <v>3535</v>
      </c>
      <c r="AI44" t="s">
        <v>4909</v>
      </c>
      <c r="AJ44" t="s">
        <v>4910</v>
      </c>
      <c r="AL44" t="s">
        <v>2131</v>
      </c>
      <c r="AN44" t="s">
        <v>3414</v>
      </c>
    </row>
    <row r="45" spans="1:41">
      <c r="A45" s="1" t="s">
        <v>81</v>
      </c>
      <c r="B45" t="s">
        <v>2000</v>
      </c>
      <c r="C45" t="s">
        <v>2018</v>
      </c>
      <c r="D45" t="s">
        <v>2058</v>
      </c>
      <c r="E45" t="s">
        <v>2112</v>
      </c>
      <c r="G45" t="s">
        <v>2216</v>
      </c>
      <c r="H45">
        <v>10302</v>
      </c>
      <c r="I45" t="s">
        <v>2229</v>
      </c>
      <c r="J45">
        <v>4</v>
      </c>
      <c r="K45">
        <v>2</v>
      </c>
      <c r="L45" t="s">
        <v>2260</v>
      </c>
      <c r="M45" t="s">
        <v>2677</v>
      </c>
      <c r="P45" t="s">
        <v>2696</v>
      </c>
      <c r="Q45" t="s">
        <v>3255</v>
      </c>
      <c r="R45" t="s">
        <v>3260</v>
      </c>
      <c r="S45" t="s">
        <v>3266</v>
      </c>
      <c r="X45" t="s">
        <v>3354</v>
      </c>
      <c r="Y45" t="s">
        <v>2678</v>
      </c>
      <c r="AB45" t="s">
        <v>3414</v>
      </c>
      <c r="AC45">
        <f>HYPERLINK("https://lsnyc.legalserver.org/matter/dynamic-profile/view/1917112","19-1917112")</f>
        <v>0</v>
      </c>
      <c r="AD45" t="s">
        <v>3447</v>
      </c>
      <c r="AE45" t="s">
        <v>3458</v>
      </c>
      <c r="AF45" t="s">
        <v>3536</v>
      </c>
      <c r="AI45" t="s">
        <v>4909</v>
      </c>
      <c r="AN45" t="s">
        <v>3414</v>
      </c>
    </row>
    <row r="46" spans="1:41">
      <c r="A46" s="1" t="s">
        <v>82</v>
      </c>
      <c r="B46" t="s">
        <v>2000</v>
      </c>
      <c r="C46" t="s">
        <v>2021</v>
      </c>
      <c r="D46" t="s">
        <v>2055</v>
      </c>
      <c r="E46" t="s">
        <v>2111</v>
      </c>
      <c r="F46" t="s">
        <v>2129</v>
      </c>
      <c r="G46" t="s">
        <v>2211</v>
      </c>
      <c r="H46">
        <v>11230</v>
      </c>
      <c r="I46" t="s">
        <v>2232</v>
      </c>
      <c r="J46">
        <v>2</v>
      </c>
      <c r="K46">
        <v>0</v>
      </c>
      <c r="L46" t="s">
        <v>2280</v>
      </c>
      <c r="M46" t="s">
        <v>2678</v>
      </c>
      <c r="P46" t="s">
        <v>2696</v>
      </c>
      <c r="Q46" t="s">
        <v>2113</v>
      </c>
      <c r="R46" t="s">
        <v>3260</v>
      </c>
      <c r="S46" t="s">
        <v>3266</v>
      </c>
      <c r="X46" t="s">
        <v>3354</v>
      </c>
      <c r="Y46" t="s">
        <v>2677</v>
      </c>
      <c r="AB46" t="s">
        <v>3414</v>
      </c>
      <c r="AC46">
        <f>HYPERLINK("https://lsnyc.legalserver.org/matter/dynamic-profile/view/1917121","19-1917121")</f>
        <v>0</v>
      </c>
      <c r="AD46" t="s">
        <v>3445</v>
      </c>
      <c r="AE46" t="s">
        <v>3461</v>
      </c>
      <c r="AF46" t="s">
        <v>3537</v>
      </c>
      <c r="AI46" t="s">
        <v>4909</v>
      </c>
      <c r="AJ46" t="s">
        <v>4910</v>
      </c>
      <c r="AL46" t="s">
        <v>2129</v>
      </c>
      <c r="AN46" t="s">
        <v>3414</v>
      </c>
    </row>
    <row r="47" spans="1:41">
      <c r="A47" s="1" t="s">
        <v>83</v>
      </c>
      <c r="B47" t="s">
        <v>2000</v>
      </c>
      <c r="C47" t="s">
        <v>1998</v>
      </c>
      <c r="D47" t="s">
        <v>2049</v>
      </c>
      <c r="E47" t="s">
        <v>2113</v>
      </c>
      <c r="G47" t="s">
        <v>2216</v>
      </c>
      <c r="H47">
        <v>10302</v>
      </c>
      <c r="I47" t="s">
        <v>2229</v>
      </c>
      <c r="J47">
        <v>2</v>
      </c>
      <c r="K47">
        <v>1</v>
      </c>
      <c r="L47" t="s">
        <v>2275</v>
      </c>
      <c r="M47" t="s">
        <v>2677</v>
      </c>
      <c r="P47" t="s">
        <v>2696</v>
      </c>
      <c r="Q47" t="s">
        <v>3255</v>
      </c>
      <c r="R47" t="s">
        <v>3260</v>
      </c>
      <c r="S47" t="s">
        <v>3266</v>
      </c>
      <c r="X47" t="s">
        <v>3354</v>
      </c>
      <c r="Y47" t="s">
        <v>2678</v>
      </c>
      <c r="AB47" t="s">
        <v>3414</v>
      </c>
      <c r="AC47">
        <f>HYPERLINK("https://lsnyc.legalserver.org/matter/dynamic-profile/view/1917170","19-1917170")</f>
        <v>0</v>
      </c>
      <c r="AD47" t="s">
        <v>3447</v>
      </c>
      <c r="AE47" t="s">
        <v>3458</v>
      </c>
      <c r="AF47" t="s">
        <v>3522</v>
      </c>
      <c r="AI47" t="s">
        <v>4909</v>
      </c>
      <c r="AN47" t="s">
        <v>3414</v>
      </c>
    </row>
    <row r="48" spans="1:41">
      <c r="A48" s="1" t="s">
        <v>84</v>
      </c>
      <c r="B48" t="s">
        <v>2015</v>
      </c>
      <c r="C48" t="s">
        <v>2012</v>
      </c>
      <c r="D48" t="s">
        <v>2059</v>
      </c>
      <c r="E48" t="s">
        <v>2112</v>
      </c>
      <c r="F48" t="s">
        <v>2117</v>
      </c>
      <c r="G48" t="s">
        <v>2212</v>
      </c>
      <c r="H48">
        <v>11418</v>
      </c>
      <c r="I48" t="s">
        <v>2229</v>
      </c>
      <c r="J48">
        <v>1</v>
      </c>
      <c r="K48">
        <v>0</v>
      </c>
      <c r="L48" t="s">
        <v>2281</v>
      </c>
      <c r="M48" t="s">
        <v>2677</v>
      </c>
      <c r="P48" t="s">
        <v>2696</v>
      </c>
      <c r="Q48" t="s">
        <v>2113</v>
      </c>
      <c r="R48" t="s">
        <v>3260</v>
      </c>
      <c r="S48" t="s">
        <v>3266</v>
      </c>
      <c r="X48" t="s">
        <v>3354</v>
      </c>
      <c r="Y48" t="s">
        <v>2677</v>
      </c>
      <c r="AB48" t="s">
        <v>3414</v>
      </c>
      <c r="AC48">
        <f>HYPERLINK("https://lsnyc.legalserver.org/matter/dynamic-profile/view/1917328","19-1917328")</f>
        <v>0</v>
      </c>
      <c r="AD48" t="s">
        <v>3445</v>
      </c>
      <c r="AE48" t="s">
        <v>3455</v>
      </c>
      <c r="AF48" t="s">
        <v>3538</v>
      </c>
      <c r="AI48" t="s">
        <v>4909</v>
      </c>
      <c r="AL48" t="s">
        <v>2117</v>
      </c>
      <c r="AN48" t="s">
        <v>3414</v>
      </c>
    </row>
    <row r="49" spans="1:41">
      <c r="A49" s="1" t="s">
        <v>85</v>
      </c>
      <c r="B49" t="s">
        <v>2001</v>
      </c>
      <c r="C49" t="s">
        <v>2016</v>
      </c>
      <c r="D49" t="s">
        <v>2032</v>
      </c>
      <c r="E49" t="s">
        <v>2112</v>
      </c>
      <c r="F49" t="s">
        <v>2116</v>
      </c>
      <c r="G49" t="s">
        <v>2213</v>
      </c>
      <c r="H49">
        <v>10454</v>
      </c>
      <c r="I49" t="s">
        <v>2229</v>
      </c>
      <c r="J49">
        <v>1</v>
      </c>
      <c r="K49">
        <v>0</v>
      </c>
      <c r="L49" t="s">
        <v>2282</v>
      </c>
      <c r="M49" t="s">
        <v>2677</v>
      </c>
      <c r="P49" t="s">
        <v>2696</v>
      </c>
      <c r="Q49" t="s">
        <v>2113</v>
      </c>
      <c r="R49" t="s">
        <v>3260</v>
      </c>
      <c r="S49" t="s">
        <v>3266</v>
      </c>
      <c r="X49" t="s">
        <v>3354</v>
      </c>
      <c r="Y49" t="s">
        <v>2677</v>
      </c>
      <c r="AB49" t="s">
        <v>3414</v>
      </c>
      <c r="AC49">
        <f>HYPERLINK("https://lsnyc.legalserver.org/matter/dynamic-profile/view/1917416","19-1917416")</f>
        <v>0</v>
      </c>
      <c r="AD49" t="s">
        <v>3445</v>
      </c>
      <c r="AE49" t="s">
        <v>3455</v>
      </c>
      <c r="AF49" t="s">
        <v>3539</v>
      </c>
      <c r="AI49" t="s">
        <v>4909</v>
      </c>
      <c r="AL49" t="s">
        <v>2116</v>
      </c>
      <c r="AN49" t="s">
        <v>3414</v>
      </c>
    </row>
    <row r="50" spans="1:41">
      <c r="A50" s="1" t="s">
        <v>86</v>
      </c>
      <c r="B50" t="s">
        <v>2008</v>
      </c>
      <c r="C50" t="s">
        <v>2016</v>
      </c>
      <c r="D50" t="s">
        <v>2056</v>
      </c>
      <c r="E50" t="s">
        <v>2111</v>
      </c>
      <c r="F50" t="s">
        <v>2129</v>
      </c>
      <c r="G50" t="s">
        <v>2211</v>
      </c>
      <c r="H50">
        <v>10026</v>
      </c>
      <c r="I50" t="s">
        <v>2232</v>
      </c>
      <c r="J50">
        <v>1</v>
      </c>
      <c r="K50">
        <v>0</v>
      </c>
      <c r="L50" t="s">
        <v>2283</v>
      </c>
      <c r="M50" t="s">
        <v>2677</v>
      </c>
      <c r="P50" t="s">
        <v>2697</v>
      </c>
      <c r="Q50" t="s">
        <v>2113</v>
      </c>
      <c r="R50" t="s">
        <v>3260</v>
      </c>
      <c r="S50" t="s">
        <v>3266</v>
      </c>
      <c r="X50" t="s">
        <v>3354</v>
      </c>
      <c r="Y50" t="s">
        <v>2677</v>
      </c>
      <c r="AB50" t="s">
        <v>3414</v>
      </c>
      <c r="AC50">
        <f>HYPERLINK("https://lsnyc.legalserver.org/matter/dynamic-profile/view/1916990","19-1916990")</f>
        <v>0</v>
      </c>
      <c r="AD50" t="s">
        <v>3445</v>
      </c>
      <c r="AE50" t="s">
        <v>3461</v>
      </c>
      <c r="AF50" t="s">
        <v>3540</v>
      </c>
      <c r="AI50" t="s">
        <v>4909</v>
      </c>
      <c r="AL50" t="s">
        <v>2129</v>
      </c>
      <c r="AN50" t="s">
        <v>3414</v>
      </c>
    </row>
    <row r="51" spans="1:41">
      <c r="A51" s="1" t="s">
        <v>87</v>
      </c>
      <c r="B51" t="s">
        <v>1998</v>
      </c>
      <c r="C51" t="s">
        <v>1998</v>
      </c>
      <c r="D51" t="s">
        <v>2045</v>
      </c>
      <c r="E51" t="s">
        <v>2111</v>
      </c>
      <c r="G51" t="s">
        <v>2214</v>
      </c>
      <c r="H51">
        <v>11232</v>
      </c>
      <c r="I51" t="s">
        <v>2229</v>
      </c>
      <c r="J51">
        <v>2</v>
      </c>
      <c r="K51">
        <v>0</v>
      </c>
      <c r="L51" t="s">
        <v>2284</v>
      </c>
      <c r="M51" t="s">
        <v>2678</v>
      </c>
      <c r="P51" t="s">
        <v>2697</v>
      </c>
      <c r="Q51" t="s">
        <v>2113</v>
      </c>
      <c r="R51" t="s">
        <v>3260</v>
      </c>
      <c r="S51" t="s">
        <v>3266</v>
      </c>
      <c r="X51" t="s">
        <v>3354</v>
      </c>
      <c r="Y51" t="s">
        <v>2677</v>
      </c>
      <c r="AB51" t="s">
        <v>3414</v>
      </c>
      <c r="AC51">
        <f>HYPERLINK("https://lsnyc.legalserver.org/matter/dynamic-profile/view/1916997","19-1916997")</f>
        <v>0</v>
      </c>
      <c r="AD51" t="s">
        <v>3445</v>
      </c>
      <c r="AE51" t="s">
        <v>3461</v>
      </c>
      <c r="AF51" t="s">
        <v>3541</v>
      </c>
      <c r="AI51" t="s">
        <v>4909</v>
      </c>
      <c r="AJ51" t="s">
        <v>4910</v>
      </c>
      <c r="AN51" t="s">
        <v>3414</v>
      </c>
    </row>
    <row r="52" spans="1:41">
      <c r="A52" s="1" t="s">
        <v>88</v>
      </c>
      <c r="B52" t="s">
        <v>2001</v>
      </c>
      <c r="C52" t="s">
        <v>2005</v>
      </c>
      <c r="D52" t="s">
        <v>2060</v>
      </c>
      <c r="E52" t="s">
        <v>2111</v>
      </c>
      <c r="F52" t="s">
        <v>2129</v>
      </c>
      <c r="G52" t="s">
        <v>2211</v>
      </c>
      <c r="H52">
        <v>10035</v>
      </c>
      <c r="I52" t="s">
        <v>2232</v>
      </c>
      <c r="J52">
        <v>2</v>
      </c>
      <c r="K52">
        <v>0</v>
      </c>
      <c r="L52" t="s">
        <v>2285</v>
      </c>
      <c r="M52" t="s">
        <v>2677</v>
      </c>
      <c r="P52" t="s">
        <v>2697</v>
      </c>
      <c r="Q52" t="s">
        <v>2113</v>
      </c>
      <c r="R52" t="s">
        <v>3260</v>
      </c>
      <c r="S52" t="s">
        <v>3266</v>
      </c>
      <c r="X52" t="s">
        <v>3354</v>
      </c>
      <c r="Y52" t="s">
        <v>2677</v>
      </c>
      <c r="AB52" t="s">
        <v>3414</v>
      </c>
      <c r="AC52">
        <f>HYPERLINK("https://lsnyc.legalserver.org/matter/dynamic-profile/view/1917007","19-1917007")</f>
        <v>0</v>
      </c>
      <c r="AD52" t="s">
        <v>3445</v>
      </c>
      <c r="AE52" t="s">
        <v>3461</v>
      </c>
      <c r="AF52" t="s">
        <v>3542</v>
      </c>
      <c r="AI52" t="s">
        <v>4909</v>
      </c>
      <c r="AL52" t="s">
        <v>2129</v>
      </c>
      <c r="AN52" t="s">
        <v>3414</v>
      </c>
    </row>
    <row r="53" spans="1:41">
      <c r="A53" s="1" t="s">
        <v>89</v>
      </c>
      <c r="B53" t="s">
        <v>2014</v>
      </c>
      <c r="C53" t="s">
        <v>2004</v>
      </c>
      <c r="D53" t="s">
        <v>2060</v>
      </c>
      <c r="E53" t="s">
        <v>2112</v>
      </c>
      <c r="F53" t="s">
        <v>2132</v>
      </c>
      <c r="G53" t="s">
        <v>2216</v>
      </c>
      <c r="H53">
        <v>10310</v>
      </c>
      <c r="I53" t="s">
        <v>2233</v>
      </c>
      <c r="J53">
        <v>3</v>
      </c>
      <c r="K53">
        <v>2</v>
      </c>
      <c r="L53" t="s">
        <v>2260</v>
      </c>
      <c r="M53" t="s">
        <v>2677</v>
      </c>
      <c r="P53" t="s">
        <v>2697</v>
      </c>
      <c r="Q53" t="s">
        <v>3255</v>
      </c>
      <c r="R53" t="s">
        <v>3260</v>
      </c>
      <c r="S53" t="s">
        <v>3266</v>
      </c>
      <c r="X53" t="s">
        <v>3354</v>
      </c>
      <c r="Y53" t="s">
        <v>2678</v>
      </c>
      <c r="AB53" t="s">
        <v>3414</v>
      </c>
      <c r="AC53">
        <f>HYPERLINK("https://lsnyc.legalserver.org/matter/dynamic-profile/view/1917014","19-1917014")</f>
        <v>0</v>
      </c>
      <c r="AD53" t="s">
        <v>3447</v>
      </c>
      <c r="AE53" t="s">
        <v>3462</v>
      </c>
      <c r="AF53" t="s">
        <v>3543</v>
      </c>
      <c r="AI53" t="s">
        <v>4909</v>
      </c>
      <c r="AL53" t="s">
        <v>2132</v>
      </c>
      <c r="AN53" t="s">
        <v>3414</v>
      </c>
    </row>
    <row r="54" spans="1:41">
      <c r="A54" s="1" t="s">
        <v>90</v>
      </c>
      <c r="B54" t="s">
        <v>2004</v>
      </c>
      <c r="C54" t="s">
        <v>2017</v>
      </c>
      <c r="D54" t="s">
        <v>2061</v>
      </c>
      <c r="E54" t="s">
        <v>2112</v>
      </c>
      <c r="G54" t="s">
        <v>2216</v>
      </c>
      <c r="H54">
        <v>10310</v>
      </c>
      <c r="I54" t="s">
        <v>2233</v>
      </c>
      <c r="J54">
        <v>3</v>
      </c>
      <c r="K54">
        <v>2</v>
      </c>
      <c r="L54" t="s">
        <v>2260</v>
      </c>
      <c r="M54" t="s">
        <v>2677</v>
      </c>
      <c r="P54" t="s">
        <v>2697</v>
      </c>
      <c r="Q54" t="s">
        <v>3255</v>
      </c>
      <c r="R54" t="s">
        <v>3260</v>
      </c>
      <c r="S54" t="s">
        <v>3266</v>
      </c>
      <c r="X54" t="s">
        <v>3354</v>
      </c>
      <c r="Y54" t="s">
        <v>2678</v>
      </c>
      <c r="AB54" t="s">
        <v>3414</v>
      </c>
      <c r="AC54">
        <f>HYPERLINK("https://lsnyc.legalserver.org/matter/dynamic-profile/view/1917019","19-1917019")</f>
        <v>0</v>
      </c>
      <c r="AD54" t="s">
        <v>3447</v>
      </c>
      <c r="AE54" t="s">
        <v>3462</v>
      </c>
      <c r="AF54" t="s">
        <v>3544</v>
      </c>
      <c r="AI54" t="s">
        <v>4909</v>
      </c>
      <c r="AN54" t="s">
        <v>3414</v>
      </c>
    </row>
    <row r="55" spans="1:41">
      <c r="A55" s="1" t="s">
        <v>91</v>
      </c>
      <c r="B55" t="s">
        <v>2012</v>
      </c>
      <c r="C55" t="s">
        <v>2021</v>
      </c>
      <c r="D55" t="s">
        <v>2044</v>
      </c>
      <c r="E55" t="s">
        <v>2111</v>
      </c>
      <c r="F55" t="s">
        <v>2120</v>
      </c>
      <c r="G55" t="s">
        <v>2212</v>
      </c>
      <c r="H55">
        <v>11423</v>
      </c>
      <c r="I55" t="s">
        <v>2230</v>
      </c>
      <c r="J55">
        <v>1</v>
      </c>
      <c r="K55">
        <v>0</v>
      </c>
      <c r="L55" t="s">
        <v>2275</v>
      </c>
      <c r="M55" t="s">
        <v>2677</v>
      </c>
      <c r="P55" t="s">
        <v>2697</v>
      </c>
      <c r="Q55" t="s">
        <v>2113</v>
      </c>
      <c r="R55" t="s">
        <v>3260</v>
      </c>
      <c r="S55" t="s">
        <v>3266</v>
      </c>
      <c r="X55" t="s">
        <v>3354</v>
      </c>
      <c r="Y55" t="s">
        <v>2677</v>
      </c>
      <c r="AB55" t="s">
        <v>3414</v>
      </c>
      <c r="AC55">
        <f>HYPERLINK("https://lsnyc.legalserver.org/matter/dynamic-profile/view/1917023","19-1917023")</f>
        <v>0</v>
      </c>
      <c r="AD55" t="s">
        <v>3445</v>
      </c>
      <c r="AE55" t="s">
        <v>3461</v>
      </c>
      <c r="AF55" t="s">
        <v>3545</v>
      </c>
      <c r="AI55" t="s">
        <v>4909</v>
      </c>
      <c r="AL55" t="s">
        <v>2120</v>
      </c>
      <c r="AN55" t="s">
        <v>3414</v>
      </c>
    </row>
    <row r="56" spans="1:41">
      <c r="A56" s="1" t="s">
        <v>92</v>
      </c>
      <c r="B56" t="s">
        <v>1998</v>
      </c>
      <c r="C56" t="s">
        <v>2012</v>
      </c>
      <c r="D56" t="s">
        <v>2045</v>
      </c>
      <c r="E56" t="s">
        <v>2111</v>
      </c>
      <c r="G56" t="s">
        <v>2212</v>
      </c>
      <c r="H56">
        <v>11385</v>
      </c>
      <c r="I56" t="s">
        <v>2229</v>
      </c>
      <c r="J56">
        <v>2</v>
      </c>
      <c r="K56">
        <v>0</v>
      </c>
      <c r="L56" t="s">
        <v>2286</v>
      </c>
      <c r="M56" t="s">
        <v>2677</v>
      </c>
      <c r="P56" t="s">
        <v>2698</v>
      </c>
      <c r="Q56" t="s">
        <v>3255</v>
      </c>
      <c r="R56" t="s">
        <v>3259</v>
      </c>
      <c r="S56" t="s">
        <v>3268</v>
      </c>
      <c r="X56" t="s">
        <v>3354</v>
      </c>
      <c r="Y56" t="s">
        <v>2678</v>
      </c>
      <c r="Z56" t="s">
        <v>3360</v>
      </c>
      <c r="AB56" t="s">
        <v>3416</v>
      </c>
      <c r="AC56">
        <f>HYPERLINK("https://lsnyc.legalserver.org/matter/dynamic-profile/view/1916900","19-1916900")</f>
        <v>0</v>
      </c>
      <c r="AD56" t="s">
        <v>3443</v>
      </c>
      <c r="AE56" t="s">
        <v>3449</v>
      </c>
      <c r="AF56" t="s">
        <v>3546</v>
      </c>
      <c r="AG56" t="s">
        <v>3360</v>
      </c>
      <c r="AI56" t="s">
        <v>4909</v>
      </c>
      <c r="AN56" t="s">
        <v>3416</v>
      </c>
    </row>
    <row r="57" spans="1:41">
      <c r="A57" s="1" t="s">
        <v>93</v>
      </c>
      <c r="B57" t="s">
        <v>2014</v>
      </c>
      <c r="C57" t="s">
        <v>2004</v>
      </c>
      <c r="D57" t="s">
        <v>2062</v>
      </c>
      <c r="E57" t="s">
        <v>2111</v>
      </c>
      <c r="F57" t="s">
        <v>2133</v>
      </c>
      <c r="G57" t="s">
        <v>2216</v>
      </c>
      <c r="H57">
        <v>10314</v>
      </c>
      <c r="I57" t="s">
        <v>2230</v>
      </c>
      <c r="J57">
        <v>1</v>
      </c>
      <c r="K57">
        <v>0</v>
      </c>
      <c r="L57" t="s">
        <v>2287</v>
      </c>
      <c r="M57" t="s">
        <v>2678</v>
      </c>
      <c r="P57" t="s">
        <v>2698</v>
      </c>
      <c r="Q57" t="s">
        <v>3255</v>
      </c>
      <c r="R57" t="s">
        <v>3258</v>
      </c>
      <c r="S57" t="s">
        <v>3265</v>
      </c>
      <c r="X57" t="s">
        <v>3354</v>
      </c>
      <c r="Y57" t="s">
        <v>2678</v>
      </c>
      <c r="Z57" t="s">
        <v>3358</v>
      </c>
      <c r="AB57" t="s">
        <v>3413</v>
      </c>
      <c r="AC57">
        <f>HYPERLINK("https://lsnyc.legalserver.org/matter/dynamic-profile/view/1916941","19-1916941")</f>
        <v>0</v>
      </c>
      <c r="AD57" t="s">
        <v>3447</v>
      </c>
      <c r="AE57" t="s">
        <v>3463</v>
      </c>
      <c r="AF57" t="s">
        <v>3547</v>
      </c>
      <c r="AG57" t="s">
        <v>3358</v>
      </c>
      <c r="AI57" t="s">
        <v>4909</v>
      </c>
      <c r="AJ57" t="s">
        <v>4910</v>
      </c>
      <c r="AL57" t="s">
        <v>2133</v>
      </c>
      <c r="AN57" t="s">
        <v>3413</v>
      </c>
    </row>
    <row r="58" spans="1:41">
      <c r="A58" s="1" t="s">
        <v>94</v>
      </c>
      <c r="B58" t="s">
        <v>2014</v>
      </c>
      <c r="C58" t="s">
        <v>2004</v>
      </c>
      <c r="D58" t="s">
        <v>2062</v>
      </c>
      <c r="E58" t="s">
        <v>2111</v>
      </c>
      <c r="G58" t="s">
        <v>2216</v>
      </c>
      <c r="H58">
        <v>10314</v>
      </c>
      <c r="I58" t="s">
        <v>2230</v>
      </c>
      <c r="J58">
        <v>1</v>
      </c>
      <c r="K58">
        <v>0</v>
      </c>
      <c r="L58" t="s">
        <v>2287</v>
      </c>
      <c r="M58" t="s">
        <v>2678</v>
      </c>
      <c r="P58" t="s">
        <v>2698</v>
      </c>
      <c r="Q58" t="s">
        <v>3255</v>
      </c>
      <c r="R58" t="s">
        <v>3258</v>
      </c>
      <c r="S58" t="s">
        <v>3265</v>
      </c>
      <c r="X58" t="s">
        <v>3354</v>
      </c>
      <c r="Y58" t="s">
        <v>2678</v>
      </c>
      <c r="Z58" t="s">
        <v>3358</v>
      </c>
      <c r="AB58" t="s">
        <v>3413</v>
      </c>
      <c r="AC58">
        <f>HYPERLINK("https://lsnyc.legalserver.org/matter/dynamic-profile/view/1916943","19-1916943")</f>
        <v>0</v>
      </c>
      <c r="AD58" t="s">
        <v>3447</v>
      </c>
      <c r="AE58" t="s">
        <v>3463</v>
      </c>
      <c r="AF58" t="s">
        <v>3547</v>
      </c>
      <c r="AG58" t="s">
        <v>3358</v>
      </c>
      <c r="AI58" t="s">
        <v>4909</v>
      </c>
      <c r="AJ58" t="s">
        <v>4910</v>
      </c>
      <c r="AN58" t="s">
        <v>3413</v>
      </c>
    </row>
    <row r="59" spans="1:41">
      <c r="A59" s="1" t="s">
        <v>95</v>
      </c>
      <c r="B59" t="s">
        <v>2014</v>
      </c>
      <c r="C59" t="s">
        <v>2004</v>
      </c>
      <c r="D59" t="s">
        <v>2062</v>
      </c>
      <c r="E59" t="s">
        <v>2111</v>
      </c>
      <c r="G59" t="s">
        <v>2216</v>
      </c>
      <c r="H59">
        <v>10314</v>
      </c>
      <c r="I59" t="s">
        <v>2230</v>
      </c>
      <c r="J59">
        <v>1</v>
      </c>
      <c r="K59">
        <v>0</v>
      </c>
      <c r="L59" t="s">
        <v>2287</v>
      </c>
      <c r="M59" t="s">
        <v>2678</v>
      </c>
      <c r="P59" t="s">
        <v>2698</v>
      </c>
      <c r="Q59" t="s">
        <v>3255</v>
      </c>
      <c r="R59" t="s">
        <v>3258</v>
      </c>
      <c r="S59" t="s">
        <v>3265</v>
      </c>
      <c r="X59" t="s">
        <v>3354</v>
      </c>
      <c r="Y59" t="s">
        <v>2678</v>
      </c>
      <c r="Z59" t="s">
        <v>3358</v>
      </c>
      <c r="AB59" t="s">
        <v>3413</v>
      </c>
      <c r="AC59">
        <f>HYPERLINK("https://lsnyc.legalserver.org/matter/dynamic-profile/view/1916944","19-1916944")</f>
        <v>0</v>
      </c>
      <c r="AD59" t="s">
        <v>3447</v>
      </c>
      <c r="AE59" t="s">
        <v>3463</v>
      </c>
      <c r="AF59" t="s">
        <v>3547</v>
      </c>
      <c r="AG59" t="s">
        <v>3358</v>
      </c>
      <c r="AI59" t="s">
        <v>4909</v>
      </c>
      <c r="AJ59" t="s">
        <v>4910</v>
      </c>
      <c r="AN59" t="s">
        <v>3413</v>
      </c>
    </row>
    <row r="60" spans="1:41">
      <c r="A60" s="1" t="s">
        <v>96</v>
      </c>
      <c r="B60" t="s">
        <v>2014</v>
      </c>
      <c r="C60" t="s">
        <v>2004</v>
      </c>
      <c r="D60" t="s">
        <v>2062</v>
      </c>
      <c r="E60" t="s">
        <v>2111</v>
      </c>
      <c r="G60" t="s">
        <v>2216</v>
      </c>
      <c r="H60">
        <v>10314</v>
      </c>
      <c r="I60" t="s">
        <v>2230</v>
      </c>
      <c r="J60">
        <v>1</v>
      </c>
      <c r="K60">
        <v>0</v>
      </c>
      <c r="L60" t="s">
        <v>2287</v>
      </c>
      <c r="M60" t="s">
        <v>2678</v>
      </c>
      <c r="P60" t="s">
        <v>2698</v>
      </c>
      <c r="Q60" t="s">
        <v>3255</v>
      </c>
      <c r="R60" t="s">
        <v>3258</v>
      </c>
      <c r="S60" t="s">
        <v>3265</v>
      </c>
      <c r="X60" t="s">
        <v>3354</v>
      </c>
      <c r="Y60" t="s">
        <v>2678</v>
      </c>
      <c r="Z60" t="s">
        <v>3358</v>
      </c>
      <c r="AB60" t="s">
        <v>3413</v>
      </c>
      <c r="AC60">
        <f>HYPERLINK("https://lsnyc.legalserver.org/matter/dynamic-profile/view/1916946","19-1916946")</f>
        <v>0</v>
      </c>
      <c r="AD60" t="s">
        <v>3447</v>
      </c>
      <c r="AE60" t="s">
        <v>3463</v>
      </c>
      <c r="AF60" t="s">
        <v>3547</v>
      </c>
      <c r="AG60" t="s">
        <v>3358</v>
      </c>
      <c r="AI60" t="s">
        <v>4909</v>
      </c>
      <c r="AJ60" t="s">
        <v>4910</v>
      </c>
      <c r="AN60" t="s">
        <v>3413</v>
      </c>
    </row>
    <row r="61" spans="1:41">
      <c r="A61" s="1" t="s">
        <v>97</v>
      </c>
      <c r="B61" t="s">
        <v>2016</v>
      </c>
      <c r="C61" t="s">
        <v>2017</v>
      </c>
      <c r="D61" t="s">
        <v>2028</v>
      </c>
      <c r="E61" t="s">
        <v>2111</v>
      </c>
      <c r="G61" t="s">
        <v>2213</v>
      </c>
      <c r="H61">
        <v>10459</v>
      </c>
      <c r="I61" t="s">
        <v>2234</v>
      </c>
      <c r="J61">
        <v>1</v>
      </c>
      <c r="K61">
        <v>0</v>
      </c>
      <c r="L61" t="s">
        <v>2288</v>
      </c>
      <c r="M61" t="s">
        <v>2677</v>
      </c>
      <c r="P61" t="s">
        <v>2699</v>
      </c>
      <c r="Q61" t="s">
        <v>3255</v>
      </c>
      <c r="R61" t="s">
        <v>3260</v>
      </c>
      <c r="S61" t="s">
        <v>3266</v>
      </c>
      <c r="X61" t="s">
        <v>3354</v>
      </c>
      <c r="Y61" t="s">
        <v>2677</v>
      </c>
      <c r="AB61" t="s">
        <v>3414</v>
      </c>
      <c r="AC61">
        <f>HYPERLINK("https://lsnyc.legalserver.org/matter/dynamic-profile/view/1916483","19-1916483")</f>
        <v>0</v>
      </c>
      <c r="AD61" t="s">
        <v>3445</v>
      </c>
      <c r="AE61" t="s">
        <v>3452</v>
      </c>
      <c r="AF61" t="s">
        <v>3548</v>
      </c>
      <c r="AI61" t="s">
        <v>4909</v>
      </c>
      <c r="AN61" t="s">
        <v>3414</v>
      </c>
    </row>
    <row r="62" spans="1:41">
      <c r="A62" s="1" t="s">
        <v>98</v>
      </c>
      <c r="B62" t="s">
        <v>1998</v>
      </c>
      <c r="C62" t="s">
        <v>2018</v>
      </c>
      <c r="D62" t="s">
        <v>2049</v>
      </c>
      <c r="E62" t="s">
        <v>2112</v>
      </c>
      <c r="F62" t="s">
        <v>2134</v>
      </c>
      <c r="G62" t="s">
        <v>2212</v>
      </c>
      <c r="H62">
        <v>11375</v>
      </c>
      <c r="I62" t="s">
        <v>2232</v>
      </c>
      <c r="J62">
        <v>2</v>
      </c>
      <c r="K62">
        <v>0</v>
      </c>
      <c r="L62" t="s">
        <v>2260</v>
      </c>
      <c r="M62" t="s">
        <v>2677</v>
      </c>
      <c r="P62" t="s">
        <v>2700</v>
      </c>
      <c r="Q62" t="s">
        <v>2113</v>
      </c>
      <c r="R62" t="s">
        <v>3258</v>
      </c>
      <c r="S62" t="s">
        <v>3262</v>
      </c>
      <c r="X62" t="s">
        <v>3354</v>
      </c>
      <c r="Y62" t="s">
        <v>2677</v>
      </c>
      <c r="Z62" t="s">
        <v>3355</v>
      </c>
      <c r="AA62" t="s">
        <v>3406</v>
      </c>
      <c r="AB62" t="s">
        <v>3410</v>
      </c>
      <c r="AC62">
        <f>HYPERLINK("https://lsnyc.legalserver.org/matter/dynamic-profile/view/1916754","19-1916754")</f>
        <v>0</v>
      </c>
      <c r="AD62" t="s">
        <v>3445</v>
      </c>
      <c r="AE62" t="s">
        <v>3452</v>
      </c>
      <c r="AF62" t="s">
        <v>3549</v>
      </c>
      <c r="AG62" t="s">
        <v>3355</v>
      </c>
      <c r="AH62" t="s">
        <v>4904</v>
      </c>
      <c r="AL62" t="s">
        <v>2134</v>
      </c>
      <c r="AN62" t="s">
        <v>3410</v>
      </c>
    </row>
    <row r="63" spans="1:41">
      <c r="A63" s="1" t="s">
        <v>99</v>
      </c>
      <c r="B63" t="s">
        <v>2008</v>
      </c>
      <c r="C63" t="s">
        <v>2001</v>
      </c>
      <c r="D63" t="s">
        <v>2047</v>
      </c>
      <c r="E63" t="s">
        <v>2111</v>
      </c>
      <c r="F63" t="s">
        <v>2122</v>
      </c>
      <c r="G63" t="s">
        <v>2214</v>
      </c>
      <c r="H63">
        <v>11207</v>
      </c>
      <c r="I63" t="s">
        <v>2230</v>
      </c>
      <c r="J63">
        <v>1</v>
      </c>
      <c r="K63">
        <v>0</v>
      </c>
      <c r="L63" t="s">
        <v>2289</v>
      </c>
      <c r="M63" t="s">
        <v>2677</v>
      </c>
      <c r="P63" t="s">
        <v>2699</v>
      </c>
      <c r="Q63" t="s">
        <v>2113</v>
      </c>
      <c r="R63" t="s">
        <v>3259</v>
      </c>
      <c r="S63" t="s">
        <v>3270</v>
      </c>
      <c r="V63" t="s">
        <v>3352</v>
      </c>
      <c r="X63" t="s">
        <v>3354</v>
      </c>
      <c r="Y63" t="s">
        <v>2677</v>
      </c>
      <c r="Z63" t="s">
        <v>3366</v>
      </c>
      <c r="AA63" t="s">
        <v>3406</v>
      </c>
      <c r="AB63" t="s">
        <v>3418</v>
      </c>
      <c r="AC63">
        <f>HYPERLINK("https://lsnyc.legalserver.org/matter/dynamic-profile/view/1916781","19-1916781")</f>
        <v>0</v>
      </c>
      <c r="AD63" t="s">
        <v>3445</v>
      </c>
      <c r="AE63" t="s">
        <v>3455</v>
      </c>
      <c r="AF63" t="s">
        <v>3550</v>
      </c>
      <c r="AG63" t="s">
        <v>3366</v>
      </c>
      <c r="AH63" t="s">
        <v>4904</v>
      </c>
      <c r="AL63" t="s">
        <v>2122</v>
      </c>
      <c r="AN63" t="s">
        <v>3418</v>
      </c>
      <c r="AO63" t="s">
        <v>3352</v>
      </c>
    </row>
    <row r="64" spans="1:41">
      <c r="A64" s="1" t="s">
        <v>100</v>
      </c>
      <c r="B64" t="s">
        <v>2000</v>
      </c>
      <c r="C64" t="s">
        <v>2000</v>
      </c>
      <c r="D64" t="s">
        <v>2061</v>
      </c>
      <c r="E64" t="s">
        <v>2111</v>
      </c>
      <c r="F64" t="s">
        <v>2117</v>
      </c>
      <c r="G64" t="s">
        <v>2213</v>
      </c>
      <c r="H64">
        <v>10454</v>
      </c>
      <c r="I64" t="s">
        <v>2229</v>
      </c>
      <c r="J64">
        <v>3</v>
      </c>
      <c r="K64">
        <v>2</v>
      </c>
      <c r="L64" t="s">
        <v>2260</v>
      </c>
      <c r="M64" t="s">
        <v>2677</v>
      </c>
      <c r="P64" t="s">
        <v>2699</v>
      </c>
      <c r="Q64" t="s">
        <v>3255</v>
      </c>
      <c r="R64" t="s">
        <v>3258</v>
      </c>
      <c r="S64" t="s">
        <v>3262</v>
      </c>
      <c r="X64" t="s">
        <v>3354</v>
      </c>
      <c r="Y64" t="s">
        <v>2678</v>
      </c>
      <c r="Z64" t="s">
        <v>3355</v>
      </c>
      <c r="AB64" t="s">
        <v>3410</v>
      </c>
      <c r="AC64">
        <f>HYPERLINK("https://lsnyc.legalserver.org/matter/dynamic-profile/view/1916791","19-1916791")</f>
        <v>0</v>
      </c>
      <c r="AD64" t="s">
        <v>3444</v>
      </c>
      <c r="AE64" t="s">
        <v>3464</v>
      </c>
      <c r="AF64" t="s">
        <v>3551</v>
      </c>
      <c r="AG64" t="s">
        <v>3355</v>
      </c>
      <c r="AI64" t="s">
        <v>4909</v>
      </c>
      <c r="AL64" t="s">
        <v>2117</v>
      </c>
      <c r="AN64" t="s">
        <v>3410</v>
      </c>
    </row>
    <row r="65" spans="1:41">
      <c r="A65" s="1" t="s">
        <v>101</v>
      </c>
      <c r="B65" t="s">
        <v>1998</v>
      </c>
      <c r="C65" t="s">
        <v>2005</v>
      </c>
      <c r="D65" t="s">
        <v>2053</v>
      </c>
      <c r="E65" t="s">
        <v>2111</v>
      </c>
      <c r="F65" t="s">
        <v>2117</v>
      </c>
      <c r="G65" t="s">
        <v>2213</v>
      </c>
      <c r="H65">
        <v>10454</v>
      </c>
      <c r="I65" t="s">
        <v>2229</v>
      </c>
      <c r="J65">
        <v>3</v>
      </c>
      <c r="K65">
        <v>2</v>
      </c>
      <c r="L65" t="s">
        <v>2260</v>
      </c>
      <c r="M65" t="s">
        <v>2677</v>
      </c>
      <c r="P65" t="s">
        <v>2699</v>
      </c>
      <c r="Q65" t="s">
        <v>3255</v>
      </c>
      <c r="R65" t="s">
        <v>3258</v>
      </c>
      <c r="S65" t="s">
        <v>3262</v>
      </c>
      <c r="X65" t="s">
        <v>3354</v>
      </c>
      <c r="Y65" t="s">
        <v>2678</v>
      </c>
      <c r="Z65" t="s">
        <v>3355</v>
      </c>
      <c r="AB65" t="s">
        <v>3410</v>
      </c>
      <c r="AC65">
        <f>HYPERLINK("https://lsnyc.legalserver.org/matter/dynamic-profile/view/1916792","19-1916792")</f>
        <v>0</v>
      </c>
      <c r="AD65" t="s">
        <v>3444</v>
      </c>
      <c r="AE65" t="s">
        <v>3464</v>
      </c>
      <c r="AF65" t="s">
        <v>3552</v>
      </c>
      <c r="AG65" t="s">
        <v>3355</v>
      </c>
      <c r="AI65" t="s">
        <v>4909</v>
      </c>
      <c r="AL65" t="s">
        <v>2117</v>
      </c>
      <c r="AN65" t="s">
        <v>3410</v>
      </c>
    </row>
    <row r="66" spans="1:41">
      <c r="A66" s="1" t="s">
        <v>102</v>
      </c>
      <c r="B66" t="s">
        <v>2002</v>
      </c>
      <c r="C66" t="s">
        <v>2002</v>
      </c>
      <c r="D66" t="s">
        <v>2048</v>
      </c>
      <c r="E66" t="s">
        <v>2111</v>
      </c>
      <c r="F66" t="s">
        <v>2135</v>
      </c>
      <c r="G66" t="s">
        <v>2212</v>
      </c>
      <c r="H66">
        <v>11385</v>
      </c>
      <c r="I66" t="s">
        <v>2229</v>
      </c>
      <c r="J66">
        <v>3</v>
      </c>
      <c r="K66">
        <v>1</v>
      </c>
      <c r="L66" t="s">
        <v>2290</v>
      </c>
      <c r="M66" t="s">
        <v>2677</v>
      </c>
      <c r="P66" t="s">
        <v>2699</v>
      </c>
      <c r="Q66" t="s">
        <v>3255</v>
      </c>
      <c r="R66" t="s">
        <v>3259</v>
      </c>
      <c r="S66" t="s">
        <v>3267</v>
      </c>
      <c r="X66" t="s">
        <v>3354</v>
      </c>
      <c r="Y66" t="s">
        <v>2678</v>
      </c>
      <c r="Z66" t="s">
        <v>3359</v>
      </c>
      <c r="AB66" t="s">
        <v>3415</v>
      </c>
      <c r="AC66">
        <f>HYPERLINK("https://lsnyc.legalserver.org/matter/dynamic-profile/view/1916818","19-1916818")</f>
        <v>0</v>
      </c>
      <c r="AD66" t="s">
        <v>3446</v>
      </c>
      <c r="AE66" t="s">
        <v>3465</v>
      </c>
      <c r="AF66" t="s">
        <v>3553</v>
      </c>
      <c r="AG66" t="s">
        <v>3359</v>
      </c>
      <c r="AI66" t="s">
        <v>4909</v>
      </c>
      <c r="AL66" t="s">
        <v>2135</v>
      </c>
      <c r="AN66" t="s">
        <v>3415</v>
      </c>
    </row>
    <row r="67" spans="1:41">
      <c r="A67" s="1" t="s">
        <v>103</v>
      </c>
      <c r="B67" t="s">
        <v>2001</v>
      </c>
      <c r="C67" t="s">
        <v>2000</v>
      </c>
      <c r="D67" t="s">
        <v>2063</v>
      </c>
      <c r="E67" t="s">
        <v>2112</v>
      </c>
      <c r="F67" t="s">
        <v>2120</v>
      </c>
      <c r="G67" t="s">
        <v>2212</v>
      </c>
      <c r="H67">
        <v>11413</v>
      </c>
      <c r="I67" t="s">
        <v>2230</v>
      </c>
      <c r="J67">
        <v>2</v>
      </c>
      <c r="K67">
        <v>0</v>
      </c>
      <c r="L67" t="s">
        <v>2291</v>
      </c>
      <c r="M67" t="s">
        <v>2677</v>
      </c>
      <c r="P67" t="s">
        <v>2699</v>
      </c>
      <c r="Q67" t="s">
        <v>3255</v>
      </c>
      <c r="R67" t="s">
        <v>3259</v>
      </c>
      <c r="S67" t="s">
        <v>3267</v>
      </c>
      <c r="X67" t="s">
        <v>3354</v>
      </c>
      <c r="Y67" t="s">
        <v>2678</v>
      </c>
      <c r="Z67" t="s">
        <v>3367</v>
      </c>
      <c r="AB67" t="s">
        <v>3415</v>
      </c>
      <c r="AC67">
        <f>HYPERLINK("https://lsnyc.legalserver.org/matter/dynamic-profile/view/1916829","19-1916829")</f>
        <v>0</v>
      </c>
      <c r="AD67" t="s">
        <v>3443</v>
      </c>
      <c r="AE67" t="s">
        <v>3457</v>
      </c>
      <c r="AF67" t="s">
        <v>3554</v>
      </c>
      <c r="AG67" t="s">
        <v>3367</v>
      </c>
      <c r="AI67" t="s">
        <v>4909</v>
      </c>
      <c r="AL67" t="s">
        <v>2120</v>
      </c>
      <c r="AN67" t="s">
        <v>3415</v>
      </c>
    </row>
    <row r="68" spans="1:41">
      <c r="A68" s="1" t="s">
        <v>104</v>
      </c>
      <c r="B68" t="s">
        <v>2016</v>
      </c>
      <c r="C68" t="s">
        <v>2001</v>
      </c>
      <c r="D68" t="s">
        <v>2036</v>
      </c>
      <c r="E68" t="s">
        <v>2112</v>
      </c>
      <c r="G68" t="s">
        <v>2216</v>
      </c>
      <c r="H68">
        <v>10303</v>
      </c>
      <c r="I68" t="s">
        <v>2229</v>
      </c>
      <c r="J68">
        <v>3</v>
      </c>
      <c r="K68">
        <v>1</v>
      </c>
      <c r="L68" t="s">
        <v>2284</v>
      </c>
      <c r="M68" t="s">
        <v>2678</v>
      </c>
      <c r="P68" t="s">
        <v>2701</v>
      </c>
      <c r="Q68" t="s">
        <v>3255</v>
      </c>
      <c r="R68" t="s">
        <v>3260</v>
      </c>
      <c r="S68" t="s">
        <v>3266</v>
      </c>
      <c r="X68" t="s">
        <v>3354</v>
      </c>
      <c r="Y68" t="s">
        <v>2678</v>
      </c>
      <c r="AB68" t="s">
        <v>3414</v>
      </c>
      <c r="AC68">
        <f>HYPERLINK("https://lsnyc.legalserver.org/matter/dynamic-profile/view/1916803","19-1916803")</f>
        <v>0</v>
      </c>
      <c r="AD68" t="s">
        <v>3447</v>
      </c>
      <c r="AE68" t="s">
        <v>3463</v>
      </c>
      <c r="AF68" t="s">
        <v>3555</v>
      </c>
      <c r="AI68" t="s">
        <v>4909</v>
      </c>
      <c r="AJ68" t="s">
        <v>4910</v>
      </c>
      <c r="AN68" t="s">
        <v>3414</v>
      </c>
    </row>
    <row r="69" spans="1:41">
      <c r="A69" s="1" t="s">
        <v>105</v>
      </c>
      <c r="B69" t="s">
        <v>2012</v>
      </c>
      <c r="C69" t="s">
        <v>2016</v>
      </c>
      <c r="D69" t="s">
        <v>2048</v>
      </c>
      <c r="E69" t="s">
        <v>2111</v>
      </c>
      <c r="F69" t="s">
        <v>2116</v>
      </c>
      <c r="G69" t="s">
        <v>2214</v>
      </c>
      <c r="H69">
        <v>11238</v>
      </c>
      <c r="I69" t="s">
        <v>2229</v>
      </c>
      <c r="J69">
        <v>1</v>
      </c>
      <c r="K69">
        <v>0</v>
      </c>
      <c r="L69" t="s">
        <v>2260</v>
      </c>
      <c r="M69" t="s">
        <v>2677</v>
      </c>
      <c r="P69" t="s">
        <v>2702</v>
      </c>
      <c r="Q69" t="s">
        <v>3255</v>
      </c>
      <c r="R69" t="s">
        <v>3260</v>
      </c>
      <c r="S69" t="s">
        <v>3266</v>
      </c>
      <c r="X69" t="s">
        <v>3354</v>
      </c>
      <c r="Y69" t="s">
        <v>2678</v>
      </c>
      <c r="AB69" t="s">
        <v>3414</v>
      </c>
      <c r="AC69">
        <f>HYPERLINK("https://lsnyc.legalserver.org/matter/dynamic-profile/view/1916451","19-1916451")</f>
        <v>0</v>
      </c>
      <c r="AD69" t="s">
        <v>3447</v>
      </c>
      <c r="AE69" t="s">
        <v>3458</v>
      </c>
      <c r="AF69" t="s">
        <v>3556</v>
      </c>
      <c r="AI69" t="s">
        <v>4909</v>
      </c>
      <c r="AL69" t="s">
        <v>2116</v>
      </c>
      <c r="AN69" t="s">
        <v>3414</v>
      </c>
    </row>
    <row r="70" spans="1:41">
      <c r="A70" s="1" t="s">
        <v>106</v>
      </c>
      <c r="B70" t="s">
        <v>2000</v>
      </c>
      <c r="C70" t="s">
        <v>2012</v>
      </c>
      <c r="D70" t="s">
        <v>2053</v>
      </c>
      <c r="E70" t="s">
        <v>2111</v>
      </c>
      <c r="F70" t="s">
        <v>2117</v>
      </c>
      <c r="G70" t="s">
        <v>2213</v>
      </c>
      <c r="H70">
        <v>10457</v>
      </c>
      <c r="I70" t="s">
        <v>2229</v>
      </c>
      <c r="J70">
        <v>1</v>
      </c>
      <c r="K70">
        <v>1</v>
      </c>
      <c r="L70" t="s">
        <v>2260</v>
      </c>
      <c r="M70" t="s">
        <v>2677</v>
      </c>
      <c r="P70" t="s">
        <v>2702</v>
      </c>
      <c r="Q70" t="s">
        <v>3255</v>
      </c>
      <c r="R70" t="s">
        <v>3258</v>
      </c>
      <c r="S70" t="s">
        <v>3262</v>
      </c>
      <c r="X70" t="s">
        <v>3354</v>
      </c>
      <c r="Y70" t="s">
        <v>2678</v>
      </c>
      <c r="Z70" t="s">
        <v>3355</v>
      </c>
      <c r="AB70" t="s">
        <v>3410</v>
      </c>
      <c r="AC70">
        <f>HYPERLINK("https://lsnyc.legalserver.org/matter/dynamic-profile/view/1916478","19-1916478")</f>
        <v>0</v>
      </c>
      <c r="AD70" t="s">
        <v>3444</v>
      </c>
      <c r="AE70" t="s">
        <v>3466</v>
      </c>
      <c r="AF70" t="s">
        <v>3557</v>
      </c>
      <c r="AG70" t="s">
        <v>3355</v>
      </c>
      <c r="AI70" t="s">
        <v>4909</v>
      </c>
      <c r="AL70" t="s">
        <v>2117</v>
      </c>
      <c r="AN70" t="s">
        <v>3410</v>
      </c>
    </row>
    <row r="71" spans="1:41">
      <c r="A71" s="1" t="s">
        <v>107</v>
      </c>
      <c r="B71" t="s">
        <v>2000</v>
      </c>
      <c r="C71" t="s">
        <v>2018</v>
      </c>
      <c r="D71" t="s">
        <v>2038</v>
      </c>
      <c r="E71" t="s">
        <v>2112</v>
      </c>
      <c r="F71" t="s">
        <v>2117</v>
      </c>
      <c r="G71" t="s">
        <v>2216</v>
      </c>
      <c r="H71">
        <v>10305</v>
      </c>
      <c r="I71" t="s">
        <v>2229</v>
      </c>
      <c r="J71">
        <v>2</v>
      </c>
      <c r="K71">
        <v>1</v>
      </c>
      <c r="L71" t="s">
        <v>2292</v>
      </c>
      <c r="M71" t="s">
        <v>2677</v>
      </c>
      <c r="P71" t="s">
        <v>2702</v>
      </c>
      <c r="Q71" t="s">
        <v>3255</v>
      </c>
      <c r="R71" t="s">
        <v>3260</v>
      </c>
      <c r="S71" t="s">
        <v>3266</v>
      </c>
      <c r="X71" t="s">
        <v>3354</v>
      </c>
      <c r="Y71" t="s">
        <v>2678</v>
      </c>
      <c r="AB71" t="s">
        <v>3414</v>
      </c>
      <c r="AC71">
        <f>HYPERLINK("https://lsnyc.legalserver.org/matter/dynamic-profile/view/1916801","19-1916801")</f>
        <v>0</v>
      </c>
      <c r="AD71" t="s">
        <v>3447</v>
      </c>
      <c r="AE71" t="s">
        <v>3462</v>
      </c>
      <c r="AF71" t="s">
        <v>3558</v>
      </c>
      <c r="AI71" t="s">
        <v>4909</v>
      </c>
      <c r="AL71" t="s">
        <v>2117</v>
      </c>
      <c r="AN71" t="s">
        <v>3414</v>
      </c>
    </row>
    <row r="72" spans="1:41">
      <c r="A72" s="1" t="s">
        <v>108</v>
      </c>
      <c r="B72" t="s">
        <v>2001</v>
      </c>
      <c r="C72" t="s">
        <v>2001</v>
      </c>
      <c r="D72" t="s">
        <v>2064</v>
      </c>
      <c r="E72" t="s">
        <v>2112</v>
      </c>
      <c r="F72" t="s">
        <v>2117</v>
      </c>
      <c r="G72" t="s">
        <v>2213</v>
      </c>
      <c r="H72">
        <v>10474</v>
      </c>
      <c r="I72" t="s">
        <v>2229</v>
      </c>
      <c r="J72">
        <v>5</v>
      </c>
      <c r="K72">
        <v>4</v>
      </c>
      <c r="L72" t="s">
        <v>2293</v>
      </c>
      <c r="M72" t="s">
        <v>2677</v>
      </c>
      <c r="P72" t="s">
        <v>2703</v>
      </c>
      <c r="Q72" t="s">
        <v>3255</v>
      </c>
      <c r="R72" t="s">
        <v>3259</v>
      </c>
      <c r="S72" t="s">
        <v>3268</v>
      </c>
      <c r="X72" t="s">
        <v>3354</v>
      </c>
      <c r="Y72" t="s">
        <v>2678</v>
      </c>
      <c r="Z72" t="s">
        <v>3368</v>
      </c>
      <c r="AB72" t="s">
        <v>3416</v>
      </c>
      <c r="AC72">
        <f>HYPERLINK("https://lsnyc.legalserver.org/matter/dynamic-profile/view/1916316","19-1916316")</f>
        <v>0</v>
      </c>
      <c r="AD72" t="s">
        <v>3444</v>
      </c>
      <c r="AE72" t="s">
        <v>3451</v>
      </c>
      <c r="AF72" t="s">
        <v>3559</v>
      </c>
      <c r="AG72" t="s">
        <v>3368</v>
      </c>
      <c r="AI72" t="s">
        <v>4909</v>
      </c>
      <c r="AL72" t="s">
        <v>2117</v>
      </c>
      <c r="AN72" t="s">
        <v>3416</v>
      </c>
    </row>
    <row r="73" spans="1:41">
      <c r="A73" s="1" t="s">
        <v>109</v>
      </c>
      <c r="B73" t="s">
        <v>2001</v>
      </c>
      <c r="C73" t="s">
        <v>2012</v>
      </c>
      <c r="D73" t="s">
        <v>2048</v>
      </c>
      <c r="E73" t="s">
        <v>2111</v>
      </c>
      <c r="F73" t="s">
        <v>2121</v>
      </c>
      <c r="G73" t="s">
        <v>2211</v>
      </c>
      <c r="H73">
        <v>10037</v>
      </c>
      <c r="I73" t="s">
        <v>2229</v>
      </c>
      <c r="J73">
        <v>1</v>
      </c>
      <c r="K73">
        <v>0</v>
      </c>
      <c r="L73" t="s">
        <v>2260</v>
      </c>
      <c r="M73" t="s">
        <v>2677</v>
      </c>
      <c r="P73" t="s">
        <v>2704</v>
      </c>
      <c r="Q73" t="s">
        <v>2113</v>
      </c>
      <c r="R73" t="s">
        <v>3258</v>
      </c>
      <c r="S73" t="s">
        <v>3271</v>
      </c>
      <c r="X73" t="s">
        <v>3354</v>
      </c>
      <c r="Y73" t="s">
        <v>2678</v>
      </c>
      <c r="Z73" t="s">
        <v>3362</v>
      </c>
      <c r="AB73" t="s">
        <v>3419</v>
      </c>
      <c r="AC73">
        <f>HYPERLINK("https://lsnyc.legalserver.org/matter/dynamic-profile/view/1916243","19-1916243")</f>
        <v>0</v>
      </c>
      <c r="AD73" t="s">
        <v>3447</v>
      </c>
      <c r="AE73" t="s">
        <v>3458</v>
      </c>
      <c r="AF73" t="s">
        <v>3560</v>
      </c>
      <c r="AG73" t="s">
        <v>3362</v>
      </c>
      <c r="AI73" t="s">
        <v>4909</v>
      </c>
      <c r="AL73" t="s">
        <v>2121</v>
      </c>
      <c r="AN73" t="s">
        <v>3419</v>
      </c>
    </row>
    <row r="74" spans="1:41">
      <c r="A74" s="1" t="s">
        <v>110</v>
      </c>
      <c r="B74" t="s">
        <v>2012</v>
      </c>
      <c r="C74" t="s">
        <v>2001</v>
      </c>
      <c r="D74" t="s">
        <v>2064</v>
      </c>
      <c r="E74" t="s">
        <v>2111</v>
      </c>
      <c r="F74" t="s">
        <v>2117</v>
      </c>
      <c r="G74" t="s">
        <v>2213</v>
      </c>
      <c r="H74">
        <v>10454</v>
      </c>
      <c r="I74" t="s">
        <v>2229</v>
      </c>
      <c r="J74">
        <v>4</v>
      </c>
      <c r="K74">
        <v>2</v>
      </c>
      <c r="L74" t="s">
        <v>2294</v>
      </c>
      <c r="M74" t="s">
        <v>2677</v>
      </c>
      <c r="P74" t="s">
        <v>2698</v>
      </c>
      <c r="Q74" t="s">
        <v>3255</v>
      </c>
      <c r="R74" t="s">
        <v>3259</v>
      </c>
      <c r="S74" t="s">
        <v>3272</v>
      </c>
      <c r="T74" t="s">
        <v>3294</v>
      </c>
      <c r="U74" t="s">
        <v>2698</v>
      </c>
      <c r="V74" t="s">
        <v>3353</v>
      </c>
      <c r="X74" t="s">
        <v>3354</v>
      </c>
      <c r="Y74" t="s">
        <v>2678</v>
      </c>
      <c r="Z74" t="s">
        <v>3364</v>
      </c>
      <c r="AB74" t="s">
        <v>3420</v>
      </c>
      <c r="AC74">
        <f>HYPERLINK("https://lsnyc.legalserver.org/matter/dynamic-profile/view/1916271","19-1916271")</f>
        <v>0</v>
      </c>
      <c r="AD74" t="s">
        <v>3444</v>
      </c>
      <c r="AE74" t="s">
        <v>3451</v>
      </c>
      <c r="AF74" t="s">
        <v>3561</v>
      </c>
      <c r="AG74" t="s">
        <v>3364</v>
      </c>
      <c r="AL74" t="s">
        <v>2117</v>
      </c>
      <c r="AM74" t="s">
        <v>3294</v>
      </c>
      <c r="AN74" t="s">
        <v>3420</v>
      </c>
      <c r="AO74" t="s">
        <v>3353</v>
      </c>
    </row>
    <row r="75" spans="1:41">
      <c r="A75" s="1" t="s">
        <v>111</v>
      </c>
      <c r="B75" t="s">
        <v>2000</v>
      </c>
      <c r="C75" t="s">
        <v>1998</v>
      </c>
      <c r="D75" t="s">
        <v>2065</v>
      </c>
      <c r="E75" t="s">
        <v>2112</v>
      </c>
      <c r="G75" t="s">
        <v>2216</v>
      </c>
      <c r="H75">
        <v>10312</v>
      </c>
      <c r="I75" t="s">
        <v>2230</v>
      </c>
      <c r="J75">
        <v>5</v>
      </c>
      <c r="K75">
        <v>3</v>
      </c>
      <c r="L75" t="s">
        <v>2272</v>
      </c>
      <c r="M75" t="s">
        <v>2677</v>
      </c>
      <c r="P75" t="s">
        <v>2705</v>
      </c>
      <c r="Q75" t="s">
        <v>2113</v>
      </c>
      <c r="R75" t="s">
        <v>3258</v>
      </c>
      <c r="S75" t="s">
        <v>3271</v>
      </c>
      <c r="X75" t="s">
        <v>3354</v>
      </c>
      <c r="Y75" t="s">
        <v>2677</v>
      </c>
      <c r="Z75" t="s">
        <v>3369</v>
      </c>
      <c r="AA75" t="s">
        <v>3406</v>
      </c>
      <c r="AB75" t="s">
        <v>3419</v>
      </c>
      <c r="AC75">
        <f>HYPERLINK("https://lsnyc.legalserver.org/matter/dynamic-profile/view/1915048","19-1915048")</f>
        <v>0</v>
      </c>
      <c r="AD75" t="s">
        <v>3445</v>
      </c>
      <c r="AE75" t="s">
        <v>3452</v>
      </c>
      <c r="AF75" t="s">
        <v>3562</v>
      </c>
      <c r="AG75" t="s">
        <v>3369</v>
      </c>
      <c r="AH75" t="s">
        <v>4904</v>
      </c>
      <c r="AN75" t="s">
        <v>3419</v>
      </c>
    </row>
    <row r="76" spans="1:41">
      <c r="A76" s="1" t="s">
        <v>112</v>
      </c>
      <c r="B76" t="s">
        <v>2001</v>
      </c>
      <c r="C76" t="s">
        <v>2012</v>
      </c>
      <c r="D76" t="s">
        <v>2026</v>
      </c>
      <c r="E76" t="s">
        <v>2112</v>
      </c>
      <c r="G76" t="s">
        <v>2216</v>
      </c>
      <c r="H76">
        <v>10301</v>
      </c>
      <c r="I76" t="s">
        <v>2229</v>
      </c>
      <c r="J76">
        <v>4</v>
      </c>
      <c r="K76">
        <v>2</v>
      </c>
      <c r="L76" t="s">
        <v>2295</v>
      </c>
      <c r="M76" t="s">
        <v>2677</v>
      </c>
      <c r="P76" t="s">
        <v>2706</v>
      </c>
      <c r="Q76" t="s">
        <v>2113</v>
      </c>
      <c r="R76" t="s">
        <v>3258</v>
      </c>
      <c r="S76" t="s">
        <v>3271</v>
      </c>
      <c r="X76" t="s">
        <v>3354</v>
      </c>
      <c r="Y76" t="s">
        <v>2677</v>
      </c>
      <c r="Z76" t="s">
        <v>3369</v>
      </c>
      <c r="AA76" t="s">
        <v>3406</v>
      </c>
      <c r="AB76" t="s">
        <v>3419</v>
      </c>
      <c r="AC76">
        <f>HYPERLINK("https://lsnyc.legalserver.org/matter/dynamic-profile/view/1915720","19-1915720")</f>
        <v>0</v>
      </c>
      <c r="AD76" t="s">
        <v>3445</v>
      </c>
      <c r="AE76" t="s">
        <v>3452</v>
      </c>
      <c r="AF76" t="s">
        <v>3563</v>
      </c>
      <c r="AG76" t="s">
        <v>3369</v>
      </c>
      <c r="AH76" t="s">
        <v>4904</v>
      </c>
      <c r="AI76" t="s">
        <v>4909</v>
      </c>
      <c r="AN76" t="s">
        <v>3419</v>
      </c>
    </row>
    <row r="77" spans="1:41">
      <c r="A77" s="1" t="s">
        <v>113</v>
      </c>
      <c r="B77" t="s">
        <v>1998</v>
      </c>
      <c r="C77" t="s">
        <v>2017</v>
      </c>
      <c r="D77" t="s">
        <v>2034</v>
      </c>
      <c r="E77" t="s">
        <v>2111</v>
      </c>
      <c r="F77" t="s">
        <v>2136</v>
      </c>
      <c r="G77" t="s">
        <v>2213</v>
      </c>
      <c r="H77">
        <v>10456</v>
      </c>
      <c r="I77" t="s">
        <v>2230</v>
      </c>
      <c r="J77">
        <v>1</v>
      </c>
      <c r="K77">
        <v>0</v>
      </c>
      <c r="L77" t="s">
        <v>2296</v>
      </c>
      <c r="M77" t="s">
        <v>2677</v>
      </c>
      <c r="P77" t="s">
        <v>2707</v>
      </c>
      <c r="Q77" t="s">
        <v>2113</v>
      </c>
      <c r="R77" t="s">
        <v>3258</v>
      </c>
      <c r="S77" t="s">
        <v>3273</v>
      </c>
      <c r="X77" t="s">
        <v>3354</v>
      </c>
      <c r="Y77" t="s">
        <v>2678</v>
      </c>
      <c r="Z77" t="s">
        <v>3370</v>
      </c>
      <c r="AB77" t="s">
        <v>3421</v>
      </c>
      <c r="AC77">
        <f>HYPERLINK("https://lsnyc.legalserver.org/matter/dynamic-profile/view/1915736","19-1915736")</f>
        <v>0</v>
      </c>
      <c r="AD77" t="s">
        <v>3442</v>
      </c>
      <c r="AE77" t="s">
        <v>3448</v>
      </c>
      <c r="AF77" t="s">
        <v>3564</v>
      </c>
      <c r="AG77" t="s">
        <v>3370</v>
      </c>
      <c r="AI77" t="s">
        <v>4909</v>
      </c>
      <c r="AL77" t="s">
        <v>2136</v>
      </c>
      <c r="AN77" t="s">
        <v>3421</v>
      </c>
    </row>
    <row r="78" spans="1:41">
      <c r="A78" s="1" t="s">
        <v>114</v>
      </c>
      <c r="B78" t="s">
        <v>2002</v>
      </c>
      <c r="C78" t="s">
        <v>1998</v>
      </c>
      <c r="D78" t="s">
        <v>2066</v>
      </c>
      <c r="E78" t="s">
        <v>2112</v>
      </c>
      <c r="F78" t="s">
        <v>2117</v>
      </c>
      <c r="G78" t="s">
        <v>2211</v>
      </c>
      <c r="H78">
        <v>10030</v>
      </c>
      <c r="I78" t="s">
        <v>2229</v>
      </c>
      <c r="J78">
        <v>2</v>
      </c>
      <c r="K78">
        <v>0</v>
      </c>
      <c r="L78" t="s">
        <v>2297</v>
      </c>
      <c r="M78" t="s">
        <v>2677</v>
      </c>
      <c r="P78" t="s">
        <v>2707</v>
      </c>
      <c r="Q78" t="s">
        <v>2113</v>
      </c>
      <c r="R78" t="s">
        <v>3258</v>
      </c>
      <c r="S78" t="s">
        <v>3269</v>
      </c>
      <c r="V78" t="s">
        <v>3352</v>
      </c>
      <c r="X78" t="s">
        <v>3354</v>
      </c>
      <c r="Y78" t="s">
        <v>2678</v>
      </c>
      <c r="Z78" t="s">
        <v>3361</v>
      </c>
      <c r="AA78" t="s">
        <v>3406</v>
      </c>
      <c r="AB78" t="s">
        <v>3417</v>
      </c>
      <c r="AC78">
        <f>HYPERLINK("https://lsnyc.legalserver.org/matter/dynamic-profile/view/1915763","19-1915763")</f>
        <v>0</v>
      </c>
      <c r="AD78" t="s">
        <v>3442</v>
      </c>
      <c r="AE78" t="s">
        <v>3448</v>
      </c>
      <c r="AF78" t="s">
        <v>3565</v>
      </c>
      <c r="AG78" t="s">
        <v>3361</v>
      </c>
      <c r="AH78" t="s">
        <v>4904</v>
      </c>
      <c r="AL78" t="s">
        <v>2117</v>
      </c>
      <c r="AN78" t="s">
        <v>3417</v>
      </c>
      <c r="AO78" t="s">
        <v>3352</v>
      </c>
    </row>
    <row r="79" spans="1:41">
      <c r="A79" s="1" t="s">
        <v>115</v>
      </c>
      <c r="B79" t="s">
        <v>1998</v>
      </c>
      <c r="C79" t="s">
        <v>1998</v>
      </c>
      <c r="D79" t="s">
        <v>2067</v>
      </c>
      <c r="E79" t="s">
        <v>2111</v>
      </c>
      <c r="F79" t="s">
        <v>2115</v>
      </c>
      <c r="G79" t="s">
        <v>2212</v>
      </c>
      <c r="H79">
        <v>11368</v>
      </c>
      <c r="I79" t="s">
        <v>2235</v>
      </c>
      <c r="J79">
        <v>3</v>
      </c>
      <c r="K79">
        <v>1</v>
      </c>
      <c r="L79" t="s">
        <v>2260</v>
      </c>
      <c r="M79" t="s">
        <v>2677</v>
      </c>
      <c r="P79" t="s">
        <v>2708</v>
      </c>
      <c r="Q79" t="s">
        <v>3255</v>
      </c>
      <c r="R79" t="s">
        <v>3260</v>
      </c>
      <c r="S79" t="s">
        <v>3266</v>
      </c>
      <c r="T79" t="s">
        <v>3294</v>
      </c>
      <c r="U79" t="s">
        <v>2708</v>
      </c>
      <c r="V79" t="s">
        <v>3353</v>
      </c>
      <c r="X79" t="s">
        <v>3354</v>
      </c>
      <c r="Y79" t="s">
        <v>2678</v>
      </c>
      <c r="AA79" t="s">
        <v>3406</v>
      </c>
      <c r="AB79" t="s">
        <v>3414</v>
      </c>
      <c r="AC79">
        <f>HYPERLINK("https://lsnyc.legalserver.org/matter/dynamic-profile/view/1915609","19-1915609")</f>
        <v>0</v>
      </c>
      <c r="AD79" t="s">
        <v>3443</v>
      </c>
      <c r="AE79" t="s">
        <v>3467</v>
      </c>
      <c r="AF79" t="s">
        <v>3566</v>
      </c>
      <c r="AH79" t="s">
        <v>4905</v>
      </c>
      <c r="AL79" t="s">
        <v>2115</v>
      </c>
      <c r="AM79" t="s">
        <v>3294</v>
      </c>
      <c r="AN79" t="s">
        <v>3414</v>
      </c>
      <c r="AO79" t="s">
        <v>3353</v>
      </c>
    </row>
    <row r="80" spans="1:41">
      <c r="A80" s="1" t="s">
        <v>116</v>
      </c>
      <c r="B80" t="s">
        <v>2001</v>
      </c>
      <c r="C80" t="s">
        <v>1998</v>
      </c>
      <c r="D80" t="s">
        <v>2036</v>
      </c>
      <c r="E80" t="s">
        <v>2112</v>
      </c>
      <c r="F80" t="s">
        <v>2123</v>
      </c>
      <c r="G80" t="s">
        <v>2213</v>
      </c>
      <c r="H80">
        <v>10453</v>
      </c>
      <c r="I80" t="s">
        <v>2229</v>
      </c>
      <c r="J80">
        <v>4</v>
      </c>
      <c r="K80">
        <v>2</v>
      </c>
      <c r="L80" t="s">
        <v>2298</v>
      </c>
      <c r="M80" t="s">
        <v>2677</v>
      </c>
      <c r="P80" t="s">
        <v>2708</v>
      </c>
      <c r="Q80" t="s">
        <v>3255</v>
      </c>
      <c r="R80" t="s">
        <v>3258</v>
      </c>
      <c r="S80" t="s">
        <v>3262</v>
      </c>
      <c r="X80" t="s">
        <v>3354</v>
      </c>
      <c r="Y80" t="s">
        <v>2678</v>
      </c>
      <c r="Z80" t="s">
        <v>3355</v>
      </c>
      <c r="AB80" t="s">
        <v>3410</v>
      </c>
      <c r="AC80">
        <f>HYPERLINK("https://lsnyc.legalserver.org/matter/dynamic-profile/view/1915684","19-1915684")</f>
        <v>0</v>
      </c>
      <c r="AD80" t="s">
        <v>3444</v>
      </c>
      <c r="AE80" t="s">
        <v>3468</v>
      </c>
      <c r="AF80" t="s">
        <v>3567</v>
      </c>
      <c r="AG80" t="s">
        <v>3355</v>
      </c>
      <c r="AI80" t="s">
        <v>4909</v>
      </c>
      <c r="AL80" t="s">
        <v>2123</v>
      </c>
      <c r="AN80" t="s">
        <v>3410</v>
      </c>
    </row>
    <row r="81" spans="1:41">
      <c r="A81" s="1" t="s">
        <v>117</v>
      </c>
      <c r="B81" t="s">
        <v>2001</v>
      </c>
      <c r="C81" t="s">
        <v>2009</v>
      </c>
      <c r="D81" t="s">
        <v>2066</v>
      </c>
      <c r="E81" t="s">
        <v>2112</v>
      </c>
      <c r="F81" t="s">
        <v>2123</v>
      </c>
      <c r="G81" t="s">
        <v>2213</v>
      </c>
      <c r="H81">
        <v>10458</v>
      </c>
      <c r="I81" t="s">
        <v>2229</v>
      </c>
      <c r="J81">
        <v>1</v>
      </c>
      <c r="K81">
        <v>0</v>
      </c>
      <c r="L81" t="s">
        <v>2260</v>
      </c>
      <c r="M81" t="s">
        <v>2677</v>
      </c>
      <c r="P81" t="s">
        <v>2709</v>
      </c>
      <c r="Q81" t="s">
        <v>2113</v>
      </c>
      <c r="R81" t="s">
        <v>3258</v>
      </c>
      <c r="S81" t="s">
        <v>3271</v>
      </c>
      <c r="V81" t="s">
        <v>3352</v>
      </c>
      <c r="X81" t="s">
        <v>3354</v>
      </c>
      <c r="Y81" t="s">
        <v>2677</v>
      </c>
      <c r="Z81" t="s">
        <v>3362</v>
      </c>
      <c r="AA81" t="s">
        <v>3406</v>
      </c>
      <c r="AB81" t="s">
        <v>3419</v>
      </c>
      <c r="AC81">
        <f>HYPERLINK("https://lsnyc.legalserver.org/matter/dynamic-profile/view/1915453","19-1915453")</f>
        <v>0</v>
      </c>
      <c r="AD81" t="s">
        <v>3445</v>
      </c>
      <c r="AE81" t="s">
        <v>3455</v>
      </c>
      <c r="AF81" t="s">
        <v>3568</v>
      </c>
      <c r="AG81" t="s">
        <v>3362</v>
      </c>
      <c r="AH81" t="s">
        <v>4904</v>
      </c>
      <c r="AL81" t="s">
        <v>2123</v>
      </c>
      <c r="AN81" t="s">
        <v>3419</v>
      </c>
      <c r="AO81" t="s">
        <v>3352</v>
      </c>
    </row>
    <row r="82" spans="1:41">
      <c r="A82" s="1" t="s">
        <v>118</v>
      </c>
      <c r="B82" t="s">
        <v>2002</v>
      </c>
      <c r="C82" t="s">
        <v>2000</v>
      </c>
      <c r="D82" t="s">
        <v>2068</v>
      </c>
      <c r="E82" t="s">
        <v>2111</v>
      </c>
      <c r="G82" t="s">
        <v>2213</v>
      </c>
      <c r="H82">
        <v>10454</v>
      </c>
      <c r="I82" t="s">
        <v>2229</v>
      </c>
      <c r="J82">
        <v>2</v>
      </c>
      <c r="K82">
        <v>0</v>
      </c>
      <c r="L82" t="s">
        <v>2255</v>
      </c>
      <c r="M82" t="s">
        <v>2677</v>
      </c>
      <c r="P82" t="s">
        <v>2709</v>
      </c>
      <c r="Q82" t="s">
        <v>3255</v>
      </c>
      <c r="R82" t="s">
        <v>3258</v>
      </c>
      <c r="S82" t="s">
        <v>3274</v>
      </c>
      <c r="X82" t="s">
        <v>3354</v>
      </c>
      <c r="Y82" t="s">
        <v>2678</v>
      </c>
      <c r="Z82" t="s">
        <v>3371</v>
      </c>
      <c r="AB82" t="s">
        <v>3422</v>
      </c>
      <c r="AC82">
        <f>HYPERLINK("https://lsnyc.legalserver.org/matter/dynamic-profile/view/1915459","19-1915459")</f>
        <v>0</v>
      </c>
      <c r="AD82" t="s">
        <v>3444</v>
      </c>
      <c r="AE82" t="s">
        <v>3468</v>
      </c>
      <c r="AF82" t="s">
        <v>3569</v>
      </c>
      <c r="AG82" t="s">
        <v>3371</v>
      </c>
      <c r="AI82" t="s">
        <v>4909</v>
      </c>
      <c r="AN82" t="s">
        <v>3422</v>
      </c>
    </row>
    <row r="83" spans="1:41">
      <c r="A83" s="1" t="s">
        <v>119</v>
      </c>
      <c r="B83" t="s">
        <v>1998</v>
      </c>
      <c r="C83" t="s">
        <v>1998</v>
      </c>
      <c r="D83" t="s">
        <v>2050</v>
      </c>
      <c r="E83" t="s">
        <v>2111</v>
      </c>
      <c r="G83" t="s">
        <v>2212</v>
      </c>
      <c r="H83">
        <v>11415</v>
      </c>
      <c r="I83" t="s">
        <v>2236</v>
      </c>
      <c r="J83">
        <v>1</v>
      </c>
      <c r="K83">
        <v>0</v>
      </c>
      <c r="L83" t="s">
        <v>2260</v>
      </c>
      <c r="M83" t="s">
        <v>2677</v>
      </c>
      <c r="P83" t="s">
        <v>2709</v>
      </c>
      <c r="Q83" t="s">
        <v>3255</v>
      </c>
      <c r="R83" t="s">
        <v>3259</v>
      </c>
      <c r="S83" t="s">
        <v>3275</v>
      </c>
      <c r="X83" t="s">
        <v>3354</v>
      </c>
      <c r="Y83" t="s">
        <v>2678</v>
      </c>
      <c r="Z83" t="s">
        <v>3372</v>
      </c>
      <c r="AB83" t="s">
        <v>3423</v>
      </c>
      <c r="AC83">
        <f>HYPERLINK("https://lsnyc.legalserver.org/matter/dynamic-profile/view/1915498","19-1915498")</f>
        <v>0</v>
      </c>
      <c r="AD83" t="s">
        <v>3443</v>
      </c>
      <c r="AE83" t="s">
        <v>3457</v>
      </c>
      <c r="AF83" t="s">
        <v>3570</v>
      </c>
      <c r="AG83" t="s">
        <v>3372</v>
      </c>
      <c r="AI83" t="s">
        <v>4909</v>
      </c>
      <c r="AN83" t="s">
        <v>3423</v>
      </c>
    </row>
    <row r="84" spans="1:41">
      <c r="A84" s="1" t="s">
        <v>120</v>
      </c>
      <c r="B84" t="s">
        <v>2001</v>
      </c>
      <c r="C84" t="s">
        <v>2001</v>
      </c>
      <c r="D84" t="s">
        <v>2040</v>
      </c>
      <c r="E84" t="s">
        <v>2112</v>
      </c>
      <c r="F84" t="s">
        <v>2123</v>
      </c>
      <c r="G84" t="s">
        <v>2213</v>
      </c>
      <c r="H84">
        <v>10452</v>
      </c>
      <c r="I84" t="s">
        <v>2229</v>
      </c>
      <c r="J84">
        <v>1</v>
      </c>
      <c r="K84">
        <v>0</v>
      </c>
      <c r="L84" t="s">
        <v>2260</v>
      </c>
      <c r="M84" t="s">
        <v>2677</v>
      </c>
      <c r="P84" t="s">
        <v>2710</v>
      </c>
      <c r="Q84" t="s">
        <v>3255</v>
      </c>
      <c r="R84" t="s">
        <v>3260</v>
      </c>
      <c r="S84" t="s">
        <v>3266</v>
      </c>
      <c r="X84" t="s">
        <v>3354</v>
      </c>
      <c r="Y84" t="s">
        <v>2677</v>
      </c>
      <c r="AB84" t="s">
        <v>3414</v>
      </c>
      <c r="AC84">
        <f>HYPERLINK("https://lsnyc.legalserver.org/matter/dynamic-profile/view/1915345","19-1915345")</f>
        <v>0</v>
      </c>
      <c r="AD84" t="s">
        <v>3445</v>
      </c>
      <c r="AE84" t="s">
        <v>3455</v>
      </c>
      <c r="AF84" t="s">
        <v>3571</v>
      </c>
      <c r="AI84" t="s">
        <v>4909</v>
      </c>
      <c r="AL84" t="s">
        <v>2123</v>
      </c>
      <c r="AN84" t="s">
        <v>3414</v>
      </c>
    </row>
    <row r="85" spans="1:41">
      <c r="A85" s="1" t="s">
        <v>121</v>
      </c>
      <c r="B85" t="s">
        <v>2008</v>
      </c>
      <c r="C85" t="s">
        <v>2017</v>
      </c>
      <c r="D85" t="s">
        <v>2049</v>
      </c>
      <c r="E85" t="s">
        <v>2111</v>
      </c>
      <c r="F85" t="s">
        <v>2129</v>
      </c>
      <c r="G85" t="s">
        <v>2214</v>
      </c>
      <c r="H85">
        <v>11225</v>
      </c>
      <c r="I85" t="s">
        <v>2232</v>
      </c>
      <c r="J85">
        <v>2</v>
      </c>
      <c r="K85">
        <v>0</v>
      </c>
      <c r="L85" t="s">
        <v>2260</v>
      </c>
      <c r="M85" t="s">
        <v>2677</v>
      </c>
      <c r="P85" t="s">
        <v>2710</v>
      </c>
      <c r="Q85" t="s">
        <v>2113</v>
      </c>
      <c r="V85" t="s">
        <v>3352</v>
      </c>
      <c r="X85" t="s">
        <v>3354</v>
      </c>
      <c r="Y85" t="s">
        <v>2677</v>
      </c>
      <c r="AA85" t="s">
        <v>3407</v>
      </c>
      <c r="AB85" t="s">
        <v>3407</v>
      </c>
      <c r="AC85">
        <f>HYPERLINK("https://lsnyc.legalserver.org/matter/dynamic-profile/view/1915415","19-1915415")</f>
        <v>0</v>
      </c>
      <c r="AD85" t="s">
        <v>3445</v>
      </c>
      <c r="AE85" t="s">
        <v>3469</v>
      </c>
      <c r="AF85" t="s">
        <v>3572</v>
      </c>
      <c r="AH85" t="s">
        <v>3407</v>
      </c>
      <c r="AL85" t="s">
        <v>2129</v>
      </c>
      <c r="AN85" t="s">
        <v>3407</v>
      </c>
      <c r="AO85" t="s">
        <v>3352</v>
      </c>
    </row>
    <row r="86" spans="1:41">
      <c r="A86" s="1" t="s">
        <v>122</v>
      </c>
      <c r="B86" t="s">
        <v>2017</v>
      </c>
      <c r="C86" t="s">
        <v>1998</v>
      </c>
      <c r="D86" t="s">
        <v>2069</v>
      </c>
      <c r="E86" t="s">
        <v>2111</v>
      </c>
      <c r="G86" t="s">
        <v>2212</v>
      </c>
      <c r="H86">
        <v>11432</v>
      </c>
      <c r="I86" t="s">
        <v>2230</v>
      </c>
      <c r="J86">
        <v>2</v>
      </c>
      <c r="K86">
        <v>0</v>
      </c>
      <c r="L86" t="s">
        <v>2285</v>
      </c>
      <c r="M86" t="s">
        <v>2677</v>
      </c>
      <c r="P86" t="s">
        <v>2710</v>
      </c>
      <c r="Q86" t="s">
        <v>3255</v>
      </c>
      <c r="R86" t="s">
        <v>3260</v>
      </c>
      <c r="S86" t="s">
        <v>3266</v>
      </c>
      <c r="X86" t="s">
        <v>3354</v>
      </c>
      <c r="Y86" t="s">
        <v>2678</v>
      </c>
      <c r="Z86" t="s">
        <v>3363</v>
      </c>
      <c r="AB86" t="s">
        <v>3414</v>
      </c>
      <c r="AC86">
        <f>HYPERLINK("https://lsnyc.legalserver.org/matter/dynamic-profile/view/1915439","19-1915439")</f>
        <v>0</v>
      </c>
      <c r="AD86" t="s">
        <v>3443</v>
      </c>
      <c r="AE86" t="s">
        <v>3457</v>
      </c>
      <c r="AF86" t="s">
        <v>3573</v>
      </c>
      <c r="AG86" t="s">
        <v>3363</v>
      </c>
      <c r="AI86" t="s">
        <v>4909</v>
      </c>
      <c r="AN86" t="s">
        <v>3414</v>
      </c>
    </row>
    <row r="87" spans="1:41">
      <c r="A87" s="1" t="s">
        <v>123</v>
      </c>
      <c r="B87" t="s">
        <v>2009</v>
      </c>
      <c r="C87" t="s">
        <v>1998</v>
      </c>
      <c r="D87" t="s">
        <v>2038</v>
      </c>
      <c r="E87" t="s">
        <v>2112</v>
      </c>
      <c r="F87" t="s">
        <v>2114</v>
      </c>
      <c r="G87" t="s">
        <v>2212</v>
      </c>
      <c r="H87">
        <v>11354</v>
      </c>
      <c r="I87" t="s">
        <v>2229</v>
      </c>
      <c r="J87">
        <v>3</v>
      </c>
      <c r="K87">
        <v>2</v>
      </c>
      <c r="L87" t="s">
        <v>2299</v>
      </c>
      <c r="M87" t="s">
        <v>2677</v>
      </c>
      <c r="P87" t="s">
        <v>2710</v>
      </c>
      <c r="Q87" t="s">
        <v>3255</v>
      </c>
      <c r="R87" t="s">
        <v>3259</v>
      </c>
      <c r="S87" t="s">
        <v>3267</v>
      </c>
      <c r="X87" t="s">
        <v>3354</v>
      </c>
      <c r="Y87" t="s">
        <v>2678</v>
      </c>
      <c r="Z87" t="s">
        <v>3359</v>
      </c>
      <c r="AB87" t="s">
        <v>3415</v>
      </c>
      <c r="AC87">
        <f>HYPERLINK("https://lsnyc.legalserver.org/matter/dynamic-profile/view/1915441","19-1915441")</f>
        <v>0</v>
      </c>
      <c r="AD87" t="s">
        <v>3443</v>
      </c>
      <c r="AE87" t="s">
        <v>3457</v>
      </c>
      <c r="AF87" t="s">
        <v>3574</v>
      </c>
      <c r="AG87" t="s">
        <v>3359</v>
      </c>
      <c r="AL87" t="s">
        <v>2114</v>
      </c>
      <c r="AN87" t="s">
        <v>3415</v>
      </c>
    </row>
    <row r="88" spans="1:41">
      <c r="A88" s="1" t="s">
        <v>124</v>
      </c>
      <c r="B88" t="s">
        <v>2016</v>
      </c>
      <c r="C88" t="s">
        <v>2001</v>
      </c>
      <c r="D88" t="s">
        <v>2070</v>
      </c>
      <c r="E88" t="s">
        <v>2111</v>
      </c>
      <c r="F88" t="s">
        <v>2116</v>
      </c>
      <c r="G88" t="s">
        <v>2212</v>
      </c>
      <c r="H88">
        <v>11368</v>
      </c>
      <c r="I88" t="s">
        <v>2229</v>
      </c>
      <c r="J88">
        <v>5</v>
      </c>
      <c r="K88">
        <v>3</v>
      </c>
      <c r="L88" t="s">
        <v>2300</v>
      </c>
      <c r="M88" t="s">
        <v>2677</v>
      </c>
      <c r="P88" t="s">
        <v>2710</v>
      </c>
      <c r="Q88" t="s">
        <v>2113</v>
      </c>
      <c r="R88" t="s">
        <v>3259</v>
      </c>
      <c r="S88" t="s">
        <v>3276</v>
      </c>
      <c r="X88" t="s">
        <v>3354</v>
      </c>
      <c r="Y88" t="s">
        <v>2678</v>
      </c>
      <c r="Z88" t="s">
        <v>3373</v>
      </c>
      <c r="AB88" t="s">
        <v>3424</v>
      </c>
      <c r="AC88">
        <f>HYPERLINK("https://lsnyc.legalserver.org/matter/dynamic-profile/view/1916544","19-1916544")</f>
        <v>0</v>
      </c>
      <c r="AD88" t="s">
        <v>3443</v>
      </c>
      <c r="AE88" t="s">
        <v>3450</v>
      </c>
      <c r="AF88" t="s">
        <v>3575</v>
      </c>
      <c r="AG88" t="s">
        <v>3373</v>
      </c>
      <c r="AI88" t="s">
        <v>4909</v>
      </c>
      <c r="AL88" t="s">
        <v>2116</v>
      </c>
      <c r="AN88" t="s">
        <v>3424</v>
      </c>
    </row>
    <row r="89" spans="1:41">
      <c r="A89" s="1" t="s">
        <v>125</v>
      </c>
      <c r="B89" t="s">
        <v>2012</v>
      </c>
      <c r="C89" t="s">
        <v>2016</v>
      </c>
      <c r="D89" t="s">
        <v>2048</v>
      </c>
      <c r="E89" t="s">
        <v>2111</v>
      </c>
      <c r="G89" t="s">
        <v>2214</v>
      </c>
      <c r="H89">
        <v>11238</v>
      </c>
      <c r="I89" t="s">
        <v>2229</v>
      </c>
      <c r="J89">
        <v>1</v>
      </c>
      <c r="K89">
        <v>0</v>
      </c>
      <c r="L89" t="s">
        <v>2260</v>
      </c>
      <c r="M89" t="s">
        <v>2677</v>
      </c>
      <c r="P89" t="s">
        <v>2711</v>
      </c>
      <c r="Q89" t="s">
        <v>3255</v>
      </c>
      <c r="R89" t="s">
        <v>3260</v>
      </c>
      <c r="S89" t="s">
        <v>3266</v>
      </c>
      <c r="X89" t="s">
        <v>3354</v>
      </c>
      <c r="Y89" t="s">
        <v>2678</v>
      </c>
      <c r="AB89" t="s">
        <v>3414</v>
      </c>
      <c r="AC89">
        <f>HYPERLINK("https://lsnyc.legalserver.org/matter/dynamic-profile/view/1913083","19-1913083")</f>
        <v>0</v>
      </c>
      <c r="AD89" t="s">
        <v>3447</v>
      </c>
      <c r="AE89" t="s">
        <v>3458</v>
      </c>
      <c r="AF89" t="s">
        <v>3556</v>
      </c>
      <c r="AI89" t="s">
        <v>4909</v>
      </c>
      <c r="AN89" t="s">
        <v>3414</v>
      </c>
    </row>
    <row r="90" spans="1:41">
      <c r="A90" s="1" t="s">
        <v>126</v>
      </c>
      <c r="B90" t="s">
        <v>2000</v>
      </c>
      <c r="C90" t="s">
        <v>1998</v>
      </c>
      <c r="D90" t="s">
        <v>2071</v>
      </c>
      <c r="E90" t="s">
        <v>2112</v>
      </c>
      <c r="F90" t="s">
        <v>2117</v>
      </c>
      <c r="G90" t="s">
        <v>2213</v>
      </c>
      <c r="H90">
        <v>10458</v>
      </c>
      <c r="I90" t="s">
        <v>2229</v>
      </c>
      <c r="J90">
        <v>2</v>
      </c>
      <c r="K90">
        <v>0</v>
      </c>
      <c r="L90" t="s">
        <v>2256</v>
      </c>
      <c r="M90" t="s">
        <v>2677</v>
      </c>
      <c r="P90" t="s">
        <v>2711</v>
      </c>
      <c r="Q90" t="s">
        <v>2113</v>
      </c>
      <c r="V90" t="s">
        <v>3353</v>
      </c>
      <c r="X90" t="s">
        <v>3354</v>
      </c>
      <c r="Y90" t="s">
        <v>2677</v>
      </c>
      <c r="AA90" t="s">
        <v>3407</v>
      </c>
      <c r="AB90" t="s">
        <v>3407</v>
      </c>
      <c r="AC90">
        <f>HYPERLINK("https://lsnyc.legalserver.org/matter/dynamic-profile/view/1915227","19-1915227")</f>
        <v>0</v>
      </c>
      <c r="AD90" t="s">
        <v>3445</v>
      </c>
      <c r="AE90" t="s">
        <v>3469</v>
      </c>
      <c r="AF90" t="s">
        <v>3576</v>
      </c>
      <c r="AH90" t="s">
        <v>3407</v>
      </c>
      <c r="AL90" t="s">
        <v>2117</v>
      </c>
      <c r="AN90" t="s">
        <v>3407</v>
      </c>
      <c r="AO90" t="s">
        <v>3353</v>
      </c>
    </row>
    <row r="91" spans="1:41">
      <c r="A91" s="1" t="s">
        <v>127</v>
      </c>
      <c r="B91" t="s">
        <v>2005</v>
      </c>
      <c r="C91" t="s">
        <v>1998</v>
      </c>
      <c r="D91" t="s">
        <v>2072</v>
      </c>
      <c r="E91" t="s">
        <v>2111</v>
      </c>
      <c r="F91" t="s">
        <v>2135</v>
      </c>
      <c r="G91" t="s">
        <v>2211</v>
      </c>
      <c r="H91">
        <v>10027</v>
      </c>
      <c r="I91" t="s">
        <v>2230</v>
      </c>
      <c r="J91">
        <v>1</v>
      </c>
      <c r="K91">
        <v>0</v>
      </c>
      <c r="L91" t="s">
        <v>2260</v>
      </c>
      <c r="M91" t="s">
        <v>2677</v>
      </c>
      <c r="P91" t="s">
        <v>2711</v>
      </c>
      <c r="Q91" t="s">
        <v>2113</v>
      </c>
      <c r="X91" t="s">
        <v>3354</v>
      </c>
      <c r="Y91" t="s">
        <v>2677</v>
      </c>
      <c r="AA91" t="s">
        <v>3407</v>
      </c>
      <c r="AB91" t="s">
        <v>3407</v>
      </c>
      <c r="AC91">
        <f>HYPERLINK("https://lsnyc.legalserver.org/matter/dynamic-profile/view/1915248","19-1915248")</f>
        <v>0</v>
      </c>
      <c r="AD91" t="s">
        <v>3445</v>
      </c>
      <c r="AE91" t="s">
        <v>3469</v>
      </c>
      <c r="AF91" t="s">
        <v>3577</v>
      </c>
      <c r="AH91" t="s">
        <v>3407</v>
      </c>
      <c r="AL91" t="s">
        <v>2135</v>
      </c>
      <c r="AN91" t="s">
        <v>3407</v>
      </c>
    </row>
    <row r="92" spans="1:41">
      <c r="A92" s="1" t="s">
        <v>128</v>
      </c>
      <c r="B92" t="s">
        <v>2012</v>
      </c>
      <c r="C92" t="s">
        <v>2018</v>
      </c>
      <c r="D92" t="s">
        <v>2073</v>
      </c>
      <c r="E92" t="s">
        <v>2112</v>
      </c>
      <c r="F92" t="s">
        <v>2117</v>
      </c>
      <c r="G92" t="s">
        <v>2213</v>
      </c>
      <c r="H92">
        <v>10460</v>
      </c>
      <c r="I92" t="s">
        <v>2229</v>
      </c>
      <c r="J92">
        <v>2</v>
      </c>
      <c r="K92">
        <v>1</v>
      </c>
      <c r="L92" t="s">
        <v>2272</v>
      </c>
      <c r="M92" t="s">
        <v>2677</v>
      </c>
      <c r="P92" t="s">
        <v>2711</v>
      </c>
      <c r="Q92" t="s">
        <v>3255</v>
      </c>
      <c r="R92" t="s">
        <v>3259</v>
      </c>
      <c r="S92" t="s">
        <v>3268</v>
      </c>
      <c r="X92" t="s">
        <v>3354</v>
      </c>
      <c r="Y92" t="s">
        <v>2678</v>
      </c>
      <c r="Z92" t="s">
        <v>3368</v>
      </c>
      <c r="AB92" t="s">
        <v>3416</v>
      </c>
      <c r="AC92">
        <f>HYPERLINK("https://lsnyc.legalserver.org/matter/dynamic-profile/view/1915260","19-1915260")</f>
        <v>0</v>
      </c>
      <c r="AD92" t="s">
        <v>3444</v>
      </c>
      <c r="AE92" t="s">
        <v>3466</v>
      </c>
      <c r="AF92" t="s">
        <v>3578</v>
      </c>
      <c r="AG92" t="s">
        <v>3368</v>
      </c>
      <c r="AI92" t="s">
        <v>4909</v>
      </c>
      <c r="AL92" t="s">
        <v>2117</v>
      </c>
      <c r="AN92" t="s">
        <v>3416</v>
      </c>
    </row>
    <row r="93" spans="1:41">
      <c r="A93" s="1" t="s">
        <v>129</v>
      </c>
      <c r="B93" t="s">
        <v>1998</v>
      </c>
      <c r="C93" t="s">
        <v>2017</v>
      </c>
      <c r="D93" t="s">
        <v>2074</v>
      </c>
      <c r="E93" t="s">
        <v>2112</v>
      </c>
      <c r="F93" t="s">
        <v>2123</v>
      </c>
      <c r="G93" t="s">
        <v>2213</v>
      </c>
      <c r="H93">
        <v>10453</v>
      </c>
      <c r="I93" t="s">
        <v>2229</v>
      </c>
      <c r="J93">
        <v>2</v>
      </c>
      <c r="K93">
        <v>0</v>
      </c>
      <c r="L93" t="s">
        <v>2260</v>
      </c>
      <c r="M93" t="s">
        <v>2677</v>
      </c>
      <c r="P93" t="s">
        <v>2711</v>
      </c>
      <c r="Q93" t="s">
        <v>3255</v>
      </c>
      <c r="R93" t="s">
        <v>3258</v>
      </c>
      <c r="S93" t="s">
        <v>3262</v>
      </c>
      <c r="X93" t="s">
        <v>3354</v>
      </c>
      <c r="Y93" t="s">
        <v>2678</v>
      </c>
      <c r="Z93" t="s">
        <v>3355</v>
      </c>
      <c r="AB93" t="s">
        <v>3410</v>
      </c>
      <c r="AC93">
        <f>HYPERLINK("https://lsnyc.legalserver.org/matter/dynamic-profile/view/1915282","19-1915282")</f>
        <v>0</v>
      </c>
      <c r="AD93" t="s">
        <v>3444</v>
      </c>
      <c r="AE93" t="s">
        <v>3466</v>
      </c>
      <c r="AF93" t="s">
        <v>3579</v>
      </c>
      <c r="AG93" t="s">
        <v>3355</v>
      </c>
      <c r="AI93" t="s">
        <v>4909</v>
      </c>
      <c r="AL93" t="s">
        <v>2123</v>
      </c>
      <c r="AN93" t="s">
        <v>3410</v>
      </c>
    </row>
    <row r="94" spans="1:41">
      <c r="A94" s="1" t="s">
        <v>130</v>
      </c>
      <c r="B94" t="s">
        <v>2000</v>
      </c>
      <c r="C94" t="s">
        <v>2016</v>
      </c>
      <c r="D94" t="s">
        <v>2034</v>
      </c>
      <c r="E94" t="s">
        <v>2111</v>
      </c>
      <c r="F94" t="s">
        <v>2137</v>
      </c>
      <c r="G94" t="s">
        <v>2213</v>
      </c>
      <c r="H94">
        <v>10453</v>
      </c>
      <c r="I94" t="s">
        <v>2237</v>
      </c>
      <c r="J94">
        <v>2</v>
      </c>
      <c r="K94">
        <v>0</v>
      </c>
      <c r="L94" t="s">
        <v>2260</v>
      </c>
      <c r="M94" t="s">
        <v>2677</v>
      </c>
      <c r="P94" t="s">
        <v>2711</v>
      </c>
      <c r="Q94" t="s">
        <v>3255</v>
      </c>
      <c r="R94" t="s">
        <v>3258</v>
      </c>
      <c r="S94" t="s">
        <v>3262</v>
      </c>
      <c r="X94" t="s">
        <v>3354</v>
      </c>
      <c r="Y94" t="s">
        <v>2678</v>
      </c>
      <c r="Z94" t="s">
        <v>3355</v>
      </c>
      <c r="AB94" t="s">
        <v>3410</v>
      </c>
      <c r="AC94">
        <f>HYPERLINK("https://lsnyc.legalserver.org/matter/dynamic-profile/view/1915287","19-1915287")</f>
        <v>0</v>
      </c>
      <c r="AD94" t="s">
        <v>3444</v>
      </c>
      <c r="AE94" t="s">
        <v>3466</v>
      </c>
      <c r="AF94" t="s">
        <v>3580</v>
      </c>
      <c r="AG94" t="s">
        <v>3355</v>
      </c>
      <c r="AI94" t="s">
        <v>4909</v>
      </c>
      <c r="AL94" t="s">
        <v>2137</v>
      </c>
      <c r="AN94" t="s">
        <v>3410</v>
      </c>
    </row>
    <row r="95" spans="1:41">
      <c r="A95" s="1" t="s">
        <v>131</v>
      </c>
      <c r="B95" t="s">
        <v>2002</v>
      </c>
      <c r="C95" t="s">
        <v>2001</v>
      </c>
      <c r="D95" t="s">
        <v>2047</v>
      </c>
      <c r="E95" t="s">
        <v>2112</v>
      </c>
      <c r="G95" t="s">
        <v>2213</v>
      </c>
      <c r="H95">
        <v>10463</v>
      </c>
      <c r="I95" t="s">
        <v>2229</v>
      </c>
      <c r="J95">
        <v>5</v>
      </c>
      <c r="K95">
        <v>2</v>
      </c>
      <c r="L95" t="s">
        <v>2294</v>
      </c>
      <c r="M95" t="s">
        <v>2677</v>
      </c>
      <c r="P95" t="s">
        <v>2711</v>
      </c>
      <c r="Q95" t="s">
        <v>3255</v>
      </c>
      <c r="R95" t="s">
        <v>3258</v>
      </c>
      <c r="S95" t="s">
        <v>3262</v>
      </c>
      <c r="X95" t="s">
        <v>3354</v>
      </c>
      <c r="Y95" t="s">
        <v>2678</v>
      </c>
      <c r="Z95" t="s">
        <v>3355</v>
      </c>
      <c r="AB95" t="s">
        <v>3410</v>
      </c>
      <c r="AC95">
        <f>HYPERLINK("https://lsnyc.legalserver.org/matter/dynamic-profile/view/1915326","19-1915326")</f>
        <v>0</v>
      </c>
      <c r="AD95" t="s">
        <v>3444</v>
      </c>
      <c r="AE95" t="s">
        <v>3468</v>
      </c>
      <c r="AF95" t="s">
        <v>3581</v>
      </c>
      <c r="AG95" t="s">
        <v>3355</v>
      </c>
      <c r="AI95" t="s">
        <v>4909</v>
      </c>
      <c r="AN95" t="s">
        <v>3410</v>
      </c>
    </row>
    <row r="96" spans="1:41">
      <c r="A96" s="1" t="s">
        <v>132</v>
      </c>
      <c r="B96" t="s">
        <v>1998</v>
      </c>
      <c r="C96" t="s">
        <v>2001</v>
      </c>
      <c r="D96" t="s">
        <v>2069</v>
      </c>
      <c r="E96" t="s">
        <v>2111</v>
      </c>
      <c r="G96" t="s">
        <v>2212</v>
      </c>
      <c r="H96">
        <v>11373</v>
      </c>
      <c r="I96" t="s">
        <v>2230</v>
      </c>
      <c r="J96">
        <v>2</v>
      </c>
      <c r="K96">
        <v>0</v>
      </c>
      <c r="L96" t="s">
        <v>2293</v>
      </c>
      <c r="M96" t="s">
        <v>2677</v>
      </c>
      <c r="P96" t="s">
        <v>2711</v>
      </c>
      <c r="Q96" t="s">
        <v>3255</v>
      </c>
      <c r="R96" t="s">
        <v>3260</v>
      </c>
      <c r="S96" t="s">
        <v>3266</v>
      </c>
      <c r="X96" t="s">
        <v>3354</v>
      </c>
      <c r="Y96" t="s">
        <v>2678</v>
      </c>
      <c r="Z96" t="s">
        <v>3363</v>
      </c>
      <c r="AB96" t="s">
        <v>3414</v>
      </c>
      <c r="AC96">
        <f>HYPERLINK("https://lsnyc.legalserver.org/matter/dynamic-profile/view/1915328","19-1915328")</f>
        <v>0</v>
      </c>
      <c r="AD96" t="s">
        <v>3443</v>
      </c>
      <c r="AE96" t="s">
        <v>3457</v>
      </c>
      <c r="AF96" t="s">
        <v>3582</v>
      </c>
      <c r="AG96" t="s">
        <v>3363</v>
      </c>
      <c r="AN96" t="s">
        <v>3414</v>
      </c>
    </row>
    <row r="97" spans="1:41">
      <c r="A97" s="1" t="s">
        <v>133</v>
      </c>
      <c r="B97" t="s">
        <v>2002</v>
      </c>
      <c r="C97" t="s">
        <v>2016</v>
      </c>
      <c r="D97" t="s">
        <v>2075</v>
      </c>
      <c r="E97" t="s">
        <v>2111</v>
      </c>
      <c r="F97" t="s">
        <v>2120</v>
      </c>
      <c r="G97" t="s">
        <v>2212</v>
      </c>
      <c r="H97">
        <v>11434</v>
      </c>
      <c r="I97" t="s">
        <v>2230</v>
      </c>
      <c r="J97">
        <v>3</v>
      </c>
      <c r="K97">
        <v>2</v>
      </c>
      <c r="L97" t="s">
        <v>2283</v>
      </c>
      <c r="M97" t="s">
        <v>2677</v>
      </c>
      <c r="P97" t="s">
        <v>2711</v>
      </c>
      <c r="Q97" t="s">
        <v>3255</v>
      </c>
      <c r="R97" t="s">
        <v>3258</v>
      </c>
      <c r="S97" t="s">
        <v>3262</v>
      </c>
      <c r="X97" t="s">
        <v>3354</v>
      </c>
      <c r="Y97" t="s">
        <v>2678</v>
      </c>
      <c r="Z97" t="s">
        <v>3355</v>
      </c>
      <c r="AB97" t="s">
        <v>3410</v>
      </c>
      <c r="AC97">
        <f>HYPERLINK("https://lsnyc.legalserver.org/matter/dynamic-profile/view/1915336","19-1915336")</f>
        <v>0</v>
      </c>
      <c r="AD97" t="s">
        <v>3443</v>
      </c>
      <c r="AE97" t="s">
        <v>3457</v>
      </c>
      <c r="AF97" t="s">
        <v>3583</v>
      </c>
      <c r="AG97" t="s">
        <v>3355</v>
      </c>
      <c r="AL97" t="s">
        <v>2120</v>
      </c>
      <c r="AN97" t="s">
        <v>3410</v>
      </c>
    </row>
    <row r="98" spans="1:41">
      <c r="A98" s="1" t="s">
        <v>134</v>
      </c>
      <c r="B98" t="s">
        <v>2001</v>
      </c>
      <c r="C98" t="s">
        <v>2016</v>
      </c>
      <c r="D98" t="s">
        <v>2057</v>
      </c>
      <c r="E98" t="s">
        <v>2111</v>
      </c>
      <c r="G98" t="s">
        <v>2214</v>
      </c>
      <c r="H98">
        <v>11209</v>
      </c>
      <c r="I98" t="s">
        <v>2230</v>
      </c>
      <c r="J98">
        <v>1</v>
      </c>
      <c r="K98">
        <v>0</v>
      </c>
      <c r="L98" t="s">
        <v>2301</v>
      </c>
      <c r="M98" t="s">
        <v>2678</v>
      </c>
      <c r="P98" t="s">
        <v>2711</v>
      </c>
      <c r="Q98" t="s">
        <v>3255</v>
      </c>
      <c r="R98" t="s">
        <v>3260</v>
      </c>
      <c r="S98" t="s">
        <v>3266</v>
      </c>
      <c r="X98" t="s">
        <v>3354</v>
      </c>
      <c r="Y98" t="s">
        <v>2678</v>
      </c>
      <c r="AB98" t="s">
        <v>3414</v>
      </c>
      <c r="AC98">
        <f>HYPERLINK("https://lsnyc.legalserver.org/matter/dynamic-profile/view/1915377","19-1915377")</f>
        <v>0</v>
      </c>
      <c r="AD98" t="s">
        <v>3447</v>
      </c>
      <c r="AE98" t="s">
        <v>3458</v>
      </c>
      <c r="AF98" t="s">
        <v>3584</v>
      </c>
      <c r="AI98" t="s">
        <v>4909</v>
      </c>
      <c r="AJ98" t="s">
        <v>4910</v>
      </c>
      <c r="AN98" t="s">
        <v>3414</v>
      </c>
    </row>
    <row r="99" spans="1:41">
      <c r="A99" s="1" t="s">
        <v>135</v>
      </c>
      <c r="B99" t="s">
        <v>2016</v>
      </c>
      <c r="C99" t="s">
        <v>2005</v>
      </c>
      <c r="D99" t="s">
        <v>2072</v>
      </c>
      <c r="E99" t="s">
        <v>2112</v>
      </c>
      <c r="F99" t="s">
        <v>2117</v>
      </c>
      <c r="G99" t="s">
        <v>2213</v>
      </c>
      <c r="H99">
        <v>10451</v>
      </c>
      <c r="I99" t="s">
        <v>2229</v>
      </c>
      <c r="J99">
        <v>2</v>
      </c>
      <c r="K99">
        <v>1</v>
      </c>
      <c r="L99" t="s">
        <v>2260</v>
      </c>
      <c r="M99" t="s">
        <v>2677</v>
      </c>
      <c r="P99" t="s">
        <v>2711</v>
      </c>
      <c r="Q99" t="s">
        <v>2113</v>
      </c>
      <c r="R99" t="s">
        <v>3260</v>
      </c>
      <c r="S99" t="s">
        <v>3266</v>
      </c>
      <c r="V99" t="s">
        <v>3353</v>
      </c>
      <c r="X99" t="s">
        <v>3354</v>
      </c>
      <c r="Y99" t="s">
        <v>2677</v>
      </c>
      <c r="AA99" t="s">
        <v>3406</v>
      </c>
      <c r="AB99" t="s">
        <v>3414</v>
      </c>
      <c r="AC99">
        <f>HYPERLINK("https://lsnyc.legalserver.org/matter/dynamic-profile/view/1916819","19-1916819")</f>
        <v>0</v>
      </c>
      <c r="AD99" t="s">
        <v>3445</v>
      </c>
      <c r="AE99" t="s">
        <v>3455</v>
      </c>
      <c r="AF99" t="s">
        <v>3585</v>
      </c>
      <c r="AH99" t="s">
        <v>4904</v>
      </c>
      <c r="AL99" t="s">
        <v>2117</v>
      </c>
      <c r="AN99" t="s">
        <v>3414</v>
      </c>
      <c r="AO99" t="s">
        <v>3353</v>
      </c>
    </row>
    <row r="100" spans="1:41">
      <c r="A100" s="1" t="s">
        <v>136</v>
      </c>
      <c r="B100" t="s">
        <v>2016</v>
      </c>
      <c r="C100" t="s">
        <v>2004</v>
      </c>
      <c r="D100" t="s">
        <v>2050</v>
      </c>
      <c r="E100" t="s">
        <v>2112</v>
      </c>
      <c r="F100" t="s">
        <v>2138</v>
      </c>
      <c r="G100" t="s">
        <v>2212</v>
      </c>
      <c r="H100">
        <v>11374</v>
      </c>
      <c r="I100" t="s">
        <v>2238</v>
      </c>
      <c r="J100">
        <v>2</v>
      </c>
      <c r="K100">
        <v>1</v>
      </c>
      <c r="L100" t="s">
        <v>2302</v>
      </c>
      <c r="M100" t="s">
        <v>2677</v>
      </c>
      <c r="P100" t="s">
        <v>2712</v>
      </c>
      <c r="Q100" t="s">
        <v>2113</v>
      </c>
      <c r="V100" t="s">
        <v>3352</v>
      </c>
      <c r="X100" t="s">
        <v>3354</v>
      </c>
      <c r="Y100" t="s">
        <v>2677</v>
      </c>
      <c r="AA100" t="s">
        <v>3407</v>
      </c>
      <c r="AB100" t="s">
        <v>3407</v>
      </c>
      <c r="AC100">
        <f>HYPERLINK("https://lsnyc.legalserver.org/matter/dynamic-profile/view/1915139","19-1915139")</f>
        <v>0</v>
      </c>
      <c r="AD100" t="s">
        <v>3445</v>
      </c>
      <c r="AE100" t="s">
        <v>3469</v>
      </c>
      <c r="AF100" t="s">
        <v>3586</v>
      </c>
      <c r="AH100" t="s">
        <v>3407</v>
      </c>
      <c r="AL100" t="s">
        <v>2138</v>
      </c>
      <c r="AN100" t="s">
        <v>3407</v>
      </c>
      <c r="AO100" t="s">
        <v>3352</v>
      </c>
    </row>
    <row r="101" spans="1:41">
      <c r="A101" s="1" t="s">
        <v>137</v>
      </c>
      <c r="B101" t="s">
        <v>2001</v>
      </c>
      <c r="C101" t="s">
        <v>2005</v>
      </c>
      <c r="D101" t="s">
        <v>2028</v>
      </c>
      <c r="E101" t="s">
        <v>2111</v>
      </c>
      <c r="G101" t="s">
        <v>2213</v>
      </c>
      <c r="H101">
        <v>10451</v>
      </c>
      <c r="I101" t="s">
        <v>2229</v>
      </c>
      <c r="J101">
        <v>1</v>
      </c>
      <c r="K101">
        <v>0</v>
      </c>
      <c r="L101" t="s">
        <v>2260</v>
      </c>
      <c r="M101" t="s">
        <v>2677</v>
      </c>
      <c r="P101" t="s">
        <v>2712</v>
      </c>
      <c r="Q101" t="s">
        <v>2113</v>
      </c>
      <c r="V101" t="s">
        <v>3352</v>
      </c>
      <c r="X101" t="s">
        <v>3354</v>
      </c>
      <c r="Y101" t="s">
        <v>2677</v>
      </c>
      <c r="AA101" t="s">
        <v>3407</v>
      </c>
      <c r="AB101" t="s">
        <v>3407</v>
      </c>
      <c r="AC101">
        <f>HYPERLINK("https://lsnyc.legalserver.org/matter/dynamic-profile/view/1915181","19-1915181")</f>
        <v>0</v>
      </c>
      <c r="AD101" t="s">
        <v>3445</v>
      </c>
      <c r="AE101" t="s">
        <v>3469</v>
      </c>
      <c r="AF101" t="s">
        <v>3587</v>
      </c>
      <c r="AH101" t="s">
        <v>3407</v>
      </c>
      <c r="AN101" t="s">
        <v>3407</v>
      </c>
      <c r="AO101" t="s">
        <v>3352</v>
      </c>
    </row>
    <row r="102" spans="1:41">
      <c r="A102" s="1" t="s">
        <v>138</v>
      </c>
      <c r="B102" t="s">
        <v>1998</v>
      </c>
      <c r="C102" t="s">
        <v>1998</v>
      </c>
      <c r="D102" t="s">
        <v>2050</v>
      </c>
      <c r="E102" t="s">
        <v>2111</v>
      </c>
      <c r="G102" t="s">
        <v>2212</v>
      </c>
      <c r="H102">
        <v>11415</v>
      </c>
      <c r="I102" t="s">
        <v>2236</v>
      </c>
      <c r="J102">
        <v>1</v>
      </c>
      <c r="K102">
        <v>0</v>
      </c>
      <c r="L102" t="s">
        <v>2260</v>
      </c>
      <c r="M102" t="s">
        <v>2677</v>
      </c>
      <c r="P102" t="s">
        <v>2712</v>
      </c>
      <c r="Q102" t="s">
        <v>3255</v>
      </c>
      <c r="R102" t="s">
        <v>3258</v>
      </c>
      <c r="S102" t="s">
        <v>3277</v>
      </c>
      <c r="X102" t="s">
        <v>3354</v>
      </c>
      <c r="Y102" t="s">
        <v>2678</v>
      </c>
      <c r="Z102" t="s">
        <v>3374</v>
      </c>
      <c r="AA102" t="s">
        <v>3406</v>
      </c>
      <c r="AB102" t="s">
        <v>3425</v>
      </c>
      <c r="AC102">
        <f>HYPERLINK("https://lsnyc.legalserver.org/matter/dynamic-profile/view/1915198","19-1915198")</f>
        <v>0</v>
      </c>
      <c r="AD102" t="s">
        <v>3443</v>
      </c>
      <c r="AE102" t="s">
        <v>3457</v>
      </c>
      <c r="AF102" t="s">
        <v>3570</v>
      </c>
      <c r="AG102" t="s">
        <v>3374</v>
      </c>
      <c r="AH102" t="s">
        <v>4904</v>
      </c>
      <c r="AN102" t="s">
        <v>3425</v>
      </c>
    </row>
    <row r="103" spans="1:41">
      <c r="A103" s="1" t="s">
        <v>139</v>
      </c>
      <c r="B103" t="s">
        <v>1998</v>
      </c>
      <c r="C103" t="s">
        <v>2001</v>
      </c>
      <c r="D103" t="s">
        <v>2029</v>
      </c>
      <c r="E103" t="s">
        <v>2112</v>
      </c>
      <c r="F103" t="s">
        <v>2138</v>
      </c>
      <c r="G103" t="s">
        <v>2213</v>
      </c>
      <c r="H103">
        <v>10460</v>
      </c>
      <c r="I103" t="s">
        <v>2229</v>
      </c>
      <c r="J103">
        <v>3</v>
      </c>
      <c r="K103">
        <v>2</v>
      </c>
      <c r="L103" t="s">
        <v>2261</v>
      </c>
      <c r="M103" t="s">
        <v>2677</v>
      </c>
      <c r="P103" t="s">
        <v>2713</v>
      </c>
      <c r="Q103" t="s">
        <v>2113</v>
      </c>
      <c r="V103" t="s">
        <v>3352</v>
      </c>
      <c r="X103" t="s">
        <v>3354</v>
      </c>
      <c r="Y103" t="s">
        <v>2677</v>
      </c>
      <c r="AA103" t="s">
        <v>3407</v>
      </c>
      <c r="AB103" t="s">
        <v>3407</v>
      </c>
      <c r="AC103">
        <f>HYPERLINK("https://lsnyc.legalserver.org/matter/dynamic-profile/view/1914994","19-1914994")</f>
        <v>0</v>
      </c>
      <c r="AD103" t="s">
        <v>3445</v>
      </c>
      <c r="AE103" t="s">
        <v>3469</v>
      </c>
      <c r="AF103" t="s">
        <v>3588</v>
      </c>
      <c r="AH103" t="s">
        <v>3407</v>
      </c>
      <c r="AI103" t="s">
        <v>4909</v>
      </c>
      <c r="AL103" t="s">
        <v>2138</v>
      </c>
      <c r="AN103" t="s">
        <v>3407</v>
      </c>
      <c r="AO103" t="s">
        <v>3352</v>
      </c>
    </row>
    <row r="104" spans="1:41">
      <c r="A104" s="1" t="s">
        <v>140</v>
      </c>
      <c r="B104" t="s">
        <v>2001</v>
      </c>
      <c r="C104" t="s">
        <v>2007</v>
      </c>
      <c r="D104" t="s">
        <v>2074</v>
      </c>
      <c r="E104" t="s">
        <v>2112</v>
      </c>
      <c r="F104" t="s">
        <v>2139</v>
      </c>
      <c r="G104" t="s">
        <v>2211</v>
      </c>
      <c r="H104">
        <v>11510</v>
      </c>
      <c r="I104" t="s">
        <v>2230</v>
      </c>
      <c r="J104">
        <v>1</v>
      </c>
      <c r="K104">
        <v>0</v>
      </c>
      <c r="L104" t="s">
        <v>2303</v>
      </c>
      <c r="M104" t="s">
        <v>2677</v>
      </c>
      <c r="P104" t="s">
        <v>2713</v>
      </c>
      <c r="Q104" t="s">
        <v>2113</v>
      </c>
      <c r="R104" t="s">
        <v>3258</v>
      </c>
      <c r="S104" t="s">
        <v>3271</v>
      </c>
      <c r="V104" t="s">
        <v>3352</v>
      </c>
      <c r="X104" t="s">
        <v>3354</v>
      </c>
      <c r="Y104" t="s">
        <v>2678</v>
      </c>
      <c r="Z104" t="s">
        <v>3375</v>
      </c>
      <c r="AA104" t="s">
        <v>3406</v>
      </c>
      <c r="AB104" t="s">
        <v>3419</v>
      </c>
      <c r="AC104">
        <f>HYPERLINK("https://lsnyc.legalserver.org/matter/dynamic-profile/view/1915081","19-1915081")</f>
        <v>0</v>
      </c>
      <c r="AD104" t="s">
        <v>3442</v>
      </c>
      <c r="AE104" t="s">
        <v>3470</v>
      </c>
      <c r="AF104" t="s">
        <v>3589</v>
      </c>
      <c r="AG104" t="s">
        <v>3375</v>
      </c>
      <c r="AH104" t="s">
        <v>4904</v>
      </c>
      <c r="AL104" t="s">
        <v>2139</v>
      </c>
      <c r="AN104" t="s">
        <v>3419</v>
      </c>
      <c r="AO104" t="s">
        <v>3352</v>
      </c>
    </row>
    <row r="105" spans="1:41">
      <c r="A105" s="1" t="s">
        <v>141</v>
      </c>
      <c r="B105" t="s">
        <v>2009</v>
      </c>
      <c r="C105" t="s">
        <v>2016</v>
      </c>
      <c r="D105" t="s">
        <v>2067</v>
      </c>
      <c r="E105" t="s">
        <v>2111</v>
      </c>
      <c r="G105" t="s">
        <v>2216</v>
      </c>
      <c r="H105">
        <v>10302</v>
      </c>
      <c r="I105" t="s">
        <v>2229</v>
      </c>
      <c r="J105">
        <v>1</v>
      </c>
      <c r="K105">
        <v>0</v>
      </c>
      <c r="L105" t="s">
        <v>2260</v>
      </c>
      <c r="M105" t="s">
        <v>2677</v>
      </c>
      <c r="P105" t="s">
        <v>2713</v>
      </c>
      <c r="Q105" t="s">
        <v>3255</v>
      </c>
      <c r="R105" t="s">
        <v>3260</v>
      </c>
      <c r="S105" t="s">
        <v>3266</v>
      </c>
      <c r="X105" t="s">
        <v>3354</v>
      </c>
      <c r="Y105" t="s">
        <v>2678</v>
      </c>
      <c r="AB105" t="s">
        <v>3414</v>
      </c>
      <c r="AC105">
        <f>HYPERLINK("https://lsnyc.legalserver.org/matter/dynamic-profile/view/1915380","19-1915380")</f>
        <v>0</v>
      </c>
      <c r="AD105" t="s">
        <v>3447</v>
      </c>
      <c r="AE105" t="s">
        <v>3463</v>
      </c>
      <c r="AF105" t="s">
        <v>3590</v>
      </c>
      <c r="AI105" t="s">
        <v>4909</v>
      </c>
      <c r="AN105" t="s">
        <v>3414</v>
      </c>
    </row>
    <row r="106" spans="1:41">
      <c r="A106" s="1" t="s">
        <v>142</v>
      </c>
      <c r="B106" t="s">
        <v>2014</v>
      </c>
      <c r="C106" t="s">
        <v>2016</v>
      </c>
      <c r="D106" t="s">
        <v>2031</v>
      </c>
      <c r="E106" t="s">
        <v>2112</v>
      </c>
      <c r="G106" t="s">
        <v>2213</v>
      </c>
      <c r="H106">
        <v>10460</v>
      </c>
      <c r="J106">
        <v>1</v>
      </c>
      <c r="K106">
        <v>0</v>
      </c>
      <c r="L106" t="s">
        <v>2260</v>
      </c>
      <c r="M106" t="s">
        <v>2677</v>
      </c>
      <c r="P106" t="s">
        <v>2713</v>
      </c>
      <c r="Q106" t="s">
        <v>3255</v>
      </c>
      <c r="R106" t="s">
        <v>3260</v>
      </c>
      <c r="S106" t="s">
        <v>3266</v>
      </c>
      <c r="X106" t="s">
        <v>3354</v>
      </c>
      <c r="Y106" t="s">
        <v>2678</v>
      </c>
      <c r="AB106" t="s">
        <v>3414</v>
      </c>
      <c r="AC106">
        <f>HYPERLINK("https://lsnyc.legalserver.org/matter/dynamic-profile/view/1915384","19-1915384")</f>
        <v>0</v>
      </c>
      <c r="AD106" t="s">
        <v>3447</v>
      </c>
      <c r="AE106" t="s">
        <v>3463</v>
      </c>
      <c r="AF106" t="s">
        <v>3591</v>
      </c>
      <c r="AI106" t="s">
        <v>4909</v>
      </c>
      <c r="AN106" t="s">
        <v>3414</v>
      </c>
    </row>
    <row r="107" spans="1:41">
      <c r="A107" s="1" t="s">
        <v>143</v>
      </c>
      <c r="B107" t="s">
        <v>2005</v>
      </c>
      <c r="C107" t="s">
        <v>2001</v>
      </c>
      <c r="D107" t="s">
        <v>2038</v>
      </c>
      <c r="E107" t="s">
        <v>2112</v>
      </c>
      <c r="G107" t="s">
        <v>2216</v>
      </c>
      <c r="H107">
        <v>10302</v>
      </c>
      <c r="I107" t="s">
        <v>2229</v>
      </c>
      <c r="J107">
        <v>1</v>
      </c>
      <c r="K107">
        <v>0</v>
      </c>
      <c r="L107" t="s">
        <v>2285</v>
      </c>
      <c r="M107" t="s">
        <v>2677</v>
      </c>
      <c r="P107" t="s">
        <v>2713</v>
      </c>
      <c r="Q107" t="s">
        <v>3255</v>
      </c>
      <c r="R107" t="s">
        <v>3260</v>
      </c>
      <c r="S107" t="s">
        <v>3266</v>
      </c>
      <c r="X107" t="s">
        <v>3354</v>
      </c>
      <c r="Y107" t="s">
        <v>2678</v>
      </c>
      <c r="AB107" t="s">
        <v>3414</v>
      </c>
      <c r="AC107">
        <f>HYPERLINK("https://lsnyc.legalserver.org/matter/dynamic-profile/view/1915387","19-1915387")</f>
        <v>0</v>
      </c>
      <c r="AD107" t="s">
        <v>3447</v>
      </c>
      <c r="AE107" t="s">
        <v>3463</v>
      </c>
      <c r="AF107" t="s">
        <v>3592</v>
      </c>
      <c r="AI107" t="s">
        <v>4909</v>
      </c>
      <c r="AN107" t="s">
        <v>3414</v>
      </c>
    </row>
    <row r="108" spans="1:41">
      <c r="A108" s="1" t="s">
        <v>144</v>
      </c>
      <c r="B108" t="s">
        <v>1998</v>
      </c>
      <c r="C108" t="s">
        <v>2016</v>
      </c>
      <c r="D108" t="s">
        <v>2060</v>
      </c>
      <c r="E108" t="s">
        <v>2112</v>
      </c>
      <c r="F108" t="s">
        <v>2121</v>
      </c>
      <c r="G108" t="s">
        <v>2212</v>
      </c>
      <c r="H108">
        <v>11418</v>
      </c>
      <c r="I108" t="s">
        <v>2229</v>
      </c>
      <c r="J108">
        <v>3</v>
      </c>
      <c r="K108">
        <v>2</v>
      </c>
      <c r="L108" t="s">
        <v>2304</v>
      </c>
      <c r="M108" t="s">
        <v>2677</v>
      </c>
      <c r="P108" t="s">
        <v>2714</v>
      </c>
      <c r="Q108" t="s">
        <v>2113</v>
      </c>
      <c r="R108" t="s">
        <v>3258</v>
      </c>
      <c r="S108" t="s">
        <v>3278</v>
      </c>
      <c r="X108" t="s">
        <v>3354</v>
      </c>
      <c r="Y108" t="s">
        <v>2678</v>
      </c>
      <c r="Z108" t="s">
        <v>3376</v>
      </c>
      <c r="AB108" t="s">
        <v>3426</v>
      </c>
      <c r="AC108">
        <f>HYPERLINK("https://lsnyc.legalserver.org/matter/dynamic-profile/view/1914956","19-1914956")</f>
        <v>0</v>
      </c>
      <c r="AD108" t="s">
        <v>3443</v>
      </c>
      <c r="AE108" t="s">
        <v>3467</v>
      </c>
      <c r="AF108" t="s">
        <v>3593</v>
      </c>
      <c r="AG108" t="s">
        <v>3376</v>
      </c>
      <c r="AI108" t="s">
        <v>4909</v>
      </c>
      <c r="AL108" t="s">
        <v>2121</v>
      </c>
      <c r="AN108" t="s">
        <v>3426</v>
      </c>
    </row>
    <row r="109" spans="1:41">
      <c r="A109" s="1" t="s">
        <v>145</v>
      </c>
      <c r="B109" t="s">
        <v>2001</v>
      </c>
      <c r="C109" t="s">
        <v>2001</v>
      </c>
      <c r="D109" t="s">
        <v>2062</v>
      </c>
      <c r="E109" t="s">
        <v>2112</v>
      </c>
      <c r="F109" t="s">
        <v>2136</v>
      </c>
      <c r="G109" t="s">
        <v>2211</v>
      </c>
      <c r="H109">
        <v>10025</v>
      </c>
      <c r="I109" t="s">
        <v>2230</v>
      </c>
      <c r="J109">
        <v>1</v>
      </c>
      <c r="K109">
        <v>0</v>
      </c>
      <c r="L109" t="s">
        <v>2281</v>
      </c>
      <c r="M109" t="s">
        <v>2677</v>
      </c>
      <c r="P109" t="s">
        <v>2715</v>
      </c>
      <c r="Q109" t="s">
        <v>2113</v>
      </c>
      <c r="R109" t="s">
        <v>3258</v>
      </c>
      <c r="S109" t="s">
        <v>3265</v>
      </c>
      <c r="V109" t="s">
        <v>3352</v>
      </c>
      <c r="X109" t="s">
        <v>3354</v>
      </c>
      <c r="Y109" t="s">
        <v>2678</v>
      </c>
      <c r="Z109" t="s">
        <v>3358</v>
      </c>
      <c r="AA109" t="s">
        <v>3406</v>
      </c>
      <c r="AB109" t="s">
        <v>3413</v>
      </c>
      <c r="AC109">
        <f>HYPERLINK("https://lsnyc.legalserver.org/matter/dynamic-profile/view/1914735","19-1914735")</f>
        <v>0</v>
      </c>
      <c r="AD109" t="s">
        <v>3442</v>
      </c>
      <c r="AE109" t="s">
        <v>3470</v>
      </c>
      <c r="AF109" t="s">
        <v>3594</v>
      </c>
      <c r="AG109" t="s">
        <v>3358</v>
      </c>
      <c r="AH109" t="s">
        <v>4904</v>
      </c>
      <c r="AL109" t="s">
        <v>2136</v>
      </c>
      <c r="AN109" t="s">
        <v>3413</v>
      </c>
      <c r="AO109" t="s">
        <v>3352</v>
      </c>
    </row>
    <row r="110" spans="1:41">
      <c r="A110" s="1" t="s">
        <v>146</v>
      </c>
      <c r="B110" t="s">
        <v>2012</v>
      </c>
      <c r="C110" t="s">
        <v>1998</v>
      </c>
      <c r="D110" t="s">
        <v>2055</v>
      </c>
      <c r="E110" t="s">
        <v>2113</v>
      </c>
      <c r="F110" t="s">
        <v>2117</v>
      </c>
      <c r="G110" t="s">
        <v>2214</v>
      </c>
      <c r="H110">
        <v>11208</v>
      </c>
      <c r="J110">
        <v>1</v>
      </c>
      <c r="K110">
        <v>0</v>
      </c>
      <c r="L110" t="s">
        <v>2305</v>
      </c>
      <c r="M110" t="s">
        <v>2677</v>
      </c>
      <c r="P110" t="s">
        <v>2705</v>
      </c>
      <c r="Q110" t="s">
        <v>2113</v>
      </c>
      <c r="V110" t="s">
        <v>3352</v>
      </c>
      <c r="X110" t="s">
        <v>3354</v>
      </c>
      <c r="Y110" t="s">
        <v>2677</v>
      </c>
      <c r="AA110" t="s">
        <v>3407</v>
      </c>
      <c r="AB110" t="s">
        <v>3407</v>
      </c>
      <c r="AC110">
        <f>HYPERLINK("https://lsnyc.legalserver.org/matter/dynamic-profile/view/1914704","19-1914704")</f>
        <v>0</v>
      </c>
      <c r="AD110" t="s">
        <v>3445</v>
      </c>
      <c r="AE110" t="s">
        <v>3469</v>
      </c>
      <c r="AF110" t="s">
        <v>3595</v>
      </c>
      <c r="AH110" t="s">
        <v>3407</v>
      </c>
      <c r="AL110" t="s">
        <v>2117</v>
      </c>
      <c r="AN110" t="s">
        <v>3407</v>
      </c>
      <c r="AO110" t="s">
        <v>3352</v>
      </c>
    </row>
    <row r="111" spans="1:41">
      <c r="A111" s="1" t="s">
        <v>147</v>
      </c>
      <c r="B111" t="s">
        <v>2000</v>
      </c>
      <c r="C111" t="s">
        <v>1998</v>
      </c>
      <c r="D111" t="s">
        <v>2076</v>
      </c>
      <c r="E111" t="s">
        <v>2113</v>
      </c>
      <c r="F111" t="s">
        <v>2135</v>
      </c>
      <c r="G111" t="s">
        <v>2214</v>
      </c>
      <c r="H111">
        <v>11221</v>
      </c>
      <c r="I111" t="s">
        <v>2229</v>
      </c>
      <c r="J111">
        <v>1</v>
      </c>
      <c r="K111">
        <v>0</v>
      </c>
      <c r="L111" t="s">
        <v>2306</v>
      </c>
      <c r="M111" t="s">
        <v>2678</v>
      </c>
      <c r="P111" t="s">
        <v>2705</v>
      </c>
      <c r="Q111" t="s">
        <v>2113</v>
      </c>
      <c r="V111" t="s">
        <v>3352</v>
      </c>
      <c r="X111" t="s">
        <v>3354</v>
      </c>
      <c r="Y111" t="s">
        <v>2677</v>
      </c>
      <c r="AA111" t="s">
        <v>3407</v>
      </c>
      <c r="AB111" t="s">
        <v>3407</v>
      </c>
      <c r="AC111">
        <f>HYPERLINK("https://lsnyc.legalserver.org/matter/dynamic-profile/view/1914708","19-1914708")</f>
        <v>0</v>
      </c>
      <c r="AD111" t="s">
        <v>3445</v>
      </c>
      <c r="AE111" t="s">
        <v>3461</v>
      </c>
      <c r="AF111" t="s">
        <v>3596</v>
      </c>
      <c r="AH111" t="s">
        <v>3407</v>
      </c>
      <c r="AJ111" t="s">
        <v>4910</v>
      </c>
      <c r="AL111" t="s">
        <v>2135</v>
      </c>
      <c r="AN111" t="s">
        <v>3407</v>
      </c>
      <c r="AO111" t="s">
        <v>3352</v>
      </c>
    </row>
    <row r="112" spans="1:41">
      <c r="A112" s="1" t="s">
        <v>148</v>
      </c>
      <c r="B112" t="s">
        <v>2018</v>
      </c>
      <c r="C112" t="s">
        <v>2001</v>
      </c>
      <c r="D112" t="s">
        <v>2055</v>
      </c>
      <c r="E112" t="s">
        <v>2112</v>
      </c>
      <c r="F112" t="s">
        <v>2114</v>
      </c>
      <c r="G112" t="s">
        <v>2212</v>
      </c>
      <c r="H112">
        <v>11356</v>
      </c>
      <c r="I112" t="s">
        <v>2229</v>
      </c>
      <c r="J112">
        <v>6</v>
      </c>
      <c r="K112">
        <v>4</v>
      </c>
      <c r="L112" t="s">
        <v>2307</v>
      </c>
      <c r="M112" t="s">
        <v>2677</v>
      </c>
      <c r="P112" t="s">
        <v>2716</v>
      </c>
      <c r="Q112" t="s">
        <v>2113</v>
      </c>
      <c r="R112" t="s">
        <v>3259</v>
      </c>
      <c r="S112" t="s">
        <v>3267</v>
      </c>
      <c r="X112" t="s">
        <v>3354</v>
      </c>
      <c r="Y112" t="s">
        <v>2678</v>
      </c>
      <c r="Z112" t="s">
        <v>3359</v>
      </c>
      <c r="AB112" t="s">
        <v>3415</v>
      </c>
      <c r="AC112">
        <f>HYPERLINK("https://lsnyc.legalserver.org/matter/dynamic-profile/view/1914324","19-1914324")</f>
        <v>0</v>
      </c>
      <c r="AD112" t="s">
        <v>3443</v>
      </c>
      <c r="AE112" t="s">
        <v>3471</v>
      </c>
      <c r="AF112" t="s">
        <v>3597</v>
      </c>
      <c r="AG112" t="s">
        <v>3359</v>
      </c>
      <c r="AI112" t="s">
        <v>4909</v>
      </c>
      <c r="AL112" t="s">
        <v>2114</v>
      </c>
      <c r="AN112" t="s">
        <v>3415</v>
      </c>
    </row>
    <row r="113" spans="1:41">
      <c r="A113" s="1" t="s">
        <v>149</v>
      </c>
      <c r="B113" t="s">
        <v>1998</v>
      </c>
      <c r="C113" t="s">
        <v>2000</v>
      </c>
      <c r="D113" t="s">
        <v>2077</v>
      </c>
      <c r="E113" t="s">
        <v>2112</v>
      </c>
      <c r="F113" t="s">
        <v>2123</v>
      </c>
      <c r="G113" t="s">
        <v>2213</v>
      </c>
      <c r="H113">
        <v>10457</v>
      </c>
      <c r="I113" t="s">
        <v>2229</v>
      </c>
      <c r="J113">
        <v>1</v>
      </c>
      <c r="K113">
        <v>0</v>
      </c>
      <c r="L113" t="s">
        <v>2266</v>
      </c>
      <c r="M113" t="s">
        <v>2677</v>
      </c>
      <c r="P113" t="s">
        <v>2716</v>
      </c>
      <c r="Q113" t="s">
        <v>2113</v>
      </c>
      <c r="V113" t="s">
        <v>3352</v>
      </c>
      <c r="X113" t="s">
        <v>3354</v>
      </c>
      <c r="Y113" t="s">
        <v>2677</v>
      </c>
      <c r="AA113" t="s">
        <v>3407</v>
      </c>
      <c r="AB113" t="s">
        <v>3407</v>
      </c>
      <c r="AC113">
        <f>HYPERLINK("https://lsnyc.legalserver.org/matter/dynamic-profile/view/1914494","19-1914494")</f>
        <v>0</v>
      </c>
      <c r="AD113" t="s">
        <v>3445</v>
      </c>
      <c r="AE113" t="s">
        <v>3469</v>
      </c>
      <c r="AF113" t="s">
        <v>3598</v>
      </c>
      <c r="AH113" t="s">
        <v>3407</v>
      </c>
      <c r="AI113" t="s">
        <v>4909</v>
      </c>
      <c r="AL113" t="s">
        <v>2123</v>
      </c>
      <c r="AN113" t="s">
        <v>3407</v>
      </c>
      <c r="AO113" t="s">
        <v>3352</v>
      </c>
    </row>
    <row r="114" spans="1:41">
      <c r="A114" s="1" t="s">
        <v>150</v>
      </c>
      <c r="B114" t="s">
        <v>1998</v>
      </c>
      <c r="C114" t="s">
        <v>2005</v>
      </c>
      <c r="D114" t="s">
        <v>2049</v>
      </c>
      <c r="E114" t="s">
        <v>2111</v>
      </c>
      <c r="F114" t="s">
        <v>2129</v>
      </c>
      <c r="G114" t="s">
        <v>2214</v>
      </c>
      <c r="H114">
        <v>11225</v>
      </c>
      <c r="I114" t="s">
        <v>2232</v>
      </c>
      <c r="J114">
        <v>2</v>
      </c>
      <c r="K114">
        <v>0</v>
      </c>
      <c r="L114" t="s">
        <v>2260</v>
      </c>
      <c r="M114" t="s">
        <v>2677</v>
      </c>
      <c r="P114" t="s">
        <v>2716</v>
      </c>
      <c r="Q114" t="s">
        <v>2113</v>
      </c>
      <c r="V114" t="s">
        <v>3352</v>
      </c>
      <c r="X114" t="s">
        <v>3354</v>
      </c>
      <c r="Y114" t="s">
        <v>2677</v>
      </c>
      <c r="AA114" t="s">
        <v>3407</v>
      </c>
      <c r="AB114" t="s">
        <v>3407</v>
      </c>
      <c r="AC114">
        <f>HYPERLINK("https://lsnyc.legalserver.org/matter/dynamic-profile/view/1914549","19-1914549")</f>
        <v>0</v>
      </c>
      <c r="AD114" t="s">
        <v>3445</v>
      </c>
      <c r="AE114" t="s">
        <v>3469</v>
      </c>
      <c r="AF114" t="s">
        <v>3599</v>
      </c>
      <c r="AH114" t="s">
        <v>3407</v>
      </c>
      <c r="AL114" t="s">
        <v>2129</v>
      </c>
      <c r="AN114" t="s">
        <v>3407</v>
      </c>
      <c r="AO114" t="s">
        <v>3352</v>
      </c>
    </row>
    <row r="115" spans="1:41">
      <c r="A115" s="1" t="s">
        <v>151</v>
      </c>
      <c r="B115" t="s">
        <v>1998</v>
      </c>
      <c r="C115" t="s">
        <v>2004</v>
      </c>
      <c r="D115" t="s">
        <v>2042</v>
      </c>
      <c r="E115" t="s">
        <v>2112</v>
      </c>
      <c r="F115" t="s">
        <v>2139</v>
      </c>
      <c r="G115" t="s">
        <v>2212</v>
      </c>
      <c r="H115">
        <v>11423</v>
      </c>
      <c r="I115" t="s">
        <v>2230</v>
      </c>
      <c r="J115">
        <v>3</v>
      </c>
      <c r="K115">
        <v>2</v>
      </c>
      <c r="L115" t="s">
        <v>2308</v>
      </c>
      <c r="M115" t="s">
        <v>2677</v>
      </c>
      <c r="P115" t="s">
        <v>2716</v>
      </c>
      <c r="Q115" t="s">
        <v>2113</v>
      </c>
      <c r="R115" t="s">
        <v>3258</v>
      </c>
      <c r="S115" t="s">
        <v>3279</v>
      </c>
      <c r="X115" t="s">
        <v>3354</v>
      </c>
      <c r="Y115" t="s">
        <v>2678</v>
      </c>
      <c r="Z115" t="s">
        <v>3377</v>
      </c>
      <c r="AA115" t="s">
        <v>3406</v>
      </c>
      <c r="AB115" t="s">
        <v>3427</v>
      </c>
      <c r="AC115">
        <f>HYPERLINK("https://lsnyc.legalserver.org/matter/dynamic-profile/view/1914576","19-1914576")</f>
        <v>0</v>
      </c>
      <c r="AD115" t="s">
        <v>3443</v>
      </c>
      <c r="AE115" t="s">
        <v>3472</v>
      </c>
      <c r="AF115" t="s">
        <v>3600</v>
      </c>
      <c r="AG115" t="s">
        <v>3377</v>
      </c>
      <c r="AH115" t="s">
        <v>4904</v>
      </c>
      <c r="AI115" t="s">
        <v>4909</v>
      </c>
      <c r="AL115" t="s">
        <v>2139</v>
      </c>
      <c r="AN115" t="s">
        <v>3427</v>
      </c>
    </row>
    <row r="116" spans="1:41">
      <c r="A116" s="1" t="s">
        <v>152</v>
      </c>
      <c r="B116" t="s">
        <v>2001</v>
      </c>
      <c r="C116" t="s">
        <v>1998</v>
      </c>
      <c r="D116" t="s">
        <v>2078</v>
      </c>
      <c r="E116" t="s">
        <v>2112</v>
      </c>
      <c r="F116" t="s">
        <v>2117</v>
      </c>
      <c r="G116" t="s">
        <v>2212</v>
      </c>
      <c r="H116">
        <v>11420</v>
      </c>
      <c r="I116" t="s">
        <v>2229</v>
      </c>
      <c r="J116">
        <v>6</v>
      </c>
      <c r="K116">
        <v>1</v>
      </c>
      <c r="L116" t="s">
        <v>2309</v>
      </c>
      <c r="M116" t="s">
        <v>2677</v>
      </c>
      <c r="P116" t="s">
        <v>2716</v>
      </c>
      <c r="Q116" t="s">
        <v>2113</v>
      </c>
      <c r="R116" t="s">
        <v>3259</v>
      </c>
      <c r="S116" t="s">
        <v>3267</v>
      </c>
      <c r="X116" t="s">
        <v>3354</v>
      </c>
      <c r="Y116" t="s">
        <v>2678</v>
      </c>
      <c r="Z116" t="s">
        <v>3359</v>
      </c>
      <c r="AB116" t="s">
        <v>3415</v>
      </c>
      <c r="AC116">
        <f>HYPERLINK("https://lsnyc.legalserver.org/matter/dynamic-profile/view/1914891","19-1914891")</f>
        <v>0</v>
      </c>
      <c r="AD116" t="s">
        <v>3443</v>
      </c>
      <c r="AE116" t="s">
        <v>3450</v>
      </c>
      <c r="AF116" t="s">
        <v>3601</v>
      </c>
      <c r="AG116" t="s">
        <v>3359</v>
      </c>
      <c r="AI116" t="s">
        <v>4909</v>
      </c>
      <c r="AL116" t="s">
        <v>2117</v>
      </c>
      <c r="AN116" t="s">
        <v>3415</v>
      </c>
    </row>
    <row r="117" spans="1:41">
      <c r="A117" s="1" t="s">
        <v>153</v>
      </c>
      <c r="B117" t="s">
        <v>2001</v>
      </c>
      <c r="C117" t="s">
        <v>1998</v>
      </c>
      <c r="D117" t="s">
        <v>2033</v>
      </c>
      <c r="E117" t="s">
        <v>2111</v>
      </c>
      <c r="F117" t="s">
        <v>2140</v>
      </c>
      <c r="G117" t="s">
        <v>2211</v>
      </c>
      <c r="H117">
        <v>10003</v>
      </c>
      <c r="I117" t="s">
        <v>2230</v>
      </c>
      <c r="J117">
        <v>1</v>
      </c>
      <c r="K117">
        <v>0</v>
      </c>
      <c r="L117" t="s">
        <v>2310</v>
      </c>
      <c r="M117" t="s">
        <v>2677</v>
      </c>
      <c r="P117" t="s">
        <v>2717</v>
      </c>
      <c r="Q117" t="s">
        <v>2113</v>
      </c>
      <c r="V117" t="s">
        <v>3352</v>
      </c>
      <c r="X117" t="s">
        <v>3354</v>
      </c>
      <c r="Y117" t="s">
        <v>2677</v>
      </c>
      <c r="AA117" t="s">
        <v>3407</v>
      </c>
      <c r="AB117" t="s">
        <v>3407</v>
      </c>
      <c r="AC117">
        <f>HYPERLINK("https://lsnyc.legalserver.org/matter/dynamic-profile/view/1913086","19-1913086")</f>
        <v>0</v>
      </c>
      <c r="AD117" t="s">
        <v>3445</v>
      </c>
      <c r="AE117" t="s">
        <v>3469</v>
      </c>
      <c r="AF117" t="s">
        <v>3602</v>
      </c>
      <c r="AH117" t="s">
        <v>3407</v>
      </c>
      <c r="AL117" t="s">
        <v>2140</v>
      </c>
      <c r="AN117" t="s">
        <v>3407</v>
      </c>
      <c r="AO117" t="s">
        <v>3352</v>
      </c>
    </row>
    <row r="118" spans="1:41">
      <c r="A118" s="1" t="s">
        <v>154</v>
      </c>
      <c r="B118" t="s">
        <v>2002</v>
      </c>
      <c r="C118" t="s">
        <v>2001</v>
      </c>
      <c r="D118" t="s">
        <v>2079</v>
      </c>
      <c r="E118" t="s">
        <v>2111</v>
      </c>
      <c r="F118" t="s">
        <v>2116</v>
      </c>
      <c r="G118" t="s">
        <v>2214</v>
      </c>
      <c r="H118">
        <v>11209</v>
      </c>
      <c r="I118" t="s">
        <v>2229</v>
      </c>
      <c r="J118">
        <v>3</v>
      </c>
      <c r="K118">
        <v>1</v>
      </c>
      <c r="L118" t="s">
        <v>2311</v>
      </c>
      <c r="M118" t="s">
        <v>2677</v>
      </c>
      <c r="P118" t="s">
        <v>2707</v>
      </c>
      <c r="Q118" t="s">
        <v>2113</v>
      </c>
      <c r="V118" t="s">
        <v>3352</v>
      </c>
      <c r="X118" t="s">
        <v>3354</v>
      </c>
      <c r="Y118" t="s">
        <v>2677</v>
      </c>
      <c r="Z118" t="s">
        <v>3362</v>
      </c>
      <c r="AA118" t="s">
        <v>3407</v>
      </c>
      <c r="AB118" t="s">
        <v>3407</v>
      </c>
      <c r="AC118">
        <f>HYPERLINK("https://lsnyc.legalserver.org/matter/dynamic-profile/view/1914339","19-1914339")</f>
        <v>0</v>
      </c>
      <c r="AD118" t="s">
        <v>3445</v>
      </c>
      <c r="AE118" t="s">
        <v>3469</v>
      </c>
      <c r="AF118" t="s">
        <v>3603</v>
      </c>
      <c r="AG118" t="s">
        <v>3362</v>
      </c>
      <c r="AH118" t="s">
        <v>3407</v>
      </c>
      <c r="AL118" t="s">
        <v>2116</v>
      </c>
      <c r="AN118" t="s">
        <v>3407</v>
      </c>
      <c r="AO118" t="s">
        <v>3352</v>
      </c>
    </row>
    <row r="119" spans="1:41">
      <c r="A119" s="1" t="s">
        <v>155</v>
      </c>
      <c r="B119" t="s">
        <v>2001</v>
      </c>
      <c r="C119" t="s">
        <v>2000</v>
      </c>
      <c r="D119" t="s">
        <v>2057</v>
      </c>
      <c r="E119" t="s">
        <v>2112</v>
      </c>
      <c r="F119" t="s">
        <v>2123</v>
      </c>
      <c r="G119" t="s">
        <v>2213</v>
      </c>
      <c r="H119">
        <v>10467</v>
      </c>
      <c r="I119" t="s">
        <v>2229</v>
      </c>
      <c r="J119">
        <v>3</v>
      </c>
      <c r="K119">
        <v>0</v>
      </c>
      <c r="L119" t="s">
        <v>2285</v>
      </c>
      <c r="M119" t="s">
        <v>2677</v>
      </c>
      <c r="P119" t="s">
        <v>2707</v>
      </c>
      <c r="Q119" t="s">
        <v>2113</v>
      </c>
      <c r="R119" t="s">
        <v>3258</v>
      </c>
      <c r="S119" t="s">
        <v>3271</v>
      </c>
      <c r="V119" t="s">
        <v>3352</v>
      </c>
      <c r="X119" t="s">
        <v>3354</v>
      </c>
      <c r="Y119" t="s">
        <v>2677</v>
      </c>
      <c r="Z119" t="s">
        <v>3362</v>
      </c>
      <c r="AA119" t="s">
        <v>3406</v>
      </c>
      <c r="AB119" t="s">
        <v>3419</v>
      </c>
      <c r="AC119">
        <f>HYPERLINK("https://lsnyc.legalserver.org/matter/dynamic-profile/view/1914343","19-1914343")</f>
        <v>0</v>
      </c>
      <c r="AD119" t="s">
        <v>3445</v>
      </c>
      <c r="AE119" t="s">
        <v>3452</v>
      </c>
      <c r="AF119" t="s">
        <v>3604</v>
      </c>
      <c r="AG119" t="s">
        <v>3362</v>
      </c>
      <c r="AH119" t="s">
        <v>4904</v>
      </c>
      <c r="AL119" t="s">
        <v>2123</v>
      </c>
      <c r="AN119" t="s">
        <v>3419</v>
      </c>
      <c r="AO119" t="s">
        <v>3352</v>
      </c>
    </row>
    <row r="120" spans="1:41">
      <c r="A120" s="1" t="s">
        <v>156</v>
      </c>
      <c r="B120" t="s">
        <v>2000</v>
      </c>
      <c r="C120" t="s">
        <v>2000</v>
      </c>
      <c r="D120" t="s">
        <v>2047</v>
      </c>
      <c r="E120" t="s">
        <v>2112</v>
      </c>
      <c r="F120" t="s">
        <v>2123</v>
      </c>
      <c r="G120" t="s">
        <v>2213</v>
      </c>
      <c r="H120">
        <v>10467</v>
      </c>
      <c r="I120" t="s">
        <v>2229</v>
      </c>
      <c r="J120">
        <v>3</v>
      </c>
      <c r="K120">
        <v>0</v>
      </c>
      <c r="L120" t="s">
        <v>2285</v>
      </c>
      <c r="M120" t="s">
        <v>2677</v>
      </c>
      <c r="P120" t="s">
        <v>2717</v>
      </c>
      <c r="Q120" t="s">
        <v>2113</v>
      </c>
      <c r="V120" t="s">
        <v>3352</v>
      </c>
      <c r="X120" t="s">
        <v>3354</v>
      </c>
      <c r="Y120" t="s">
        <v>2677</v>
      </c>
      <c r="AA120" t="s">
        <v>3407</v>
      </c>
      <c r="AB120" t="s">
        <v>3407</v>
      </c>
      <c r="AC120">
        <f>HYPERLINK("https://lsnyc.legalserver.org/matter/dynamic-profile/view/1914351","19-1914351")</f>
        <v>0</v>
      </c>
      <c r="AD120" t="s">
        <v>3445</v>
      </c>
      <c r="AE120" t="s">
        <v>3469</v>
      </c>
      <c r="AF120" t="s">
        <v>3605</v>
      </c>
      <c r="AH120" t="s">
        <v>3407</v>
      </c>
      <c r="AL120" t="s">
        <v>2123</v>
      </c>
      <c r="AN120" t="s">
        <v>3407</v>
      </c>
      <c r="AO120" t="s">
        <v>3352</v>
      </c>
    </row>
    <row r="121" spans="1:41">
      <c r="A121" s="1" t="s">
        <v>157</v>
      </c>
      <c r="B121" t="s">
        <v>2000</v>
      </c>
      <c r="C121" t="s">
        <v>2016</v>
      </c>
      <c r="D121" t="s">
        <v>2080</v>
      </c>
      <c r="E121" t="s">
        <v>2112</v>
      </c>
      <c r="F121" t="s">
        <v>2117</v>
      </c>
      <c r="G121" t="s">
        <v>2213</v>
      </c>
      <c r="H121">
        <v>10460</v>
      </c>
      <c r="I121" t="s">
        <v>2229</v>
      </c>
      <c r="J121">
        <v>3</v>
      </c>
      <c r="K121">
        <v>2</v>
      </c>
      <c r="L121" t="s">
        <v>2285</v>
      </c>
      <c r="M121" t="s">
        <v>2677</v>
      </c>
      <c r="P121" t="s">
        <v>2717</v>
      </c>
      <c r="Q121" t="s">
        <v>2113</v>
      </c>
      <c r="R121" t="s">
        <v>3258</v>
      </c>
      <c r="S121" t="s">
        <v>3262</v>
      </c>
      <c r="T121" t="s">
        <v>3294</v>
      </c>
      <c r="V121" t="s">
        <v>3353</v>
      </c>
      <c r="X121" t="s">
        <v>3354</v>
      </c>
      <c r="Y121" t="s">
        <v>2678</v>
      </c>
      <c r="Z121" t="s">
        <v>3355</v>
      </c>
      <c r="AA121" t="s">
        <v>3406</v>
      </c>
      <c r="AB121" t="s">
        <v>3410</v>
      </c>
      <c r="AC121">
        <f>HYPERLINK("https://lsnyc.legalserver.org/matter/dynamic-profile/view/1914392","19-1914392")</f>
        <v>0</v>
      </c>
      <c r="AD121" t="s">
        <v>3444</v>
      </c>
      <c r="AE121" t="s">
        <v>3464</v>
      </c>
      <c r="AF121" t="s">
        <v>3606</v>
      </c>
      <c r="AG121" t="s">
        <v>3355</v>
      </c>
      <c r="AH121" t="s">
        <v>4904</v>
      </c>
      <c r="AL121" t="s">
        <v>2117</v>
      </c>
      <c r="AM121" t="s">
        <v>3294</v>
      </c>
      <c r="AN121" t="s">
        <v>3410</v>
      </c>
      <c r="AO121" t="s">
        <v>3353</v>
      </c>
    </row>
    <row r="122" spans="1:41">
      <c r="A122" s="1" t="s">
        <v>158</v>
      </c>
      <c r="B122" t="s">
        <v>1998</v>
      </c>
      <c r="C122" t="s">
        <v>2007</v>
      </c>
      <c r="D122" t="s">
        <v>2081</v>
      </c>
      <c r="E122" t="s">
        <v>2112</v>
      </c>
      <c r="G122" t="s">
        <v>2213</v>
      </c>
      <c r="H122">
        <v>10472</v>
      </c>
      <c r="I122" t="s">
        <v>2229</v>
      </c>
      <c r="J122">
        <v>3</v>
      </c>
      <c r="K122">
        <v>2</v>
      </c>
      <c r="L122" t="s">
        <v>2312</v>
      </c>
      <c r="M122" t="s">
        <v>2677</v>
      </c>
      <c r="P122" t="s">
        <v>2717</v>
      </c>
      <c r="Q122" t="s">
        <v>2113</v>
      </c>
      <c r="V122" t="s">
        <v>3352</v>
      </c>
      <c r="X122" t="s">
        <v>3354</v>
      </c>
      <c r="Y122" t="s">
        <v>2677</v>
      </c>
      <c r="AA122" t="s">
        <v>3407</v>
      </c>
      <c r="AB122" t="s">
        <v>3407</v>
      </c>
      <c r="AC122">
        <f>HYPERLINK("https://lsnyc.legalserver.org/matter/dynamic-profile/view/1914464","19-1914464")</f>
        <v>0</v>
      </c>
      <c r="AD122" t="s">
        <v>3445</v>
      </c>
      <c r="AE122" t="s">
        <v>3469</v>
      </c>
      <c r="AF122" t="s">
        <v>3607</v>
      </c>
      <c r="AH122" t="s">
        <v>3407</v>
      </c>
      <c r="AN122" t="s">
        <v>3407</v>
      </c>
      <c r="AO122" t="s">
        <v>3352</v>
      </c>
    </row>
    <row r="123" spans="1:41">
      <c r="A123" s="1" t="s">
        <v>159</v>
      </c>
      <c r="B123" t="s">
        <v>2001</v>
      </c>
      <c r="C123" t="s">
        <v>2009</v>
      </c>
      <c r="D123" t="s">
        <v>2055</v>
      </c>
      <c r="E123" t="s">
        <v>2112</v>
      </c>
      <c r="F123" t="s">
        <v>2116</v>
      </c>
      <c r="G123" t="s">
        <v>2214</v>
      </c>
      <c r="H123">
        <v>11219</v>
      </c>
      <c r="I123" t="s">
        <v>2229</v>
      </c>
      <c r="J123">
        <v>6</v>
      </c>
      <c r="K123">
        <v>4</v>
      </c>
      <c r="L123" t="s">
        <v>2313</v>
      </c>
      <c r="M123" t="s">
        <v>2677</v>
      </c>
      <c r="P123" t="s">
        <v>2718</v>
      </c>
      <c r="Q123" t="s">
        <v>2113</v>
      </c>
      <c r="X123" t="s">
        <v>3354</v>
      </c>
      <c r="Y123" t="s">
        <v>2677</v>
      </c>
      <c r="Z123" t="s">
        <v>3378</v>
      </c>
      <c r="AA123" t="s">
        <v>3407</v>
      </c>
      <c r="AB123" t="s">
        <v>3407</v>
      </c>
      <c r="AC123">
        <f>HYPERLINK("https://lsnyc.legalserver.org/matter/dynamic-profile/view/1914233","19-1914233")</f>
        <v>0</v>
      </c>
      <c r="AD123" t="s">
        <v>3445</v>
      </c>
      <c r="AE123" t="s">
        <v>3461</v>
      </c>
      <c r="AF123" t="s">
        <v>3608</v>
      </c>
      <c r="AG123" t="s">
        <v>3378</v>
      </c>
      <c r="AH123" t="s">
        <v>3407</v>
      </c>
      <c r="AL123" t="s">
        <v>2116</v>
      </c>
      <c r="AN123" t="s">
        <v>3407</v>
      </c>
    </row>
    <row r="124" spans="1:41">
      <c r="A124" s="1" t="s">
        <v>160</v>
      </c>
      <c r="B124" t="s">
        <v>1998</v>
      </c>
      <c r="C124" t="s">
        <v>1998</v>
      </c>
      <c r="D124" t="s">
        <v>2077</v>
      </c>
      <c r="E124" t="s">
        <v>2111</v>
      </c>
      <c r="F124" t="s">
        <v>2117</v>
      </c>
      <c r="G124" t="s">
        <v>2211</v>
      </c>
      <c r="H124">
        <v>10031</v>
      </c>
      <c r="I124" t="s">
        <v>2229</v>
      </c>
      <c r="J124">
        <v>1</v>
      </c>
      <c r="K124">
        <v>0</v>
      </c>
      <c r="L124" t="s">
        <v>2255</v>
      </c>
      <c r="M124" t="s">
        <v>2677</v>
      </c>
      <c r="P124" t="s">
        <v>2718</v>
      </c>
      <c r="Q124" t="s">
        <v>2113</v>
      </c>
      <c r="R124" t="s">
        <v>3258</v>
      </c>
      <c r="S124" t="s">
        <v>3280</v>
      </c>
      <c r="V124" t="s">
        <v>3353</v>
      </c>
      <c r="X124" t="s">
        <v>3354</v>
      </c>
      <c r="Y124" t="s">
        <v>2678</v>
      </c>
      <c r="Z124" t="s">
        <v>3379</v>
      </c>
      <c r="AA124" t="s">
        <v>3406</v>
      </c>
      <c r="AB124" t="s">
        <v>3428</v>
      </c>
      <c r="AC124">
        <f>HYPERLINK("https://lsnyc.legalserver.org/matter/dynamic-profile/view/1914253","19-1914253")</f>
        <v>0</v>
      </c>
      <c r="AD124" t="s">
        <v>3442</v>
      </c>
      <c r="AE124" t="s">
        <v>3448</v>
      </c>
      <c r="AF124" t="s">
        <v>3609</v>
      </c>
      <c r="AG124" t="s">
        <v>3379</v>
      </c>
      <c r="AH124" t="s">
        <v>4904</v>
      </c>
      <c r="AL124" t="s">
        <v>2117</v>
      </c>
      <c r="AN124" t="s">
        <v>3428</v>
      </c>
      <c r="AO124" t="s">
        <v>3353</v>
      </c>
    </row>
    <row r="125" spans="1:41">
      <c r="A125" s="1" t="s">
        <v>161</v>
      </c>
      <c r="B125" t="s">
        <v>1998</v>
      </c>
      <c r="C125" t="s">
        <v>2017</v>
      </c>
      <c r="D125" t="s">
        <v>2062</v>
      </c>
      <c r="E125" t="s">
        <v>2112</v>
      </c>
      <c r="F125" t="s">
        <v>2141</v>
      </c>
      <c r="G125" t="s">
        <v>2214</v>
      </c>
      <c r="H125">
        <v>11226</v>
      </c>
      <c r="I125" t="s">
        <v>2230</v>
      </c>
      <c r="J125">
        <v>3</v>
      </c>
      <c r="K125">
        <v>1</v>
      </c>
      <c r="L125" t="s">
        <v>2271</v>
      </c>
      <c r="M125" t="s">
        <v>2677</v>
      </c>
      <c r="P125" t="s">
        <v>2718</v>
      </c>
      <c r="Q125" t="s">
        <v>2113</v>
      </c>
      <c r="V125" t="s">
        <v>3352</v>
      </c>
      <c r="X125" t="s">
        <v>3354</v>
      </c>
      <c r="Y125" t="s">
        <v>2677</v>
      </c>
      <c r="AA125" t="s">
        <v>3407</v>
      </c>
      <c r="AB125" t="s">
        <v>3407</v>
      </c>
      <c r="AC125">
        <f>HYPERLINK("https://lsnyc.legalserver.org/matter/dynamic-profile/view/1914303","19-1914303")</f>
        <v>0</v>
      </c>
      <c r="AD125" t="s">
        <v>3445</v>
      </c>
      <c r="AE125" t="s">
        <v>3469</v>
      </c>
      <c r="AF125" t="s">
        <v>3610</v>
      </c>
      <c r="AH125" t="s">
        <v>3407</v>
      </c>
      <c r="AL125" t="s">
        <v>2141</v>
      </c>
      <c r="AN125" t="s">
        <v>3407</v>
      </c>
      <c r="AO125" t="s">
        <v>3352</v>
      </c>
    </row>
    <row r="126" spans="1:41">
      <c r="A126" s="1" t="s">
        <v>162</v>
      </c>
      <c r="B126" t="s">
        <v>2001</v>
      </c>
      <c r="C126" t="s">
        <v>2000</v>
      </c>
      <c r="D126" t="s">
        <v>2026</v>
      </c>
      <c r="E126" t="s">
        <v>2112</v>
      </c>
      <c r="F126" t="s">
        <v>2117</v>
      </c>
      <c r="G126" t="s">
        <v>2213</v>
      </c>
      <c r="H126">
        <v>10463</v>
      </c>
      <c r="I126" t="s">
        <v>2229</v>
      </c>
      <c r="J126">
        <v>4</v>
      </c>
      <c r="K126">
        <v>3</v>
      </c>
      <c r="L126" t="s">
        <v>2260</v>
      </c>
      <c r="M126" t="s">
        <v>2677</v>
      </c>
      <c r="P126" t="s">
        <v>2718</v>
      </c>
      <c r="Q126" t="s">
        <v>2113</v>
      </c>
      <c r="R126" t="s">
        <v>3259</v>
      </c>
      <c r="S126" t="s">
        <v>3267</v>
      </c>
      <c r="V126" t="s">
        <v>3353</v>
      </c>
      <c r="X126" t="s">
        <v>3354</v>
      </c>
      <c r="Y126" t="s">
        <v>2678</v>
      </c>
      <c r="Z126" t="s">
        <v>3359</v>
      </c>
      <c r="AA126" t="s">
        <v>3406</v>
      </c>
      <c r="AB126" t="s">
        <v>3415</v>
      </c>
      <c r="AC126">
        <f>HYPERLINK("https://lsnyc.legalserver.org/matter/dynamic-profile/view/1914307","19-1914307")</f>
        <v>0</v>
      </c>
      <c r="AD126" t="s">
        <v>3444</v>
      </c>
      <c r="AE126" t="s">
        <v>3451</v>
      </c>
      <c r="AF126" t="s">
        <v>3611</v>
      </c>
      <c r="AG126" t="s">
        <v>3359</v>
      </c>
      <c r="AH126" t="s">
        <v>4906</v>
      </c>
      <c r="AL126" t="s">
        <v>2117</v>
      </c>
      <c r="AN126" t="s">
        <v>3415</v>
      </c>
      <c r="AO126" t="s">
        <v>3353</v>
      </c>
    </row>
    <row r="127" spans="1:41">
      <c r="A127" s="1" t="s">
        <v>163</v>
      </c>
      <c r="B127" t="s">
        <v>1998</v>
      </c>
      <c r="C127" t="s">
        <v>2002</v>
      </c>
      <c r="D127" t="s">
        <v>2082</v>
      </c>
      <c r="E127" t="s">
        <v>2111</v>
      </c>
      <c r="F127" t="s">
        <v>2116</v>
      </c>
      <c r="G127" t="s">
        <v>2211</v>
      </c>
      <c r="H127">
        <v>10035</v>
      </c>
      <c r="I127" t="s">
        <v>2230</v>
      </c>
      <c r="J127">
        <v>1</v>
      </c>
      <c r="K127">
        <v>0</v>
      </c>
      <c r="L127" t="s">
        <v>2260</v>
      </c>
      <c r="M127" t="s">
        <v>2677</v>
      </c>
      <c r="P127" t="s">
        <v>2718</v>
      </c>
      <c r="Q127" t="s">
        <v>2113</v>
      </c>
      <c r="R127" t="s">
        <v>3258</v>
      </c>
      <c r="S127" t="s">
        <v>3269</v>
      </c>
      <c r="X127" t="s">
        <v>3354</v>
      </c>
      <c r="Y127" t="s">
        <v>2678</v>
      </c>
      <c r="Z127" t="s">
        <v>3361</v>
      </c>
      <c r="AA127" t="s">
        <v>3406</v>
      </c>
      <c r="AB127" t="s">
        <v>3417</v>
      </c>
      <c r="AC127">
        <f>HYPERLINK("https://lsnyc.legalserver.org/matter/dynamic-profile/view/1914318","19-1914318")</f>
        <v>0</v>
      </c>
      <c r="AD127" t="s">
        <v>3442</v>
      </c>
      <c r="AE127" t="s">
        <v>3460</v>
      </c>
      <c r="AF127" t="s">
        <v>3612</v>
      </c>
      <c r="AG127" t="s">
        <v>3361</v>
      </c>
      <c r="AH127" t="s">
        <v>4904</v>
      </c>
      <c r="AI127" t="s">
        <v>4909</v>
      </c>
      <c r="AL127" t="s">
        <v>2116</v>
      </c>
      <c r="AN127" t="s">
        <v>3417</v>
      </c>
    </row>
    <row r="128" spans="1:41">
      <c r="A128" s="1" t="s">
        <v>164</v>
      </c>
      <c r="B128" t="s">
        <v>2016</v>
      </c>
      <c r="C128" t="s">
        <v>2016</v>
      </c>
      <c r="D128" t="s">
        <v>2028</v>
      </c>
      <c r="E128" t="s">
        <v>2112</v>
      </c>
      <c r="F128" t="s">
        <v>2123</v>
      </c>
      <c r="G128" t="s">
        <v>2213</v>
      </c>
      <c r="H128">
        <v>10472</v>
      </c>
      <c r="I128" t="s">
        <v>2229</v>
      </c>
      <c r="J128">
        <v>2</v>
      </c>
      <c r="K128">
        <v>0</v>
      </c>
      <c r="L128" t="s">
        <v>2314</v>
      </c>
      <c r="M128" t="s">
        <v>2677</v>
      </c>
      <c r="P128" t="s">
        <v>2719</v>
      </c>
      <c r="Q128" t="s">
        <v>2113</v>
      </c>
      <c r="V128" t="s">
        <v>3352</v>
      </c>
      <c r="X128" t="s">
        <v>3354</v>
      </c>
      <c r="Y128" t="s">
        <v>2677</v>
      </c>
      <c r="AA128" t="s">
        <v>3407</v>
      </c>
      <c r="AB128" t="s">
        <v>3407</v>
      </c>
      <c r="AC128">
        <f>HYPERLINK("https://lsnyc.legalserver.org/matter/dynamic-profile/view/1914058","19-1914058")</f>
        <v>0</v>
      </c>
      <c r="AD128" t="s">
        <v>3444</v>
      </c>
      <c r="AE128" t="s">
        <v>3469</v>
      </c>
      <c r="AF128" t="s">
        <v>3613</v>
      </c>
      <c r="AH128" t="s">
        <v>3407</v>
      </c>
      <c r="AL128" t="s">
        <v>2123</v>
      </c>
      <c r="AN128" t="s">
        <v>3407</v>
      </c>
      <c r="AO128" t="s">
        <v>3352</v>
      </c>
    </row>
    <row r="129" spans="1:41">
      <c r="A129" s="1" t="s">
        <v>165</v>
      </c>
      <c r="B129" t="s">
        <v>2012</v>
      </c>
      <c r="C129" t="s">
        <v>1998</v>
      </c>
      <c r="D129" t="s">
        <v>2065</v>
      </c>
      <c r="E129" t="s">
        <v>2111</v>
      </c>
      <c r="F129" t="s">
        <v>2120</v>
      </c>
      <c r="G129" t="s">
        <v>2212</v>
      </c>
      <c r="H129">
        <v>11412</v>
      </c>
      <c r="I129" t="s">
        <v>2230</v>
      </c>
      <c r="J129">
        <v>2</v>
      </c>
      <c r="K129">
        <v>1</v>
      </c>
      <c r="L129" t="s">
        <v>2273</v>
      </c>
      <c r="M129" t="s">
        <v>2677</v>
      </c>
      <c r="P129" t="s">
        <v>2719</v>
      </c>
      <c r="Q129" t="s">
        <v>3255</v>
      </c>
      <c r="R129" t="s">
        <v>3258</v>
      </c>
      <c r="S129" t="s">
        <v>3269</v>
      </c>
      <c r="X129" t="s">
        <v>3354</v>
      </c>
      <c r="Y129" t="s">
        <v>2678</v>
      </c>
      <c r="Z129" t="s">
        <v>3361</v>
      </c>
      <c r="AB129" t="s">
        <v>3417</v>
      </c>
      <c r="AC129">
        <f>HYPERLINK("https://lsnyc.legalserver.org/matter/dynamic-profile/view/1914439","19-1914439")</f>
        <v>0</v>
      </c>
      <c r="AD129" t="s">
        <v>3443</v>
      </c>
      <c r="AE129" t="s">
        <v>3471</v>
      </c>
      <c r="AF129" t="s">
        <v>3614</v>
      </c>
      <c r="AG129" t="s">
        <v>3361</v>
      </c>
      <c r="AI129" t="s">
        <v>4909</v>
      </c>
      <c r="AL129" t="s">
        <v>2120</v>
      </c>
      <c r="AN129" t="s">
        <v>3417</v>
      </c>
    </row>
    <row r="130" spans="1:41">
      <c r="A130" s="1" t="s">
        <v>166</v>
      </c>
      <c r="B130" t="s">
        <v>1998</v>
      </c>
      <c r="C130" t="s">
        <v>1998</v>
      </c>
      <c r="D130" t="s">
        <v>2049</v>
      </c>
      <c r="E130" t="s">
        <v>2112</v>
      </c>
      <c r="F130" t="s">
        <v>2142</v>
      </c>
      <c r="G130" t="s">
        <v>2212</v>
      </c>
      <c r="H130">
        <v>10032</v>
      </c>
      <c r="I130" t="s">
        <v>2230</v>
      </c>
      <c r="J130">
        <v>1</v>
      </c>
      <c r="K130">
        <v>0</v>
      </c>
      <c r="L130" t="s">
        <v>2260</v>
      </c>
      <c r="M130" t="s">
        <v>2677</v>
      </c>
      <c r="P130" t="s">
        <v>2720</v>
      </c>
      <c r="Q130" t="s">
        <v>3255</v>
      </c>
      <c r="R130" t="s">
        <v>3258</v>
      </c>
      <c r="S130" t="s">
        <v>3262</v>
      </c>
      <c r="X130" t="s">
        <v>3354</v>
      </c>
      <c r="Y130" t="s">
        <v>2678</v>
      </c>
      <c r="Z130" t="s">
        <v>3355</v>
      </c>
      <c r="AB130" t="s">
        <v>3410</v>
      </c>
      <c r="AC130">
        <f>HYPERLINK("https://lsnyc.legalserver.org/matter/dynamic-profile/view/1913964","19-1913964")</f>
        <v>0</v>
      </c>
      <c r="AD130" t="s">
        <v>3443</v>
      </c>
      <c r="AE130" t="s">
        <v>3471</v>
      </c>
      <c r="AF130" t="s">
        <v>3615</v>
      </c>
      <c r="AG130" t="s">
        <v>3355</v>
      </c>
      <c r="AI130" t="s">
        <v>4909</v>
      </c>
      <c r="AL130" t="s">
        <v>2142</v>
      </c>
      <c r="AN130" t="s">
        <v>3410</v>
      </c>
    </row>
    <row r="131" spans="1:41">
      <c r="A131" s="1" t="s">
        <v>167</v>
      </c>
      <c r="B131" t="s">
        <v>2000</v>
      </c>
      <c r="C131" t="s">
        <v>2001</v>
      </c>
      <c r="D131" t="s">
        <v>2081</v>
      </c>
      <c r="E131" t="s">
        <v>2111</v>
      </c>
      <c r="F131" t="s">
        <v>2123</v>
      </c>
      <c r="G131" t="s">
        <v>2211</v>
      </c>
      <c r="H131">
        <v>10031</v>
      </c>
      <c r="I131" t="s">
        <v>2230</v>
      </c>
      <c r="J131">
        <v>1</v>
      </c>
      <c r="K131">
        <v>0</v>
      </c>
      <c r="L131" t="s">
        <v>2288</v>
      </c>
      <c r="M131" t="s">
        <v>2677</v>
      </c>
      <c r="P131" t="s">
        <v>2707</v>
      </c>
      <c r="Q131" t="s">
        <v>2113</v>
      </c>
      <c r="V131" t="s">
        <v>3352</v>
      </c>
      <c r="X131" t="s">
        <v>3354</v>
      </c>
      <c r="Y131" t="s">
        <v>2677</v>
      </c>
      <c r="AA131" t="s">
        <v>3407</v>
      </c>
      <c r="AB131" t="s">
        <v>3407</v>
      </c>
      <c r="AC131">
        <f>HYPERLINK("https://lsnyc.legalserver.org/matter/dynamic-profile/view/1913998","19-1913998")</f>
        <v>0</v>
      </c>
      <c r="AD131" t="s">
        <v>3445</v>
      </c>
      <c r="AE131" t="s">
        <v>3469</v>
      </c>
      <c r="AF131" t="s">
        <v>3616</v>
      </c>
      <c r="AH131" t="s">
        <v>3407</v>
      </c>
      <c r="AL131" t="s">
        <v>2123</v>
      </c>
      <c r="AN131" t="s">
        <v>3407</v>
      </c>
      <c r="AO131" t="s">
        <v>3352</v>
      </c>
    </row>
    <row r="132" spans="1:41">
      <c r="A132" s="1" t="s">
        <v>168</v>
      </c>
      <c r="B132" t="s">
        <v>1998</v>
      </c>
      <c r="C132" t="s">
        <v>2016</v>
      </c>
      <c r="D132" t="s">
        <v>2041</v>
      </c>
      <c r="E132" t="s">
        <v>2111</v>
      </c>
      <c r="F132" t="s">
        <v>2143</v>
      </c>
      <c r="G132" t="s">
        <v>2213</v>
      </c>
      <c r="H132">
        <v>10458</v>
      </c>
      <c r="I132" t="s">
        <v>2234</v>
      </c>
      <c r="J132">
        <v>2</v>
      </c>
      <c r="K132">
        <v>0</v>
      </c>
      <c r="L132" t="s">
        <v>2304</v>
      </c>
      <c r="M132" t="s">
        <v>2677</v>
      </c>
      <c r="P132" t="s">
        <v>2707</v>
      </c>
      <c r="Q132" t="s">
        <v>2113</v>
      </c>
      <c r="V132" t="s">
        <v>3352</v>
      </c>
      <c r="X132" t="s">
        <v>3354</v>
      </c>
      <c r="Y132" t="s">
        <v>2677</v>
      </c>
      <c r="Z132" t="s">
        <v>3362</v>
      </c>
      <c r="AA132" t="s">
        <v>3407</v>
      </c>
      <c r="AB132" t="s">
        <v>3407</v>
      </c>
      <c r="AC132">
        <f>HYPERLINK("https://lsnyc.legalserver.org/matter/dynamic-profile/view/1913780","19-1913780")</f>
        <v>0</v>
      </c>
      <c r="AD132" t="s">
        <v>3445</v>
      </c>
      <c r="AE132" t="s">
        <v>3469</v>
      </c>
      <c r="AF132" t="s">
        <v>3617</v>
      </c>
      <c r="AG132" t="s">
        <v>3362</v>
      </c>
      <c r="AH132" t="s">
        <v>3407</v>
      </c>
      <c r="AL132" t="s">
        <v>2143</v>
      </c>
      <c r="AN132" t="s">
        <v>3407</v>
      </c>
      <c r="AO132" t="s">
        <v>3352</v>
      </c>
    </row>
    <row r="133" spans="1:41">
      <c r="A133" s="1" t="s">
        <v>169</v>
      </c>
      <c r="B133" t="s">
        <v>2004</v>
      </c>
      <c r="C133" t="s">
        <v>2004</v>
      </c>
      <c r="D133" t="s">
        <v>2057</v>
      </c>
      <c r="E133" t="s">
        <v>2111</v>
      </c>
      <c r="G133" t="s">
        <v>2214</v>
      </c>
      <c r="H133">
        <v>11210</v>
      </c>
      <c r="I133" t="s">
        <v>2230</v>
      </c>
      <c r="J133">
        <v>1</v>
      </c>
      <c r="K133">
        <v>0</v>
      </c>
      <c r="L133" t="s">
        <v>2276</v>
      </c>
      <c r="M133" t="s">
        <v>2677</v>
      </c>
      <c r="P133" t="s">
        <v>2721</v>
      </c>
      <c r="Q133" t="s">
        <v>3255</v>
      </c>
      <c r="R133" t="s">
        <v>3258</v>
      </c>
      <c r="S133" t="s">
        <v>3269</v>
      </c>
      <c r="X133" t="s">
        <v>3354</v>
      </c>
      <c r="Y133" t="s">
        <v>2678</v>
      </c>
      <c r="Z133" t="s">
        <v>3361</v>
      </c>
      <c r="AB133" t="s">
        <v>3417</v>
      </c>
      <c r="AC133">
        <f>HYPERLINK("https://lsnyc.legalserver.org/matter/dynamic-profile/view/1913788","19-1913788")</f>
        <v>0</v>
      </c>
      <c r="AD133" t="s">
        <v>3444</v>
      </c>
      <c r="AE133" t="s">
        <v>3468</v>
      </c>
      <c r="AF133" t="s">
        <v>3618</v>
      </c>
      <c r="AG133" t="s">
        <v>3361</v>
      </c>
      <c r="AI133" t="s">
        <v>4909</v>
      </c>
      <c r="AN133" t="s">
        <v>3417</v>
      </c>
    </row>
    <row r="134" spans="1:41">
      <c r="A134" s="1" t="s">
        <v>170</v>
      </c>
      <c r="B134" t="s">
        <v>2004</v>
      </c>
      <c r="C134" t="s">
        <v>2004</v>
      </c>
      <c r="D134" t="s">
        <v>2045</v>
      </c>
      <c r="E134" t="s">
        <v>2111</v>
      </c>
      <c r="F134" t="s">
        <v>2118</v>
      </c>
      <c r="G134" t="s">
        <v>2212</v>
      </c>
      <c r="H134">
        <v>11106</v>
      </c>
      <c r="I134" t="s">
        <v>2230</v>
      </c>
      <c r="J134">
        <v>3</v>
      </c>
      <c r="K134">
        <v>1</v>
      </c>
      <c r="L134" t="s">
        <v>2283</v>
      </c>
      <c r="M134" t="s">
        <v>2677</v>
      </c>
      <c r="P134" t="s">
        <v>2721</v>
      </c>
      <c r="Q134" t="s">
        <v>2113</v>
      </c>
      <c r="R134" t="s">
        <v>3258</v>
      </c>
      <c r="S134" t="s">
        <v>3263</v>
      </c>
      <c r="X134" t="s">
        <v>3354</v>
      </c>
      <c r="Y134" t="s">
        <v>2678</v>
      </c>
      <c r="Z134" t="s">
        <v>3356</v>
      </c>
      <c r="AB134" t="s">
        <v>3411</v>
      </c>
      <c r="AC134">
        <f>HYPERLINK("https://lsnyc.legalserver.org/matter/dynamic-profile/view/1913817","19-1913817")</f>
        <v>0</v>
      </c>
      <c r="AD134" t="s">
        <v>3443</v>
      </c>
      <c r="AE134" t="s">
        <v>3467</v>
      </c>
      <c r="AF134" t="s">
        <v>3619</v>
      </c>
      <c r="AG134" t="s">
        <v>3356</v>
      </c>
      <c r="AI134" t="s">
        <v>4909</v>
      </c>
      <c r="AL134" t="s">
        <v>2118</v>
      </c>
      <c r="AN134" t="s">
        <v>3411</v>
      </c>
    </row>
    <row r="135" spans="1:41">
      <c r="A135" s="1" t="s">
        <v>171</v>
      </c>
      <c r="B135" t="s">
        <v>2019</v>
      </c>
      <c r="C135" t="s">
        <v>2003</v>
      </c>
      <c r="D135" t="s">
        <v>2081</v>
      </c>
      <c r="E135" t="s">
        <v>2112</v>
      </c>
      <c r="F135" t="s">
        <v>2144</v>
      </c>
      <c r="G135" t="s">
        <v>2216</v>
      </c>
      <c r="H135">
        <v>10305</v>
      </c>
      <c r="I135" t="s">
        <v>2230</v>
      </c>
      <c r="J135">
        <v>3</v>
      </c>
      <c r="K135">
        <v>2</v>
      </c>
      <c r="L135" t="s">
        <v>2260</v>
      </c>
      <c r="M135" t="s">
        <v>2677</v>
      </c>
      <c r="P135" t="s">
        <v>2721</v>
      </c>
      <c r="Q135" t="s">
        <v>2113</v>
      </c>
      <c r="R135" t="s">
        <v>3259</v>
      </c>
      <c r="S135" t="s">
        <v>3268</v>
      </c>
      <c r="X135" t="s">
        <v>3354</v>
      </c>
      <c r="Y135" t="s">
        <v>2678</v>
      </c>
      <c r="Z135" t="s">
        <v>3368</v>
      </c>
      <c r="AB135" t="s">
        <v>3416</v>
      </c>
      <c r="AC135">
        <f>HYPERLINK("https://lsnyc.legalserver.org/matter/dynamic-profile/view/1913822","19-1913822")</f>
        <v>0</v>
      </c>
      <c r="AD135" t="s">
        <v>3447</v>
      </c>
      <c r="AE135" t="s">
        <v>3458</v>
      </c>
      <c r="AF135" t="s">
        <v>3620</v>
      </c>
      <c r="AG135" t="s">
        <v>3368</v>
      </c>
      <c r="AI135" t="s">
        <v>4909</v>
      </c>
      <c r="AL135" t="s">
        <v>2144</v>
      </c>
      <c r="AN135" t="s">
        <v>3416</v>
      </c>
    </row>
    <row r="136" spans="1:41">
      <c r="A136" s="1" t="s">
        <v>172</v>
      </c>
      <c r="B136" t="s">
        <v>1998</v>
      </c>
      <c r="C136" t="s">
        <v>1998</v>
      </c>
      <c r="D136" t="s">
        <v>2062</v>
      </c>
      <c r="E136" t="s">
        <v>2112</v>
      </c>
      <c r="G136" t="s">
        <v>2212</v>
      </c>
      <c r="H136">
        <v>11435</v>
      </c>
      <c r="I136" t="s">
        <v>2229</v>
      </c>
      <c r="J136">
        <v>4</v>
      </c>
      <c r="K136">
        <v>3</v>
      </c>
      <c r="L136" t="s">
        <v>2315</v>
      </c>
      <c r="M136" t="s">
        <v>2677</v>
      </c>
      <c r="P136" t="s">
        <v>2721</v>
      </c>
      <c r="Q136" t="s">
        <v>3255</v>
      </c>
      <c r="R136" t="s">
        <v>3258</v>
      </c>
      <c r="S136" t="s">
        <v>3262</v>
      </c>
      <c r="X136" t="s">
        <v>3354</v>
      </c>
      <c r="Y136" t="s">
        <v>2678</v>
      </c>
      <c r="Z136" t="s">
        <v>3355</v>
      </c>
      <c r="AB136" t="s">
        <v>3410</v>
      </c>
      <c r="AC136">
        <f>HYPERLINK("https://lsnyc.legalserver.org/matter/dynamic-profile/view/1913823","19-1913823")</f>
        <v>0</v>
      </c>
      <c r="AD136" t="s">
        <v>3443</v>
      </c>
      <c r="AE136" t="s">
        <v>3467</v>
      </c>
      <c r="AF136" t="s">
        <v>3621</v>
      </c>
      <c r="AG136" t="s">
        <v>3355</v>
      </c>
      <c r="AI136" t="s">
        <v>4909</v>
      </c>
      <c r="AN136" t="s">
        <v>3410</v>
      </c>
    </row>
    <row r="137" spans="1:41">
      <c r="A137" s="1" t="s">
        <v>173</v>
      </c>
      <c r="B137" t="s">
        <v>1998</v>
      </c>
      <c r="C137" t="s">
        <v>2002</v>
      </c>
      <c r="D137" t="s">
        <v>2081</v>
      </c>
      <c r="E137" t="s">
        <v>2111</v>
      </c>
      <c r="F137" t="s">
        <v>2138</v>
      </c>
      <c r="G137" t="s">
        <v>2212</v>
      </c>
      <c r="H137">
        <v>11355</v>
      </c>
      <c r="I137" t="s">
        <v>2239</v>
      </c>
      <c r="J137">
        <v>1</v>
      </c>
      <c r="K137">
        <v>0</v>
      </c>
      <c r="L137" t="s">
        <v>2271</v>
      </c>
      <c r="M137" t="s">
        <v>2677</v>
      </c>
      <c r="P137" t="s">
        <v>2721</v>
      </c>
      <c r="Q137" t="s">
        <v>3256</v>
      </c>
      <c r="R137" t="s">
        <v>3259</v>
      </c>
      <c r="S137" t="s">
        <v>3267</v>
      </c>
      <c r="T137" t="s">
        <v>3294</v>
      </c>
      <c r="U137" t="s">
        <v>2717</v>
      </c>
      <c r="V137" t="s">
        <v>3352</v>
      </c>
      <c r="X137" t="s">
        <v>3354</v>
      </c>
      <c r="Y137" t="s">
        <v>2678</v>
      </c>
      <c r="Z137" t="s">
        <v>3359</v>
      </c>
      <c r="AA137" t="s">
        <v>3406</v>
      </c>
      <c r="AB137" t="s">
        <v>3415</v>
      </c>
      <c r="AC137">
        <f>HYPERLINK("https://lsnyc.legalserver.org/matter/dynamic-profile/view/1913848","19-1913848")</f>
        <v>0</v>
      </c>
      <c r="AD137" t="s">
        <v>3442</v>
      </c>
      <c r="AE137" t="s">
        <v>3448</v>
      </c>
      <c r="AF137" t="s">
        <v>3622</v>
      </c>
      <c r="AG137" t="s">
        <v>3359</v>
      </c>
      <c r="AH137" t="s">
        <v>4906</v>
      </c>
      <c r="AL137" t="s">
        <v>2138</v>
      </c>
      <c r="AM137" t="s">
        <v>3294</v>
      </c>
      <c r="AN137" t="s">
        <v>3415</v>
      </c>
      <c r="AO137" t="s">
        <v>3352</v>
      </c>
    </row>
    <row r="138" spans="1:41">
      <c r="A138" s="1" t="s">
        <v>174</v>
      </c>
      <c r="B138" t="s">
        <v>1998</v>
      </c>
      <c r="C138" t="s">
        <v>2002</v>
      </c>
      <c r="D138" t="s">
        <v>2081</v>
      </c>
      <c r="E138" t="s">
        <v>2111</v>
      </c>
      <c r="F138" t="s">
        <v>2138</v>
      </c>
      <c r="G138" t="s">
        <v>2212</v>
      </c>
      <c r="H138">
        <v>11355</v>
      </c>
      <c r="I138" t="s">
        <v>2239</v>
      </c>
      <c r="J138">
        <v>1</v>
      </c>
      <c r="K138">
        <v>0</v>
      </c>
      <c r="L138" t="s">
        <v>2271</v>
      </c>
      <c r="M138" t="s">
        <v>2677</v>
      </c>
      <c r="P138" t="s">
        <v>2721</v>
      </c>
      <c r="Q138" t="s">
        <v>3256</v>
      </c>
      <c r="R138" t="s">
        <v>3259</v>
      </c>
      <c r="S138" t="s">
        <v>3267</v>
      </c>
      <c r="T138" t="s">
        <v>3294</v>
      </c>
      <c r="U138" t="s">
        <v>2717</v>
      </c>
      <c r="V138" t="s">
        <v>3352</v>
      </c>
      <c r="X138" t="s">
        <v>3354</v>
      </c>
      <c r="Y138" t="s">
        <v>2678</v>
      </c>
      <c r="Z138" t="s">
        <v>3380</v>
      </c>
      <c r="AA138" t="s">
        <v>3406</v>
      </c>
      <c r="AB138" t="s">
        <v>3415</v>
      </c>
      <c r="AC138">
        <f>HYPERLINK("https://lsnyc.legalserver.org/matter/dynamic-profile/view/1913853","19-1913853")</f>
        <v>0</v>
      </c>
      <c r="AD138" t="s">
        <v>3442</v>
      </c>
      <c r="AE138" t="s">
        <v>3448</v>
      </c>
      <c r="AF138" t="s">
        <v>3622</v>
      </c>
      <c r="AG138" t="s">
        <v>3380</v>
      </c>
      <c r="AH138" t="s">
        <v>4906</v>
      </c>
      <c r="AL138" t="s">
        <v>2138</v>
      </c>
      <c r="AM138" t="s">
        <v>3294</v>
      </c>
      <c r="AN138" t="s">
        <v>3415</v>
      </c>
      <c r="AO138" t="s">
        <v>3352</v>
      </c>
    </row>
    <row r="139" spans="1:41">
      <c r="A139" s="1" t="s">
        <v>175</v>
      </c>
      <c r="B139" t="s">
        <v>1998</v>
      </c>
      <c r="C139" t="s">
        <v>2004</v>
      </c>
      <c r="D139" t="s">
        <v>2068</v>
      </c>
      <c r="E139" t="s">
        <v>2111</v>
      </c>
      <c r="F139" t="s">
        <v>2117</v>
      </c>
      <c r="G139" t="s">
        <v>2211</v>
      </c>
      <c r="H139">
        <v>10019</v>
      </c>
      <c r="I139" t="s">
        <v>2229</v>
      </c>
      <c r="J139">
        <v>4</v>
      </c>
      <c r="K139">
        <v>2</v>
      </c>
      <c r="L139" t="s">
        <v>2316</v>
      </c>
      <c r="M139" t="s">
        <v>2677</v>
      </c>
      <c r="P139" t="s">
        <v>2721</v>
      </c>
      <c r="Q139" t="s">
        <v>3257</v>
      </c>
      <c r="R139" t="s">
        <v>3259</v>
      </c>
      <c r="S139" t="s">
        <v>3267</v>
      </c>
      <c r="V139" t="s">
        <v>3353</v>
      </c>
      <c r="X139" t="s">
        <v>3354</v>
      </c>
      <c r="Y139" t="s">
        <v>2678</v>
      </c>
      <c r="Z139" t="s">
        <v>3380</v>
      </c>
      <c r="AA139" t="s">
        <v>3406</v>
      </c>
      <c r="AB139" t="s">
        <v>3415</v>
      </c>
      <c r="AC139">
        <f>HYPERLINK("https://lsnyc.legalserver.org/matter/dynamic-profile/view/1913906","19-1913906")</f>
        <v>0</v>
      </c>
      <c r="AD139" t="s">
        <v>3442</v>
      </c>
      <c r="AE139" t="s">
        <v>3470</v>
      </c>
      <c r="AF139" t="s">
        <v>3623</v>
      </c>
      <c r="AG139" t="s">
        <v>3380</v>
      </c>
      <c r="AH139" t="s">
        <v>4906</v>
      </c>
      <c r="AL139" t="s">
        <v>2117</v>
      </c>
      <c r="AN139" t="s">
        <v>3415</v>
      </c>
      <c r="AO139" t="s">
        <v>3353</v>
      </c>
    </row>
    <row r="140" spans="1:41">
      <c r="A140" s="1" t="s">
        <v>176</v>
      </c>
      <c r="B140" t="s">
        <v>2001</v>
      </c>
      <c r="C140" t="s">
        <v>2001</v>
      </c>
      <c r="D140" t="s">
        <v>2080</v>
      </c>
      <c r="E140" t="s">
        <v>2112</v>
      </c>
      <c r="F140" t="s">
        <v>2117</v>
      </c>
      <c r="G140" t="s">
        <v>2211</v>
      </c>
      <c r="H140">
        <v>10019</v>
      </c>
      <c r="I140" t="s">
        <v>2229</v>
      </c>
      <c r="J140">
        <v>4</v>
      </c>
      <c r="K140">
        <v>2</v>
      </c>
      <c r="L140" t="s">
        <v>2316</v>
      </c>
      <c r="M140" t="s">
        <v>2677</v>
      </c>
      <c r="P140" t="s">
        <v>2721</v>
      </c>
      <c r="Q140" t="s">
        <v>3257</v>
      </c>
      <c r="R140" t="s">
        <v>3259</v>
      </c>
      <c r="S140" t="s">
        <v>3267</v>
      </c>
      <c r="V140" t="s">
        <v>3353</v>
      </c>
      <c r="X140" t="s">
        <v>3354</v>
      </c>
      <c r="Y140" t="s">
        <v>2678</v>
      </c>
      <c r="Z140" t="s">
        <v>3380</v>
      </c>
      <c r="AA140" t="s">
        <v>3406</v>
      </c>
      <c r="AB140" t="s">
        <v>3415</v>
      </c>
      <c r="AC140">
        <f>HYPERLINK("https://lsnyc.legalserver.org/matter/dynamic-profile/view/1913908","19-1913908")</f>
        <v>0</v>
      </c>
      <c r="AD140" t="s">
        <v>3442</v>
      </c>
      <c r="AE140" t="s">
        <v>3470</v>
      </c>
      <c r="AF140" t="s">
        <v>3624</v>
      </c>
      <c r="AG140" t="s">
        <v>3380</v>
      </c>
      <c r="AH140" t="s">
        <v>4906</v>
      </c>
      <c r="AL140" t="s">
        <v>2117</v>
      </c>
      <c r="AN140" t="s">
        <v>3415</v>
      </c>
      <c r="AO140" t="s">
        <v>3353</v>
      </c>
    </row>
    <row r="141" spans="1:41">
      <c r="A141" s="1" t="s">
        <v>177</v>
      </c>
      <c r="B141" t="s">
        <v>1998</v>
      </c>
      <c r="C141" t="s">
        <v>2001</v>
      </c>
      <c r="D141" t="s">
        <v>2065</v>
      </c>
      <c r="E141" t="s">
        <v>2112</v>
      </c>
      <c r="F141" t="s">
        <v>2117</v>
      </c>
      <c r="G141" t="s">
        <v>2211</v>
      </c>
      <c r="H141">
        <v>10019</v>
      </c>
      <c r="I141" t="s">
        <v>2229</v>
      </c>
      <c r="J141">
        <v>4</v>
      </c>
      <c r="K141">
        <v>2</v>
      </c>
      <c r="L141" t="s">
        <v>2316</v>
      </c>
      <c r="M141" t="s">
        <v>2677</v>
      </c>
      <c r="P141" t="s">
        <v>2721</v>
      </c>
      <c r="Q141" t="s">
        <v>3257</v>
      </c>
      <c r="R141" t="s">
        <v>3259</v>
      </c>
      <c r="S141" t="s">
        <v>3267</v>
      </c>
      <c r="V141" t="s">
        <v>3353</v>
      </c>
      <c r="X141" t="s">
        <v>3354</v>
      </c>
      <c r="Y141" t="s">
        <v>2678</v>
      </c>
      <c r="Z141" t="s">
        <v>3380</v>
      </c>
      <c r="AA141" t="s">
        <v>3406</v>
      </c>
      <c r="AB141" t="s">
        <v>3415</v>
      </c>
      <c r="AC141">
        <f>HYPERLINK("https://lsnyc.legalserver.org/matter/dynamic-profile/view/1913910","19-1913910")</f>
        <v>0</v>
      </c>
      <c r="AD141" t="s">
        <v>3442</v>
      </c>
      <c r="AE141" t="s">
        <v>3470</v>
      </c>
      <c r="AF141" t="s">
        <v>3625</v>
      </c>
      <c r="AG141" t="s">
        <v>3380</v>
      </c>
      <c r="AH141" t="s">
        <v>4906</v>
      </c>
      <c r="AL141" t="s">
        <v>2117</v>
      </c>
      <c r="AN141" t="s">
        <v>3415</v>
      </c>
      <c r="AO141" t="s">
        <v>3353</v>
      </c>
    </row>
    <row r="142" spans="1:41">
      <c r="A142" s="1" t="s">
        <v>178</v>
      </c>
      <c r="B142" t="s">
        <v>1998</v>
      </c>
      <c r="C142" t="s">
        <v>2001</v>
      </c>
      <c r="D142" t="s">
        <v>2037</v>
      </c>
      <c r="E142" t="s">
        <v>2112</v>
      </c>
      <c r="F142" t="s">
        <v>2117</v>
      </c>
      <c r="G142" t="s">
        <v>2211</v>
      </c>
      <c r="H142">
        <v>10019</v>
      </c>
      <c r="I142" t="s">
        <v>2229</v>
      </c>
      <c r="J142">
        <v>4</v>
      </c>
      <c r="K142">
        <v>2</v>
      </c>
      <c r="L142" t="s">
        <v>2316</v>
      </c>
      <c r="M142" t="s">
        <v>2677</v>
      </c>
      <c r="P142" t="s">
        <v>2721</v>
      </c>
      <c r="Q142" t="s">
        <v>3257</v>
      </c>
      <c r="R142" t="s">
        <v>3259</v>
      </c>
      <c r="S142" t="s">
        <v>3267</v>
      </c>
      <c r="V142" t="s">
        <v>3353</v>
      </c>
      <c r="X142" t="s">
        <v>3354</v>
      </c>
      <c r="Y142" t="s">
        <v>2678</v>
      </c>
      <c r="Z142" t="s">
        <v>3380</v>
      </c>
      <c r="AA142" t="s">
        <v>3406</v>
      </c>
      <c r="AB142" t="s">
        <v>3415</v>
      </c>
      <c r="AC142">
        <f>HYPERLINK("https://lsnyc.legalserver.org/matter/dynamic-profile/view/1913912","19-1913912")</f>
        <v>0</v>
      </c>
      <c r="AD142" t="s">
        <v>3442</v>
      </c>
      <c r="AE142" t="s">
        <v>3470</v>
      </c>
      <c r="AF142" t="s">
        <v>3626</v>
      </c>
      <c r="AG142" t="s">
        <v>3380</v>
      </c>
      <c r="AH142" t="s">
        <v>4906</v>
      </c>
      <c r="AL142" t="s">
        <v>2117</v>
      </c>
      <c r="AN142" t="s">
        <v>3415</v>
      </c>
      <c r="AO142" t="s">
        <v>3353</v>
      </c>
    </row>
    <row r="143" spans="1:41">
      <c r="A143" s="1" t="s">
        <v>179</v>
      </c>
      <c r="B143" t="s">
        <v>2009</v>
      </c>
      <c r="C143" t="s">
        <v>2001</v>
      </c>
      <c r="D143" t="s">
        <v>2083</v>
      </c>
      <c r="E143" t="s">
        <v>2111</v>
      </c>
      <c r="F143" t="s">
        <v>2128</v>
      </c>
      <c r="G143" t="s">
        <v>2214</v>
      </c>
      <c r="H143">
        <v>11203</v>
      </c>
      <c r="I143" t="s">
        <v>2230</v>
      </c>
      <c r="J143">
        <v>4</v>
      </c>
      <c r="K143">
        <v>2</v>
      </c>
      <c r="L143" t="s">
        <v>2317</v>
      </c>
      <c r="M143" t="s">
        <v>2677</v>
      </c>
      <c r="P143" t="s">
        <v>2722</v>
      </c>
      <c r="Q143" t="s">
        <v>2113</v>
      </c>
      <c r="X143" t="s">
        <v>3354</v>
      </c>
      <c r="Y143" t="s">
        <v>2677</v>
      </c>
      <c r="AA143" t="s">
        <v>3407</v>
      </c>
      <c r="AB143" t="s">
        <v>3407</v>
      </c>
      <c r="AC143">
        <f>HYPERLINK("https://lsnyc.legalserver.org/matter/dynamic-profile/view/1913693","19-1913693")</f>
        <v>0</v>
      </c>
      <c r="AD143" t="s">
        <v>3445</v>
      </c>
      <c r="AE143" t="s">
        <v>3469</v>
      </c>
      <c r="AF143" t="s">
        <v>3627</v>
      </c>
      <c r="AH143" t="s">
        <v>3407</v>
      </c>
      <c r="AL143" t="s">
        <v>2128</v>
      </c>
      <c r="AN143" t="s">
        <v>3407</v>
      </c>
    </row>
    <row r="144" spans="1:41">
      <c r="A144" s="1" t="s">
        <v>180</v>
      </c>
      <c r="B144" t="s">
        <v>2009</v>
      </c>
      <c r="C144" t="s">
        <v>1998</v>
      </c>
      <c r="D144" t="s">
        <v>2079</v>
      </c>
      <c r="E144" t="s">
        <v>2111</v>
      </c>
      <c r="F144" t="s">
        <v>2116</v>
      </c>
      <c r="G144" t="s">
        <v>2211</v>
      </c>
      <c r="H144">
        <v>10029</v>
      </c>
      <c r="I144" t="s">
        <v>2229</v>
      </c>
      <c r="J144">
        <v>1</v>
      </c>
      <c r="K144">
        <v>0</v>
      </c>
      <c r="L144" t="s">
        <v>2318</v>
      </c>
      <c r="M144" t="s">
        <v>2677</v>
      </c>
      <c r="P144" t="s">
        <v>2722</v>
      </c>
      <c r="Q144" t="s">
        <v>2113</v>
      </c>
      <c r="R144" t="s">
        <v>3259</v>
      </c>
      <c r="S144" t="s">
        <v>3270</v>
      </c>
      <c r="V144" t="s">
        <v>3352</v>
      </c>
      <c r="X144" t="s">
        <v>3354</v>
      </c>
      <c r="Y144" t="s">
        <v>2678</v>
      </c>
      <c r="Z144" t="s">
        <v>3358</v>
      </c>
      <c r="AA144" t="s">
        <v>3406</v>
      </c>
      <c r="AB144" t="s">
        <v>3418</v>
      </c>
      <c r="AC144">
        <f>HYPERLINK("https://lsnyc.legalserver.org/matter/dynamic-profile/view/1913708","19-1913708")</f>
        <v>0</v>
      </c>
      <c r="AD144" t="s">
        <v>3442</v>
      </c>
      <c r="AE144" t="s">
        <v>3470</v>
      </c>
      <c r="AF144" t="s">
        <v>3628</v>
      </c>
      <c r="AG144" t="s">
        <v>3358</v>
      </c>
      <c r="AH144" t="s">
        <v>4904</v>
      </c>
      <c r="AL144" t="s">
        <v>2116</v>
      </c>
      <c r="AN144" t="s">
        <v>3418</v>
      </c>
      <c r="AO144" t="s">
        <v>3352</v>
      </c>
    </row>
    <row r="145" spans="1:41">
      <c r="A145" s="1" t="s">
        <v>181</v>
      </c>
      <c r="B145" t="s">
        <v>2001</v>
      </c>
      <c r="C145" t="s">
        <v>2000</v>
      </c>
      <c r="D145" t="s">
        <v>2051</v>
      </c>
      <c r="E145" t="s">
        <v>2113</v>
      </c>
      <c r="F145" t="s">
        <v>2117</v>
      </c>
      <c r="G145" t="s">
        <v>2212</v>
      </c>
      <c r="H145">
        <v>11428</v>
      </c>
      <c r="I145" t="s">
        <v>2229</v>
      </c>
      <c r="J145">
        <v>1</v>
      </c>
      <c r="K145">
        <v>0</v>
      </c>
      <c r="L145" t="s">
        <v>2260</v>
      </c>
      <c r="M145" t="s">
        <v>2677</v>
      </c>
      <c r="P145" t="s">
        <v>2722</v>
      </c>
      <c r="Q145" t="s">
        <v>3255</v>
      </c>
      <c r="R145" t="s">
        <v>3258</v>
      </c>
      <c r="S145" t="s">
        <v>3262</v>
      </c>
      <c r="X145" t="s">
        <v>3354</v>
      </c>
      <c r="Y145" t="s">
        <v>2678</v>
      </c>
      <c r="Z145" t="s">
        <v>3355</v>
      </c>
      <c r="AB145" t="s">
        <v>3410</v>
      </c>
      <c r="AC145">
        <f>HYPERLINK("https://lsnyc.legalserver.org/matter/dynamic-profile/view/1913731","19-1913731")</f>
        <v>0</v>
      </c>
      <c r="AD145" t="s">
        <v>3443</v>
      </c>
      <c r="AE145" t="s">
        <v>3449</v>
      </c>
      <c r="AF145" t="s">
        <v>3629</v>
      </c>
      <c r="AG145" t="s">
        <v>3355</v>
      </c>
      <c r="AI145" t="s">
        <v>4909</v>
      </c>
      <c r="AL145" t="s">
        <v>2117</v>
      </c>
      <c r="AN145" t="s">
        <v>3410</v>
      </c>
    </row>
    <row r="146" spans="1:41">
      <c r="A146" s="1" t="s">
        <v>182</v>
      </c>
      <c r="B146" t="s">
        <v>1998</v>
      </c>
      <c r="C146" t="s">
        <v>2001</v>
      </c>
      <c r="D146" t="s">
        <v>2058</v>
      </c>
      <c r="E146" t="s">
        <v>2112</v>
      </c>
      <c r="F146" t="s">
        <v>2117</v>
      </c>
      <c r="G146" t="s">
        <v>2213</v>
      </c>
      <c r="H146">
        <v>10455</v>
      </c>
      <c r="I146" t="s">
        <v>2229</v>
      </c>
      <c r="J146">
        <v>4</v>
      </c>
      <c r="K146">
        <v>3</v>
      </c>
      <c r="L146" t="s">
        <v>2260</v>
      </c>
      <c r="M146" t="s">
        <v>2677</v>
      </c>
      <c r="P146" t="s">
        <v>2722</v>
      </c>
      <c r="Q146" t="s">
        <v>3255</v>
      </c>
      <c r="R146" t="s">
        <v>3258</v>
      </c>
      <c r="S146" t="s">
        <v>3262</v>
      </c>
      <c r="X146" t="s">
        <v>3354</v>
      </c>
      <c r="Y146" t="s">
        <v>2678</v>
      </c>
      <c r="Z146" t="s">
        <v>3355</v>
      </c>
      <c r="AB146" t="s">
        <v>3410</v>
      </c>
      <c r="AC146">
        <f>HYPERLINK("https://lsnyc.legalserver.org/matter/dynamic-profile/view/1913741","19-1913741")</f>
        <v>0</v>
      </c>
      <c r="AD146" t="s">
        <v>3444</v>
      </c>
      <c r="AE146" t="s">
        <v>3466</v>
      </c>
      <c r="AF146" t="s">
        <v>3630</v>
      </c>
      <c r="AG146" t="s">
        <v>3355</v>
      </c>
      <c r="AL146" t="s">
        <v>2117</v>
      </c>
      <c r="AN146" t="s">
        <v>3410</v>
      </c>
    </row>
    <row r="147" spans="1:41">
      <c r="A147" s="1" t="s">
        <v>183</v>
      </c>
      <c r="B147" t="s">
        <v>1998</v>
      </c>
      <c r="C147" t="s">
        <v>2000</v>
      </c>
      <c r="D147" t="s">
        <v>2052</v>
      </c>
      <c r="E147" t="s">
        <v>2111</v>
      </c>
      <c r="F147" t="s">
        <v>2117</v>
      </c>
      <c r="G147" t="s">
        <v>2213</v>
      </c>
      <c r="H147">
        <v>10455</v>
      </c>
      <c r="I147" t="s">
        <v>2229</v>
      </c>
      <c r="J147">
        <v>4</v>
      </c>
      <c r="K147">
        <v>3</v>
      </c>
      <c r="L147" t="s">
        <v>2260</v>
      </c>
      <c r="M147" t="s">
        <v>2677</v>
      </c>
      <c r="P147" t="s">
        <v>2722</v>
      </c>
      <c r="Q147" t="s">
        <v>3255</v>
      </c>
      <c r="R147" t="s">
        <v>3258</v>
      </c>
      <c r="S147" t="s">
        <v>3262</v>
      </c>
      <c r="X147" t="s">
        <v>3354</v>
      </c>
      <c r="Y147" t="s">
        <v>2678</v>
      </c>
      <c r="Z147" t="s">
        <v>3355</v>
      </c>
      <c r="AB147" t="s">
        <v>3410</v>
      </c>
      <c r="AC147">
        <f>HYPERLINK("https://lsnyc.legalserver.org/matter/dynamic-profile/view/1913748","19-1913748")</f>
        <v>0</v>
      </c>
      <c r="AD147" t="s">
        <v>3444</v>
      </c>
      <c r="AE147" t="s">
        <v>3466</v>
      </c>
      <c r="AF147" t="s">
        <v>3631</v>
      </c>
      <c r="AG147" t="s">
        <v>3355</v>
      </c>
      <c r="AL147" t="s">
        <v>2117</v>
      </c>
      <c r="AN147" t="s">
        <v>3410</v>
      </c>
    </row>
    <row r="148" spans="1:41">
      <c r="A148" s="1" t="s">
        <v>184</v>
      </c>
      <c r="B148" t="s">
        <v>2002</v>
      </c>
      <c r="C148" t="s">
        <v>2016</v>
      </c>
      <c r="D148" t="s">
        <v>2069</v>
      </c>
      <c r="E148" t="s">
        <v>2112</v>
      </c>
      <c r="F148" t="s">
        <v>2145</v>
      </c>
      <c r="G148" t="s">
        <v>2213</v>
      </c>
      <c r="H148">
        <v>10460</v>
      </c>
      <c r="I148" t="s">
        <v>2230</v>
      </c>
      <c r="J148">
        <v>1</v>
      </c>
      <c r="K148">
        <v>0</v>
      </c>
      <c r="L148" t="s">
        <v>2260</v>
      </c>
      <c r="M148" t="s">
        <v>2677</v>
      </c>
      <c r="P148" t="s">
        <v>2722</v>
      </c>
      <c r="Q148" t="s">
        <v>3255</v>
      </c>
      <c r="R148" t="s">
        <v>3259</v>
      </c>
      <c r="S148" t="s">
        <v>3267</v>
      </c>
      <c r="X148" t="s">
        <v>3354</v>
      </c>
      <c r="Y148" t="s">
        <v>2678</v>
      </c>
      <c r="Z148" t="s">
        <v>3359</v>
      </c>
      <c r="AB148" t="s">
        <v>3415</v>
      </c>
      <c r="AC148">
        <f>HYPERLINK("https://lsnyc.legalserver.org/matter/dynamic-profile/view/1913751","19-1913751")</f>
        <v>0</v>
      </c>
      <c r="AD148" t="s">
        <v>3444</v>
      </c>
      <c r="AE148" t="s">
        <v>3466</v>
      </c>
      <c r="AF148" t="s">
        <v>3632</v>
      </c>
      <c r="AG148" t="s">
        <v>3359</v>
      </c>
      <c r="AL148" t="s">
        <v>2145</v>
      </c>
      <c r="AN148" t="s">
        <v>3415</v>
      </c>
    </row>
    <row r="149" spans="1:41">
      <c r="A149" s="1" t="s">
        <v>185</v>
      </c>
      <c r="B149" t="s">
        <v>2001</v>
      </c>
      <c r="C149" t="s">
        <v>2000</v>
      </c>
      <c r="D149" t="s">
        <v>2042</v>
      </c>
      <c r="E149" t="s">
        <v>2112</v>
      </c>
      <c r="F149" t="s">
        <v>2121</v>
      </c>
      <c r="G149" t="s">
        <v>2215</v>
      </c>
      <c r="H149">
        <v>8046</v>
      </c>
      <c r="I149" t="s">
        <v>2229</v>
      </c>
      <c r="J149">
        <v>1</v>
      </c>
      <c r="K149">
        <v>0</v>
      </c>
      <c r="L149" t="s">
        <v>2267</v>
      </c>
      <c r="M149" t="s">
        <v>2677</v>
      </c>
      <c r="P149" t="s">
        <v>2723</v>
      </c>
      <c r="Q149" t="s">
        <v>2113</v>
      </c>
      <c r="R149" t="s">
        <v>3258</v>
      </c>
      <c r="S149" t="s">
        <v>3271</v>
      </c>
      <c r="V149" t="s">
        <v>3352</v>
      </c>
      <c r="X149" t="s">
        <v>3354</v>
      </c>
      <c r="Y149" t="s">
        <v>2677</v>
      </c>
      <c r="Z149" t="s">
        <v>3362</v>
      </c>
      <c r="AA149" t="s">
        <v>3406</v>
      </c>
      <c r="AB149" t="s">
        <v>3419</v>
      </c>
      <c r="AC149">
        <f>HYPERLINK("https://lsnyc.legalserver.org/matter/dynamic-profile/view/1913539","19-1913539")</f>
        <v>0</v>
      </c>
      <c r="AD149" t="s">
        <v>3445</v>
      </c>
      <c r="AE149" t="s">
        <v>3452</v>
      </c>
      <c r="AF149" t="s">
        <v>3513</v>
      </c>
      <c r="AG149" t="s">
        <v>3362</v>
      </c>
      <c r="AH149" t="s">
        <v>4904</v>
      </c>
      <c r="AL149" t="s">
        <v>2121</v>
      </c>
      <c r="AN149" t="s">
        <v>3419</v>
      </c>
      <c r="AO149" t="s">
        <v>3352</v>
      </c>
    </row>
    <row r="150" spans="1:41">
      <c r="A150" s="1" t="s">
        <v>186</v>
      </c>
      <c r="B150" t="s">
        <v>1998</v>
      </c>
      <c r="C150" t="s">
        <v>2016</v>
      </c>
      <c r="D150" t="s">
        <v>2084</v>
      </c>
      <c r="E150" t="s">
        <v>2111</v>
      </c>
      <c r="F150" t="s">
        <v>2146</v>
      </c>
      <c r="G150" t="s">
        <v>2217</v>
      </c>
      <c r="H150">
        <v>11757</v>
      </c>
      <c r="I150" t="s">
        <v>2240</v>
      </c>
      <c r="J150">
        <v>2</v>
      </c>
      <c r="K150">
        <v>0</v>
      </c>
      <c r="L150" t="s">
        <v>2319</v>
      </c>
      <c r="M150" t="s">
        <v>2678</v>
      </c>
      <c r="P150" t="s">
        <v>2724</v>
      </c>
      <c r="Q150" t="s">
        <v>3255</v>
      </c>
      <c r="R150" t="s">
        <v>3258</v>
      </c>
      <c r="S150" t="s">
        <v>3273</v>
      </c>
      <c r="V150" t="s">
        <v>3352</v>
      </c>
      <c r="X150" t="s">
        <v>3354</v>
      </c>
      <c r="Y150" t="s">
        <v>2678</v>
      </c>
      <c r="Z150" t="s">
        <v>3365</v>
      </c>
      <c r="AA150" t="s">
        <v>3406</v>
      </c>
      <c r="AB150" t="s">
        <v>3421</v>
      </c>
      <c r="AC150">
        <f>HYPERLINK("https://lsnyc.legalserver.org/matter/dynamic-profile/view/1913557","19-1913557")</f>
        <v>0</v>
      </c>
      <c r="AD150" t="s">
        <v>3446</v>
      </c>
      <c r="AE150" t="s">
        <v>3473</v>
      </c>
      <c r="AF150" t="s">
        <v>3633</v>
      </c>
      <c r="AG150" t="s">
        <v>3365</v>
      </c>
      <c r="AH150" t="s">
        <v>4904</v>
      </c>
      <c r="AJ150" t="s">
        <v>4910</v>
      </c>
      <c r="AL150" t="s">
        <v>2146</v>
      </c>
      <c r="AN150" t="s">
        <v>3421</v>
      </c>
      <c r="AO150" t="s">
        <v>3352</v>
      </c>
    </row>
    <row r="151" spans="1:41">
      <c r="A151" s="1" t="s">
        <v>187</v>
      </c>
      <c r="B151" t="s">
        <v>2002</v>
      </c>
      <c r="C151" t="s">
        <v>1998</v>
      </c>
      <c r="D151" t="s">
        <v>2029</v>
      </c>
      <c r="E151" t="s">
        <v>2112</v>
      </c>
      <c r="F151" t="s">
        <v>2117</v>
      </c>
      <c r="G151" t="s">
        <v>2213</v>
      </c>
      <c r="H151">
        <v>10457</v>
      </c>
      <c r="I151" t="s">
        <v>2229</v>
      </c>
      <c r="J151">
        <v>7</v>
      </c>
      <c r="K151">
        <v>4</v>
      </c>
      <c r="L151" t="s">
        <v>2261</v>
      </c>
      <c r="M151" t="s">
        <v>2677</v>
      </c>
      <c r="P151" t="s">
        <v>2723</v>
      </c>
      <c r="Q151" t="s">
        <v>2113</v>
      </c>
      <c r="V151" t="s">
        <v>3353</v>
      </c>
      <c r="X151" t="s">
        <v>3354</v>
      </c>
      <c r="Y151" t="s">
        <v>2677</v>
      </c>
      <c r="Z151" t="s">
        <v>3357</v>
      </c>
      <c r="AA151" t="s">
        <v>3407</v>
      </c>
      <c r="AB151" t="s">
        <v>3407</v>
      </c>
      <c r="AC151">
        <f>HYPERLINK("https://lsnyc.legalserver.org/matter/dynamic-profile/view/1913176","19-1913176")</f>
        <v>0</v>
      </c>
      <c r="AD151" t="s">
        <v>3445</v>
      </c>
      <c r="AE151" t="s">
        <v>3455</v>
      </c>
      <c r="AF151" t="s">
        <v>3634</v>
      </c>
      <c r="AG151" t="s">
        <v>3357</v>
      </c>
      <c r="AH151" t="s">
        <v>3407</v>
      </c>
      <c r="AL151" t="s">
        <v>2117</v>
      </c>
      <c r="AN151" t="s">
        <v>3407</v>
      </c>
      <c r="AO151" t="s">
        <v>3353</v>
      </c>
    </row>
    <row r="152" spans="1:41">
      <c r="A152" s="1" t="s">
        <v>188</v>
      </c>
      <c r="B152" t="s">
        <v>2003</v>
      </c>
      <c r="C152" t="s">
        <v>2009</v>
      </c>
      <c r="D152" t="s">
        <v>2068</v>
      </c>
      <c r="E152" t="s">
        <v>2111</v>
      </c>
      <c r="F152" t="s">
        <v>2144</v>
      </c>
      <c r="G152" t="s">
        <v>2216</v>
      </c>
      <c r="H152">
        <v>10314</v>
      </c>
      <c r="I152" t="s">
        <v>2230</v>
      </c>
      <c r="J152">
        <v>5</v>
      </c>
      <c r="K152">
        <v>3</v>
      </c>
      <c r="L152" t="s">
        <v>2316</v>
      </c>
      <c r="M152" t="s">
        <v>2677</v>
      </c>
      <c r="P152" t="s">
        <v>2707</v>
      </c>
      <c r="Q152" t="s">
        <v>2113</v>
      </c>
      <c r="V152" t="s">
        <v>3352</v>
      </c>
      <c r="X152" t="s">
        <v>3354</v>
      </c>
      <c r="Y152" t="s">
        <v>2677</v>
      </c>
      <c r="AA152" t="s">
        <v>3407</v>
      </c>
      <c r="AB152" t="s">
        <v>3407</v>
      </c>
      <c r="AC152">
        <f>HYPERLINK("https://lsnyc.legalserver.org/matter/dynamic-profile/view/1913450","19-1913450")</f>
        <v>0</v>
      </c>
      <c r="AD152" t="s">
        <v>3445</v>
      </c>
      <c r="AE152" t="s">
        <v>3469</v>
      </c>
      <c r="AF152" t="s">
        <v>3635</v>
      </c>
      <c r="AH152" t="s">
        <v>3407</v>
      </c>
      <c r="AL152" t="s">
        <v>2144</v>
      </c>
      <c r="AN152" t="s">
        <v>3407</v>
      </c>
      <c r="AO152" t="s">
        <v>3352</v>
      </c>
    </row>
    <row r="153" spans="1:41">
      <c r="A153" s="1" t="s">
        <v>189</v>
      </c>
      <c r="B153" t="s">
        <v>1998</v>
      </c>
      <c r="C153" t="s">
        <v>2003</v>
      </c>
      <c r="D153" t="s">
        <v>2029</v>
      </c>
      <c r="E153" t="s">
        <v>2112</v>
      </c>
      <c r="G153" t="s">
        <v>2213</v>
      </c>
      <c r="H153">
        <v>10467</v>
      </c>
      <c r="I153" t="s">
        <v>2229</v>
      </c>
      <c r="J153">
        <v>5</v>
      </c>
      <c r="K153">
        <v>2</v>
      </c>
      <c r="L153" t="s">
        <v>2260</v>
      </c>
      <c r="M153" t="s">
        <v>2677</v>
      </c>
      <c r="P153" t="s">
        <v>2723</v>
      </c>
      <c r="Q153" t="s">
        <v>2113</v>
      </c>
      <c r="R153" t="s">
        <v>3259</v>
      </c>
      <c r="S153" t="s">
        <v>3281</v>
      </c>
      <c r="X153" t="s">
        <v>3354</v>
      </c>
      <c r="Y153" t="s">
        <v>2678</v>
      </c>
      <c r="Z153" t="s">
        <v>3381</v>
      </c>
      <c r="AB153" t="s">
        <v>3429</v>
      </c>
      <c r="AC153">
        <f>HYPERLINK("https://lsnyc.legalserver.org/matter/dynamic-profile/view/1913461","19-1913461")</f>
        <v>0</v>
      </c>
      <c r="AD153" t="s">
        <v>3444</v>
      </c>
      <c r="AE153" t="s">
        <v>3451</v>
      </c>
      <c r="AF153" t="s">
        <v>3636</v>
      </c>
      <c r="AG153" t="s">
        <v>3381</v>
      </c>
      <c r="AI153" t="s">
        <v>4909</v>
      </c>
      <c r="AN153" t="s">
        <v>3429</v>
      </c>
    </row>
    <row r="154" spans="1:41">
      <c r="A154" s="1" t="s">
        <v>190</v>
      </c>
      <c r="B154" t="s">
        <v>2000</v>
      </c>
      <c r="C154" t="s">
        <v>1998</v>
      </c>
      <c r="D154" t="s">
        <v>2085</v>
      </c>
      <c r="E154" t="s">
        <v>2112</v>
      </c>
      <c r="F154" t="s">
        <v>2123</v>
      </c>
      <c r="G154" t="s">
        <v>2213</v>
      </c>
      <c r="H154">
        <v>10457</v>
      </c>
      <c r="I154" t="s">
        <v>2229</v>
      </c>
      <c r="J154">
        <v>1</v>
      </c>
      <c r="K154">
        <v>0</v>
      </c>
      <c r="L154" t="s">
        <v>2260</v>
      </c>
      <c r="M154" t="s">
        <v>2677</v>
      </c>
      <c r="P154" t="s">
        <v>2723</v>
      </c>
      <c r="Q154" t="s">
        <v>2113</v>
      </c>
      <c r="V154" t="s">
        <v>3352</v>
      </c>
      <c r="X154" t="s">
        <v>3354</v>
      </c>
      <c r="Y154" t="s">
        <v>2677</v>
      </c>
      <c r="AA154" t="s">
        <v>3407</v>
      </c>
      <c r="AB154" t="s">
        <v>3407</v>
      </c>
      <c r="AC154">
        <f>HYPERLINK("https://lsnyc.legalserver.org/matter/dynamic-profile/view/1913472","19-1913472")</f>
        <v>0</v>
      </c>
      <c r="AD154" t="s">
        <v>3445</v>
      </c>
      <c r="AE154" t="s">
        <v>3469</v>
      </c>
      <c r="AF154" t="s">
        <v>3637</v>
      </c>
      <c r="AH154" t="s">
        <v>3407</v>
      </c>
      <c r="AL154" t="s">
        <v>2123</v>
      </c>
      <c r="AN154" t="s">
        <v>3407</v>
      </c>
      <c r="AO154" t="s">
        <v>3352</v>
      </c>
    </row>
    <row r="155" spans="1:41">
      <c r="A155" s="1" t="s">
        <v>191</v>
      </c>
      <c r="B155" t="s">
        <v>2001</v>
      </c>
      <c r="C155" t="s">
        <v>2001</v>
      </c>
      <c r="D155" t="s">
        <v>2047</v>
      </c>
      <c r="E155" t="s">
        <v>2111</v>
      </c>
      <c r="F155" t="s">
        <v>2121</v>
      </c>
      <c r="G155" t="s">
        <v>2212</v>
      </c>
      <c r="H155">
        <v>11373</v>
      </c>
      <c r="I155" t="s">
        <v>2229</v>
      </c>
      <c r="J155">
        <v>1</v>
      </c>
      <c r="K155">
        <v>0</v>
      </c>
      <c r="L155" t="s">
        <v>2260</v>
      </c>
      <c r="M155" t="s">
        <v>2677</v>
      </c>
      <c r="P155" t="s">
        <v>2723</v>
      </c>
      <c r="Q155" t="s">
        <v>3255</v>
      </c>
      <c r="R155" t="s">
        <v>3259</v>
      </c>
      <c r="S155" t="s">
        <v>3267</v>
      </c>
      <c r="X155" t="s">
        <v>3354</v>
      </c>
      <c r="Y155" t="s">
        <v>2678</v>
      </c>
      <c r="Z155" t="s">
        <v>3359</v>
      </c>
      <c r="AB155" t="s">
        <v>3415</v>
      </c>
      <c r="AC155">
        <f>HYPERLINK("https://lsnyc.legalserver.org/matter/dynamic-profile/view/1913523","19-1913523")</f>
        <v>0</v>
      </c>
      <c r="AD155" t="s">
        <v>3443</v>
      </c>
      <c r="AE155" t="s">
        <v>3472</v>
      </c>
      <c r="AF155" t="s">
        <v>3638</v>
      </c>
      <c r="AG155" t="s">
        <v>3359</v>
      </c>
      <c r="AI155" t="s">
        <v>4909</v>
      </c>
      <c r="AL155" t="s">
        <v>2121</v>
      </c>
      <c r="AN155" t="s">
        <v>3415</v>
      </c>
    </row>
    <row r="156" spans="1:41">
      <c r="A156" s="1" t="s">
        <v>192</v>
      </c>
      <c r="B156" t="s">
        <v>2001</v>
      </c>
      <c r="C156" t="s">
        <v>2000</v>
      </c>
      <c r="D156" t="s">
        <v>2063</v>
      </c>
      <c r="E156" t="s">
        <v>2112</v>
      </c>
      <c r="F156" t="s">
        <v>2120</v>
      </c>
      <c r="G156" t="s">
        <v>2212</v>
      </c>
      <c r="H156">
        <v>11413</v>
      </c>
      <c r="I156" t="s">
        <v>2230</v>
      </c>
      <c r="J156">
        <v>2</v>
      </c>
      <c r="K156">
        <v>0</v>
      </c>
      <c r="L156" t="s">
        <v>2281</v>
      </c>
      <c r="M156" t="s">
        <v>2677</v>
      </c>
      <c r="P156" t="s">
        <v>2723</v>
      </c>
      <c r="Q156" t="s">
        <v>3255</v>
      </c>
      <c r="R156" t="s">
        <v>3258</v>
      </c>
      <c r="S156" t="s">
        <v>3263</v>
      </c>
      <c r="X156" t="s">
        <v>3354</v>
      </c>
      <c r="Y156" t="s">
        <v>2678</v>
      </c>
      <c r="Z156" t="s">
        <v>3356</v>
      </c>
      <c r="AB156" t="s">
        <v>3411</v>
      </c>
      <c r="AC156">
        <f>HYPERLINK("https://lsnyc.legalserver.org/matter/dynamic-profile/view/1913656","19-1913656")</f>
        <v>0</v>
      </c>
      <c r="AD156" t="s">
        <v>3443</v>
      </c>
      <c r="AE156" t="s">
        <v>3457</v>
      </c>
      <c r="AF156" t="s">
        <v>3554</v>
      </c>
      <c r="AG156" t="s">
        <v>3356</v>
      </c>
      <c r="AI156" t="s">
        <v>4909</v>
      </c>
      <c r="AL156" t="s">
        <v>2120</v>
      </c>
      <c r="AN156" t="s">
        <v>3411</v>
      </c>
    </row>
    <row r="157" spans="1:41">
      <c r="A157" s="1" t="s">
        <v>193</v>
      </c>
      <c r="B157" t="s">
        <v>1998</v>
      </c>
      <c r="C157" t="s">
        <v>2001</v>
      </c>
      <c r="D157" t="s">
        <v>2049</v>
      </c>
      <c r="E157" t="s">
        <v>2112</v>
      </c>
      <c r="G157" t="s">
        <v>2213</v>
      </c>
      <c r="H157">
        <v>10453</v>
      </c>
      <c r="I157" t="s">
        <v>2229</v>
      </c>
      <c r="J157">
        <v>2</v>
      </c>
      <c r="K157">
        <v>1</v>
      </c>
      <c r="L157" t="s">
        <v>2260</v>
      </c>
      <c r="M157" t="s">
        <v>2677</v>
      </c>
      <c r="P157" t="s">
        <v>2723</v>
      </c>
      <c r="Q157" t="s">
        <v>3255</v>
      </c>
      <c r="R157" t="s">
        <v>3260</v>
      </c>
      <c r="S157" t="s">
        <v>3266</v>
      </c>
      <c r="X157" t="s">
        <v>3354</v>
      </c>
      <c r="Y157" t="s">
        <v>2678</v>
      </c>
      <c r="AB157" t="s">
        <v>3414</v>
      </c>
      <c r="AC157">
        <f>HYPERLINK("https://lsnyc.legalserver.org/matter/dynamic-profile/view/1913719","19-1913719")</f>
        <v>0</v>
      </c>
      <c r="AD157" t="s">
        <v>3447</v>
      </c>
      <c r="AE157" t="s">
        <v>3458</v>
      </c>
      <c r="AF157" t="s">
        <v>3639</v>
      </c>
      <c r="AI157" t="s">
        <v>4909</v>
      </c>
      <c r="AN157" t="s">
        <v>3414</v>
      </c>
    </row>
    <row r="158" spans="1:41">
      <c r="A158" s="1" t="s">
        <v>194</v>
      </c>
      <c r="B158" t="s">
        <v>1998</v>
      </c>
      <c r="C158" t="s">
        <v>2002</v>
      </c>
      <c r="D158" t="s">
        <v>2056</v>
      </c>
      <c r="E158" t="s">
        <v>2111</v>
      </c>
      <c r="F158" t="s">
        <v>2123</v>
      </c>
      <c r="G158" t="s">
        <v>2214</v>
      </c>
      <c r="H158">
        <v>11221</v>
      </c>
      <c r="I158" t="s">
        <v>2229</v>
      </c>
      <c r="J158">
        <v>1</v>
      </c>
      <c r="K158">
        <v>0</v>
      </c>
      <c r="L158" t="s">
        <v>2320</v>
      </c>
      <c r="M158" t="s">
        <v>2677</v>
      </c>
      <c r="P158" t="s">
        <v>2707</v>
      </c>
      <c r="Q158" t="s">
        <v>2113</v>
      </c>
      <c r="R158" t="s">
        <v>3258</v>
      </c>
      <c r="S158" t="s">
        <v>3271</v>
      </c>
      <c r="X158" t="s">
        <v>3354</v>
      </c>
      <c r="Y158" t="s">
        <v>2677</v>
      </c>
      <c r="Z158" t="s">
        <v>3362</v>
      </c>
      <c r="AA158" t="s">
        <v>3406</v>
      </c>
      <c r="AB158" t="s">
        <v>3419</v>
      </c>
      <c r="AC158">
        <f>HYPERLINK("https://lsnyc.legalserver.org/matter/dynamic-profile/view/1913371","19-1913371")</f>
        <v>0</v>
      </c>
      <c r="AD158" t="s">
        <v>3445</v>
      </c>
      <c r="AE158" t="s">
        <v>3455</v>
      </c>
      <c r="AF158" t="s">
        <v>3640</v>
      </c>
      <c r="AG158" t="s">
        <v>3362</v>
      </c>
      <c r="AH158" t="s">
        <v>4904</v>
      </c>
      <c r="AL158" t="s">
        <v>2123</v>
      </c>
      <c r="AN158" t="s">
        <v>3419</v>
      </c>
    </row>
    <row r="159" spans="1:41">
      <c r="A159" s="1" t="s">
        <v>195</v>
      </c>
      <c r="B159" t="s">
        <v>2001</v>
      </c>
      <c r="C159" t="s">
        <v>2016</v>
      </c>
      <c r="D159" t="s">
        <v>2036</v>
      </c>
      <c r="E159" t="s">
        <v>2112</v>
      </c>
      <c r="F159" t="s">
        <v>2123</v>
      </c>
      <c r="G159" t="s">
        <v>2216</v>
      </c>
      <c r="H159">
        <v>10310</v>
      </c>
      <c r="I159" t="s">
        <v>2229</v>
      </c>
      <c r="J159">
        <v>3</v>
      </c>
      <c r="K159">
        <v>2</v>
      </c>
      <c r="L159" t="s">
        <v>2321</v>
      </c>
      <c r="M159" t="s">
        <v>2677</v>
      </c>
      <c r="P159" t="s">
        <v>2707</v>
      </c>
      <c r="Q159" t="s">
        <v>2113</v>
      </c>
      <c r="V159" t="s">
        <v>3352</v>
      </c>
      <c r="X159" t="s">
        <v>3354</v>
      </c>
      <c r="Y159" t="s">
        <v>2677</v>
      </c>
      <c r="AA159" t="s">
        <v>3407</v>
      </c>
      <c r="AB159" t="s">
        <v>3407</v>
      </c>
      <c r="AC159">
        <f>HYPERLINK("https://lsnyc.legalserver.org/matter/dynamic-profile/view/1913390","19-1913390")</f>
        <v>0</v>
      </c>
      <c r="AD159" t="s">
        <v>3445</v>
      </c>
      <c r="AE159" t="s">
        <v>3469</v>
      </c>
      <c r="AF159" t="s">
        <v>3641</v>
      </c>
      <c r="AH159" t="s">
        <v>3407</v>
      </c>
      <c r="AL159" t="s">
        <v>2123</v>
      </c>
      <c r="AN159" t="s">
        <v>3407</v>
      </c>
      <c r="AO159" t="s">
        <v>3352</v>
      </c>
    </row>
    <row r="160" spans="1:41">
      <c r="A160" s="1" t="s">
        <v>196</v>
      </c>
      <c r="B160" t="s">
        <v>2001</v>
      </c>
      <c r="C160" t="s">
        <v>2005</v>
      </c>
      <c r="D160" t="s">
        <v>2065</v>
      </c>
      <c r="E160" t="s">
        <v>2112</v>
      </c>
      <c r="F160" t="s">
        <v>2123</v>
      </c>
      <c r="G160" t="s">
        <v>2216</v>
      </c>
      <c r="H160">
        <v>10310</v>
      </c>
      <c r="I160" t="s">
        <v>2229</v>
      </c>
      <c r="J160">
        <v>3</v>
      </c>
      <c r="K160">
        <v>2</v>
      </c>
      <c r="L160" t="s">
        <v>2321</v>
      </c>
      <c r="M160" t="s">
        <v>2677</v>
      </c>
      <c r="P160" t="s">
        <v>2707</v>
      </c>
      <c r="Q160" t="s">
        <v>2113</v>
      </c>
      <c r="V160" t="s">
        <v>3352</v>
      </c>
      <c r="X160" t="s">
        <v>3354</v>
      </c>
      <c r="Y160" t="s">
        <v>2677</v>
      </c>
      <c r="AA160" t="s">
        <v>3407</v>
      </c>
      <c r="AB160" t="s">
        <v>3407</v>
      </c>
      <c r="AC160">
        <f>HYPERLINK("https://lsnyc.legalserver.org/matter/dynamic-profile/view/1913395","19-1913395")</f>
        <v>0</v>
      </c>
      <c r="AD160" t="s">
        <v>3445</v>
      </c>
      <c r="AE160" t="s">
        <v>3469</v>
      </c>
      <c r="AF160" t="s">
        <v>3642</v>
      </c>
      <c r="AH160" t="s">
        <v>3407</v>
      </c>
      <c r="AL160" t="s">
        <v>2123</v>
      </c>
      <c r="AN160" t="s">
        <v>3407</v>
      </c>
      <c r="AO160" t="s">
        <v>3352</v>
      </c>
    </row>
    <row r="161" spans="1:41">
      <c r="A161" s="1" t="s">
        <v>197</v>
      </c>
      <c r="B161" t="s">
        <v>2001</v>
      </c>
      <c r="C161" t="s">
        <v>2016</v>
      </c>
      <c r="D161" t="s">
        <v>2028</v>
      </c>
      <c r="E161" t="s">
        <v>2111</v>
      </c>
      <c r="F161" t="s">
        <v>2120</v>
      </c>
      <c r="G161" t="s">
        <v>2211</v>
      </c>
      <c r="H161">
        <v>10027</v>
      </c>
      <c r="I161" t="s">
        <v>2230</v>
      </c>
      <c r="J161">
        <v>4</v>
      </c>
      <c r="K161">
        <v>3</v>
      </c>
      <c r="L161" t="s">
        <v>2322</v>
      </c>
      <c r="M161" t="s">
        <v>2677</v>
      </c>
      <c r="P161" t="s">
        <v>2725</v>
      </c>
      <c r="Q161" t="s">
        <v>2113</v>
      </c>
      <c r="V161" t="s">
        <v>3352</v>
      </c>
      <c r="X161" t="s">
        <v>3354</v>
      </c>
      <c r="Y161" t="s">
        <v>2677</v>
      </c>
      <c r="AA161" t="s">
        <v>3407</v>
      </c>
      <c r="AB161" t="s">
        <v>3407</v>
      </c>
      <c r="AC161">
        <f>HYPERLINK("https://lsnyc.legalserver.org/matter/dynamic-profile/view/1913406","19-1913406")</f>
        <v>0</v>
      </c>
      <c r="AD161" t="s">
        <v>3445</v>
      </c>
      <c r="AE161" t="s">
        <v>3469</v>
      </c>
      <c r="AF161" t="s">
        <v>3643</v>
      </c>
      <c r="AH161" t="s">
        <v>3407</v>
      </c>
      <c r="AL161" t="s">
        <v>2120</v>
      </c>
      <c r="AN161" t="s">
        <v>3407</v>
      </c>
      <c r="AO161" t="s">
        <v>3352</v>
      </c>
    </row>
    <row r="162" spans="1:41">
      <c r="A162" s="1" t="s">
        <v>198</v>
      </c>
      <c r="B162" t="s">
        <v>2017</v>
      </c>
      <c r="C162" t="s">
        <v>1998</v>
      </c>
      <c r="D162" t="s">
        <v>2076</v>
      </c>
      <c r="E162" t="s">
        <v>2112</v>
      </c>
      <c r="F162" t="s">
        <v>2144</v>
      </c>
      <c r="G162" t="s">
        <v>2214</v>
      </c>
      <c r="H162">
        <v>11238</v>
      </c>
      <c r="I162" t="s">
        <v>2230</v>
      </c>
      <c r="J162">
        <v>1</v>
      </c>
      <c r="K162">
        <v>0</v>
      </c>
      <c r="L162" t="s">
        <v>2260</v>
      </c>
      <c r="M162" t="s">
        <v>2677</v>
      </c>
      <c r="P162" t="s">
        <v>2726</v>
      </c>
      <c r="Q162" t="s">
        <v>2113</v>
      </c>
      <c r="V162" t="s">
        <v>3352</v>
      </c>
      <c r="X162" t="s">
        <v>3354</v>
      </c>
      <c r="Y162" t="s">
        <v>2677</v>
      </c>
      <c r="AA162" t="s">
        <v>3407</v>
      </c>
      <c r="AB162" t="s">
        <v>3407</v>
      </c>
      <c r="AC162">
        <f>HYPERLINK("https://lsnyc.legalserver.org/matter/dynamic-profile/view/1913236","19-1913236")</f>
        <v>0</v>
      </c>
      <c r="AD162" t="s">
        <v>3445</v>
      </c>
      <c r="AE162" t="s">
        <v>3469</v>
      </c>
      <c r="AF162" t="s">
        <v>3644</v>
      </c>
      <c r="AH162" t="s">
        <v>3407</v>
      </c>
      <c r="AL162" t="s">
        <v>2144</v>
      </c>
      <c r="AN162" t="s">
        <v>3407</v>
      </c>
      <c r="AO162" t="s">
        <v>3352</v>
      </c>
    </row>
    <row r="163" spans="1:41">
      <c r="A163" s="1" t="s">
        <v>199</v>
      </c>
      <c r="B163" t="s">
        <v>2014</v>
      </c>
      <c r="C163" t="s">
        <v>2009</v>
      </c>
      <c r="D163" t="s">
        <v>2044</v>
      </c>
      <c r="E163" t="s">
        <v>2112</v>
      </c>
      <c r="F163" t="s">
        <v>2147</v>
      </c>
      <c r="G163" t="s">
        <v>2213</v>
      </c>
      <c r="H163">
        <v>10469</v>
      </c>
      <c r="I163" t="s">
        <v>2230</v>
      </c>
      <c r="J163">
        <v>2</v>
      </c>
      <c r="K163">
        <v>1</v>
      </c>
      <c r="L163" t="s">
        <v>2323</v>
      </c>
      <c r="M163" t="s">
        <v>2677</v>
      </c>
      <c r="P163" t="s">
        <v>2707</v>
      </c>
      <c r="Q163" t="s">
        <v>2113</v>
      </c>
      <c r="R163" t="s">
        <v>3258</v>
      </c>
      <c r="S163" t="s">
        <v>3271</v>
      </c>
      <c r="V163" t="s">
        <v>3352</v>
      </c>
      <c r="X163" t="s">
        <v>3354</v>
      </c>
      <c r="Y163" t="s">
        <v>2677</v>
      </c>
      <c r="Z163" t="s">
        <v>3362</v>
      </c>
      <c r="AA163" t="s">
        <v>3406</v>
      </c>
      <c r="AB163" t="s">
        <v>3419</v>
      </c>
      <c r="AC163">
        <f>HYPERLINK("https://lsnyc.legalserver.org/matter/dynamic-profile/view/1913238","19-1913238")</f>
        <v>0</v>
      </c>
      <c r="AD163" t="s">
        <v>3445</v>
      </c>
      <c r="AE163" t="s">
        <v>3452</v>
      </c>
      <c r="AF163" t="s">
        <v>3645</v>
      </c>
      <c r="AG163" t="s">
        <v>3362</v>
      </c>
      <c r="AH163" t="s">
        <v>4904</v>
      </c>
      <c r="AL163" t="s">
        <v>2147</v>
      </c>
      <c r="AN163" t="s">
        <v>3419</v>
      </c>
      <c r="AO163" t="s">
        <v>3352</v>
      </c>
    </row>
    <row r="164" spans="1:41">
      <c r="A164" s="1" t="s">
        <v>200</v>
      </c>
      <c r="B164" t="s">
        <v>2011</v>
      </c>
      <c r="C164" t="s">
        <v>2016</v>
      </c>
      <c r="D164" t="s">
        <v>2031</v>
      </c>
      <c r="E164" t="s">
        <v>2112</v>
      </c>
      <c r="F164" t="s">
        <v>2148</v>
      </c>
      <c r="G164" t="s">
        <v>2211</v>
      </c>
      <c r="H164">
        <v>10029</v>
      </c>
      <c r="I164" t="s">
        <v>2230</v>
      </c>
      <c r="J164">
        <v>3</v>
      </c>
      <c r="K164">
        <v>2</v>
      </c>
      <c r="L164" t="s">
        <v>2266</v>
      </c>
      <c r="M164" t="s">
        <v>2677</v>
      </c>
      <c r="P164" t="s">
        <v>2726</v>
      </c>
      <c r="Q164" t="s">
        <v>2113</v>
      </c>
      <c r="V164" t="s">
        <v>3352</v>
      </c>
      <c r="X164" t="s">
        <v>3354</v>
      </c>
      <c r="Y164" t="s">
        <v>2677</v>
      </c>
      <c r="AA164" t="s">
        <v>3407</v>
      </c>
      <c r="AB164" t="s">
        <v>3407</v>
      </c>
      <c r="AC164">
        <f>HYPERLINK("https://lsnyc.legalserver.org/matter/dynamic-profile/view/1913259","19-1913259")</f>
        <v>0</v>
      </c>
      <c r="AD164" t="s">
        <v>3445</v>
      </c>
      <c r="AE164" t="s">
        <v>3469</v>
      </c>
      <c r="AF164" t="s">
        <v>3646</v>
      </c>
      <c r="AH164" t="s">
        <v>3407</v>
      </c>
      <c r="AL164" t="s">
        <v>2148</v>
      </c>
      <c r="AN164" t="s">
        <v>3407</v>
      </c>
      <c r="AO164" t="s">
        <v>3352</v>
      </c>
    </row>
    <row r="165" spans="1:41">
      <c r="A165" s="1" t="s">
        <v>201</v>
      </c>
      <c r="B165" t="s">
        <v>2017</v>
      </c>
      <c r="C165" t="s">
        <v>1998</v>
      </c>
      <c r="D165" t="s">
        <v>2069</v>
      </c>
      <c r="E165" t="s">
        <v>2111</v>
      </c>
      <c r="F165" t="s">
        <v>2118</v>
      </c>
      <c r="G165" t="s">
        <v>2212</v>
      </c>
      <c r="H165">
        <v>11432</v>
      </c>
      <c r="I165" t="s">
        <v>2230</v>
      </c>
      <c r="J165">
        <v>2</v>
      </c>
      <c r="K165">
        <v>0</v>
      </c>
      <c r="L165" t="s">
        <v>2285</v>
      </c>
      <c r="M165" t="s">
        <v>2677</v>
      </c>
      <c r="P165" t="s">
        <v>2726</v>
      </c>
      <c r="Q165" t="s">
        <v>3255</v>
      </c>
      <c r="R165" t="s">
        <v>3259</v>
      </c>
      <c r="S165" t="s">
        <v>3267</v>
      </c>
      <c r="X165" t="s">
        <v>3354</v>
      </c>
      <c r="Y165" t="s">
        <v>2678</v>
      </c>
      <c r="Z165" t="s">
        <v>3359</v>
      </c>
      <c r="AB165" t="s">
        <v>3415</v>
      </c>
      <c r="AC165">
        <f>HYPERLINK("https://lsnyc.legalserver.org/matter/dynamic-profile/view/1913278","19-1913278")</f>
        <v>0</v>
      </c>
      <c r="AD165" t="s">
        <v>3443</v>
      </c>
      <c r="AE165" t="s">
        <v>3457</v>
      </c>
      <c r="AF165" t="s">
        <v>3573</v>
      </c>
      <c r="AG165" t="s">
        <v>3359</v>
      </c>
      <c r="AL165" t="s">
        <v>2118</v>
      </c>
      <c r="AN165" t="s">
        <v>3415</v>
      </c>
    </row>
    <row r="166" spans="1:41">
      <c r="A166" s="1" t="s">
        <v>202</v>
      </c>
      <c r="B166" t="s">
        <v>2016</v>
      </c>
      <c r="C166" t="s">
        <v>2002</v>
      </c>
      <c r="D166" t="s">
        <v>2060</v>
      </c>
      <c r="E166" t="s">
        <v>2111</v>
      </c>
      <c r="F166" t="s">
        <v>2123</v>
      </c>
      <c r="G166" t="s">
        <v>2213</v>
      </c>
      <c r="H166">
        <v>10460</v>
      </c>
      <c r="I166" t="s">
        <v>2229</v>
      </c>
      <c r="J166">
        <v>2</v>
      </c>
      <c r="K166">
        <v>1</v>
      </c>
      <c r="L166" t="s">
        <v>2304</v>
      </c>
      <c r="M166" t="s">
        <v>2677</v>
      </c>
      <c r="P166" t="s">
        <v>2726</v>
      </c>
      <c r="Q166" t="s">
        <v>2113</v>
      </c>
      <c r="X166" t="s">
        <v>3354</v>
      </c>
      <c r="Y166" t="s">
        <v>2677</v>
      </c>
      <c r="AA166" t="s">
        <v>3407</v>
      </c>
      <c r="AB166" t="s">
        <v>3407</v>
      </c>
      <c r="AC166">
        <f>HYPERLINK("https://lsnyc.legalserver.org/matter/dynamic-profile/view/1913279","19-1913279")</f>
        <v>0</v>
      </c>
      <c r="AD166" t="s">
        <v>3444</v>
      </c>
      <c r="AE166" t="s">
        <v>3469</v>
      </c>
      <c r="AF166" t="s">
        <v>3647</v>
      </c>
      <c r="AH166" t="s">
        <v>3407</v>
      </c>
      <c r="AL166" t="s">
        <v>2123</v>
      </c>
      <c r="AN166" t="s">
        <v>3407</v>
      </c>
    </row>
    <row r="167" spans="1:41">
      <c r="A167" s="1" t="s">
        <v>203</v>
      </c>
      <c r="B167" t="s">
        <v>2016</v>
      </c>
      <c r="C167" t="s">
        <v>1998</v>
      </c>
      <c r="D167" t="s">
        <v>2029</v>
      </c>
      <c r="E167" t="s">
        <v>2111</v>
      </c>
      <c r="F167" t="s">
        <v>2121</v>
      </c>
      <c r="G167" t="s">
        <v>2212</v>
      </c>
      <c r="H167">
        <v>11369</v>
      </c>
      <c r="I167" t="s">
        <v>2229</v>
      </c>
      <c r="J167">
        <v>1</v>
      </c>
      <c r="K167">
        <v>0</v>
      </c>
      <c r="L167" t="s">
        <v>2260</v>
      </c>
      <c r="M167" t="s">
        <v>2677</v>
      </c>
      <c r="P167" t="s">
        <v>2726</v>
      </c>
      <c r="Q167" t="s">
        <v>2113</v>
      </c>
      <c r="R167" t="s">
        <v>3259</v>
      </c>
      <c r="S167" t="s">
        <v>3267</v>
      </c>
      <c r="X167" t="s">
        <v>3354</v>
      </c>
      <c r="Y167" t="s">
        <v>2678</v>
      </c>
      <c r="Z167" t="s">
        <v>3380</v>
      </c>
      <c r="AB167" t="s">
        <v>3415</v>
      </c>
      <c r="AC167">
        <f>HYPERLINK("https://lsnyc.legalserver.org/matter/dynamic-profile/view/1913522","19-1913522")</f>
        <v>0</v>
      </c>
      <c r="AD167" t="s">
        <v>3443</v>
      </c>
      <c r="AE167" t="s">
        <v>3472</v>
      </c>
      <c r="AF167" t="s">
        <v>3648</v>
      </c>
      <c r="AG167" t="s">
        <v>3380</v>
      </c>
      <c r="AI167" t="s">
        <v>4909</v>
      </c>
      <c r="AL167" t="s">
        <v>2121</v>
      </c>
      <c r="AN167" t="s">
        <v>3415</v>
      </c>
    </row>
    <row r="168" spans="1:41">
      <c r="A168" s="1" t="s">
        <v>204</v>
      </c>
      <c r="B168" t="s">
        <v>2001</v>
      </c>
      <c r="C168" t="s">
        <v>2002</v>
      </c>
      <c r="D168" t="s">
        <v>2047</v>
      </c>
      <c r="E168" t="s">
        <v>2112</v>
      </c>
      <c r="F168" t="s">
        <v>2116</v>
      </c>
      <c r="G168" t="s">
        <v>2214</v>
      </c>
      <c r="H168">
        <v>11226</v>
      </c>
      <c r="J168">
        <v>2</v>
      </c>
      <c r="K168">
        <v>0</v>
      </c>
      <c r="L168" t="s">
        <v>2260</v>
      </c>
      <c r="M168" t="s">
        <v>2677</v>
      </c>
      <c r="P168" t="s">
        <v>2726</v>
      </c>
      <c r="Q168" t="s">
        <v>3255</v>
      </c>
      <c r="R168" t="s">
        <v>3258</v>
      </c>
      <c r="S168" t="s">
        <v>3271</v>
      </c>
      <c r="V168" t="s">
        <v>3352</v>
      </c>
      <c r="X168" t="s">
        <v>3354</v>
      </c>
      <c r="Y168" t="s">
        <v>2678</v>
      </c>
      <c r="Z168" t="s">
        <v>3362</v>
      </c>
      <c r="AA168" t="s">
        <v>3406</v>
      </c>
      <c r="AB168" t="s">
        <v>3419</v>
      </c>
      <c r="AC168">
        <f>HYPERLINK("https://lsnyc.legalserver.org/matter/dynamic-profile/view/1913871","19-1913871")</f>
        <v>0</v>
      </c>
      <c r="AD168" t="s">
        <v>3446</v>
      </c>
      <c r="AE168" t="s">
        <v>3473</v>
      </c>
      <c r="AF168" t="s">
        <v>3649</v>
      </c>
      <c r="AG168" t="s">
        <v>3362</v>
      </c>
      <c r="AH168" t="s">
        <v>4904</v>
      </c>
      <c r="AL168" t="s">
        <v>2116</v>
      </c>
      <c r="AN168" t="s">
        <v>3419</v>
      </c>
      <c r="AO168" t="s">
        <v>3352</v>
      </c>
    </row>
    <row r="169" spans="1:41">
      <c r="A169" s="1" t="s">
        <v>205</v>
      </c>
      <c r="B169" t="s">
        <v>2009</v>
      </c>
      <c r="C169" t="s">
        <v>1998</v>
      </c>
      <c r="D169" t="s">
        <v>2086</v>
      </c>
      <c r="E169" t="s">
        <v>2111</v>
      </c>
      <c r="F169" t="s">
        <v>2120</v>
      </c>
      <c r="G169" t="s">
        <v>2214</v>
      </c>
      <c r="H169">
        <v>11208</v>
      </c>
      <c r="I169" t="s">
        <v>2230</v>
      </c>
      <c r="J169">
        <v>1</v>
      </c>
      <c r="K169">
        <v>0</v>
      </c>
      <c r="L169" t="s">
        <v>2324</v>
      </c>
      <c r="M169" t="s">
        <v>2677</v>
      </c>
      <c r="P169" t="s">
        <v>2727</v>
      </c>
      <c r="Q169" t="s">
        <v>2113</v>
      </c>
      <c r="V169" t="s">
        <v>3352</v>
      </c>
      <c r="X169" t="s">
        <v>3354</v>
      </c>
      <c r="Y169" t="s">
        <v>2677</v>
      </c>
      <c r="Z169" t="s">
        <v>3362</v>
      </c>
      <c r="AA169" t="s">
        <v>3407</v>
      </c>
      <c r="AB169" t="s">
        <v>3407</v>
      </c>
      <c r="AC169">
        <f>HYPERLINK("https://lsnyc.legalserver.org/matter/dynamic-profile/view/1913142","19-1913142")</f>
        <v>0</v>
      </c>
      <c r="AD169" t="s">
        <v>3445</v>
      </c>
      <c r="AE169" t="s">
        <v>3469</v>
      </c>
      <c r="AF169" t="s">
        <v>3650</v>
      </c>
      <c r="AG169" t="s">
        <v>3362</v>
      </c>
      <c r="AH169" t="s">
        <v>3407</v>
      </c>
      <c r="AL169" t="s">
        <v>2120</v>
      </c>
      <c r="AN169" t="s">
        <v>3407</v>
      </c>
      <c r="AO169" t="s">
        <v>3352</v>
      </c>
    </row>
    <row r="170" spans="1:41">
      <c r="A170" s="1" t="s">
        <v>206</v>
      </c>
      <c r="B170" t="s">
        <v>2004</v>
      </c>
      <c r="C170" t="s">
        <v>1998</v>
      </c>
      <c r="D170" t="s">
        <v>2026</v>
      </c>
      <c r="E170" t="s">
        <v>2111</v>
      </c>
      <c r="F170" t="s">
        <v>2120</v>
      </c>
      <c r="G170" t="s">
        <v>2214</v>
      </c>
      <c r="H170">
        <v>11236</v>
      </c>
      <c r="I170" t="s">
        <v>2230</v>
      </c>
      <c r="J170">
        <v>3</v>
      </c>
      <c r="K170">
        <v>2</v>
      </c>
      <c r="L170" t="s">
        <v>2260</v>
      </c>
      <c r="M170" t="s">
        <v>2677</v>
      </c>
      <c r="P170" t="s">
        <v>2707</v>
      </c>
      <c r="Q170" t="s">
        <v>2113</v>
      </c>
      <c r="R170" t="s">
        <v>3258</v>
      </c>
      <c r="S170" t="s">
        <v>3271</v>
      </c>
      <c r="V170" t="s">
        <v>3352</v>
      </c>
      <c r="X170" t="s">
        <v>3354</v>
      </c>
      <c r="Y170" t="s">
        <v>2677</v>
      </c>
      <c r="Z170" t="s">
        <v>3369</v>
      </c>
      <c r="AA170" t="s">
        <v>3406</v>
      </c>
      <c r="AB170" t="s">
        <v>3419</v>
      </c>
      <c r="AC170">
        <f>HYPERLINK("https://lsnyc.legalserver.org/matter/dynamic-profile/view/1913150","19-1913150")</f>
        <v>0</v>
      </c>
      <c r="AD170" t="s">
        <v>3445</v>
      </c>
      <c r="AE170" t="s">
        <v>3455</v>
      </c>
      <c r="AF170" t="s">
        <v>3651</v>
      </c>
      <c r="AG170" t="s">
        <v>3369</v>
      </c>
      <c r="AH170" t="s">
        <v>4904</v>
      </c>
      <c r="AL170" t="s">
        <v>2120</v>
      </c>
      <c r="AN170" t="s">
        <v>3419</v>
      </c>
      <c r="AO170" t="s">
        <v>3352</v>
      </c>
    </row>
    <row r="171" spans="1:41">
      <c r="A171" s="1" t="s">
        <v>207</v>
      </c>
      <c r="B171" t="s">
        <v>2009</v>
      </c>
      <c r="C171" t="s">
        <v>2001</v>
      </c>
      <c r="D171" t="s">
        <v>2080</v>
      </c>
      <c r="E171" t="s">
        <v>2112</v>
      </c>
      <c r="F171" t="s">
        <v>2116</v>
      </c>
      <c r="G171" t="s">
        <v>2212</v>
      </c>
      <c r="H171">
        <v>11368</v>
      </c>
      <c r="I171" t="s">
        <v>2229</v>
      </c>
      <c r="J171">
        <v>4</v>
      </c>
      <c r="K171">
        <v>3</v>
      </c>
      <c r="L171" t="s">
        <v>2293</v>
      </c>
      <c r="M171" t="s">
        <v>2677</v>
      </c>
      <c r="P171" t="s">
        <v>2727</v>
      </c>
      <c r="Q171" t="s">
        <v>2113</v>
      </c>
      <c r="R171" t="s">
        <v>3259</v>
      </c>
      <c r="S171" t="s">
        <v>3282</v>
      </c>
      <c r="X171" t="s">
        <v>3354</v>
      </c>
      <c r="Y171" t="s">
        <v>2678</v>
      </c>
      <c r="Z171" t="s">
        <v>3382</v>
      </c>
      <c r="AB171" t="s">
        <v>3430</v>
      </c>
      <c r="AC171">
        <f>HYPERLINK("https://lsnyc.legalserver.org/matter/dynamic-profile/view/1914771","19-1914771")</f>
        <v>0</v>
      </c>
      <c r="AD171" t="s">
        <v>3443</v>
      </c>
      <c r="AE171" t="s">
        <v>3467</v>
      </c>
      <c r="AF171" t="s">
        <v>3652</v>
      </c>
      <c r="AG171" t="s">
        <v>3382</v>
      </c>
      <c r="AI171" t="s">
        <v>4909</v>
      </c>
      <c r="AL171" t="s">
        <v>2116</v>
      </c>
      <c r="AN171" t="s">
        <v>3430</v>
      </c>
    </row>
    <row r="172" spans="1:41">
      <c r="A172" s="1" t="s">
        <v>208</v>
      </c>
      <c r="B172" t="s">
        <v>1998</v>
      </c>
      <c r="C172" t="s">
        <v>1998</v>
      </c>
      <c r="D172" t="s">
        <v>2087</v>
      </c>
      <c r="E172" t="s">
        <v>2112</v>
      </c>
      <c r="F172" t="s">
        <v>2123</v>
      </c>
      <c r="G172" t="s">
        <v>2211</v>
      </c>
      <c r="H172">
        <v>10027</v>
      </c>
      <c r="I172" t="s">
        <v>2229</v>
      </c>
      <c r="J172">
        <v>1</v>
      </c>
      <c r="K172">
        <v>0</v>
      </c>
      <c r="L172" t="s">
        <v>2325</v>
      </c>
      <c r="M172" t="s">
        <v>2677</v>
      </c>
      <c r="P172" t="s">
        <v>2707</v>
      </c>
      <c r="Q172" t="s">
        <v>2113</v>
      </c>
      <c r="V172" t="s">
        <v>3352</v>
      </c>
      <c r="X172" t="s">
        <v>3354</v>
      </c>
      <c r="Y172" t="s">
        <v>2677</v>
      </c>
      <c r="AA172" t="s">
        <v>3407</v>
      </c>
      <c r="AB172" t="s">
        <v>3407</v>
      </c>
      <c r="AC172">
        <f>HYPERLINK("https://lsnyc.legalserver.org/matter/dynamic-profile/view/1913004","19-1913004")</f>
        <v>0</v>
      </c>
      <c r="AD172" t="s">
        <v>3442</v>
      </c>
      <c r="AE172" t="s">
        <v>3469</v>
      </c>
      <c r="AF172" t="s">
        <v>3653</v>
      </c>
      <c r="AH172" t="s">
        <v>3407</v>
      </c>
      <c r="AL172" t="s">
        <v>2123</v>
      </c>
      <c r="AN172" t="s">
        <v>3407</v>
      </c>
      <c r="AO172" t="s">
        <v>3352</v>
      </c>
    </row>
    <row r="173" spans="1:41">
      <c r="A173" s="1" t="s">
        <v>209</v>
      </c>
      <c r="B173" t="s">
        <v>2000</v>
      </c>
      <c r="C173" t="s">
        <v>2001</v>
      </c>
      <c r="D173" t="s">
        <v>2088</v>
      </c>
      <c r="E173" t="s">
        <v>2112</v>
      </c>
      <c r="F173" t="s">
        <v>2117</v>
      </c>
      <c r="G173" t="s">
        <v>2214</v>
      </c>
      <c r="H173">
        <v>11207</v>
      </c>
      <c r="I173" t="s">
        <v>2229</v>
      </c>
      <c r="J173">
        <v>2</v>
      </c>
      <c r="K173">
        <v>1</v>
      </c>
      <c r="L173" t="s">
        <v>2326</v>
      </c>
      <c r="M173" t="s">
        <v>2677</v>
      </c>
      <c r="P173" t="s">
        <v>2707</v>
      </c>
      <c r="Q173" t="s">
        <v>2113</v>
      </c>
      <c r="V173" t="s">
        <v>3352</v>
      </c>
      <c r="X173" t="s">
        <v>3354</v>
      </c>
      <c r="Y173" t="s">
        <v>2677</v>
      </c>
      <c r="AA173" t="s">
        <v>3407</v>
      </c>
      <c r="AB173" t="s">
        <v>3407</v>
      </c>
      <c r="AC173">
        <f>HYPERLINK("https://lsnyc.legalserver.org/matter/dynamic-profile/view/1913030","19-1913030")</f>
        <v>0</v>
      </c>
      <c r="AD173" t="s">
        <v>3444</v>
      </c>
      <c r="AE173" t="s">
        <v>3469</v>
      </c>
      <c r="AF173" t="s">
        <v>3654</v>
      </c>
      <c r="AH173" t="s">
        <v>3407</v>
      </c>
      <c r="AL173" t="s">
        <v>2117</v>
      </c>
      <c r="AN173" t="s">
        <v>3407</v>
      </c>
      <c r="AO173" t="s">
        <v>3352</v>
      </c>
    </row>
    <row r="174" spans="1:41">
      <c r="A174" s="1" t="s">
        <v>210</v>
      </c>
      <c r="B174" t="s">
        <v>2016</v>
      </c>
      <c r="C174" t="s">
        <v>2002</v>
      </c>
      <c r="D174" t="s">
        <v>2083</v>
      </c>
      <c r="E174" t="s">
        <v>2112</v>
      </c>
      <c r="F174" t="s">
        <v>2122</v>
      </c>
      <c r="G174" t="s">
        <v>2214</v>
      </c>
      <c r="H174">
        <v>11213</v>
      </c>
      <c r="I174" t="s">
        <v>2230</v>
      </c>
      <c r="J174">
        <v>4</v>
      </c>
      <c r="K174">
        <v>1</v>
      </c>
      <c r="L174" t="s">
        <v>2327</v>
      </c>
      <c r="M174" t="s">
        <v>2677</v>
      </c>
      <c r="P174" t="s">
        <v>2728</v>
      </c>
      <c r="Q174" t="s">
        <v>2113</v>
      </c>
      <c r="R174" t="s">
        <v>3261</v>
      </c>
      <c r="S174" t="s">
        <v>3283</v>
      </c>
      <c r="X174" t="s">
        <v>3354</v>
      </c>
      <c r="Y174" t="s">
        <v>2678</v>
      </c>
      <c r="Z174" t="s">
        <v>3377</v>
      </c>
      <c r="AA174" t="s">
        <v>3408</v>
      </c>
      <c r="AB174" t="s">
        <v>3431</v>
      </c>
      <c r="AC174">
        <f>HYPERLINK("https://lsnyc.legalserver.org/matter/dynamic-profile/view/1913031","19-1913031")</f>
        <v>0</v>
      </c>
      <c r="AD174" t="s">
        <v>3446</v>
      </c>
      <c r="AE174" t="s">
        <v>3473</v>
      </c>
      <c r="AF174" t="s">
        <v>3655</v>
      </c>
      <c r="AG174" t="s">
        <v>3377</v>
      </c>
      <c r="AH174" t="s">
        <v>3408</v>
      </c>
      <c r="AL174" t="s">
        <v>2122</v>
      </c>
      <c r="AN174" t="s">
        <v>3431</v>
      </c>
    </row>
    <row r="175" spans="1:41">
      <c r="A175" s="1" t="s">
        <v>211</v>
      </c>
      <c r="B175" t="s">
        <v>2000</v>
      </c>
      <c r="C175" t="s">
        <v>1998</v>
      </c>
      <c r="D175" t="s">
        <v>2079</v>
      </c>
      <c r="E175" t="s">
        <v>2111</v>
      </c>
      <c r="F175" t="s">
        <v>2123</v>
      </c>
      <c r="G175" t="s">
        <v>2211</v>
      </c>
      <c r="H175">
        <v>10002</v>
      </c>
      <c r="I175" t="s">
        <v>2229</v>
      </c>
      <c r="J175">
        <v>4</v>
      </c>
      <c r="K175">
        <v>1</v>
      </c>
      <c r="L175" t="s">
        <v>2328</v>
      </c>
      <c r="M175" t="s">
        <v>2677</v>
      </c>
      <c r="P175" t="s">
        <v>2707</v>
      </c>
      <c r="Q175" t="s">
        <v>2113</v>
      </c>
      <c r="V175" t="s">
        <v>3352</v>
      </c>
      <c r="X175" t="s">
        <v>3354</v>
      </c>
      <c r="Y175" t="s">
        <v>2677</v>
      </c>
      <c r="Z175" t="s">
        <v>3362</v>
      </c>
      <c r="AA175" t="s">
        <v>3407</v>
      </c>
      <c r="AB175" t="s">
        <v>3407</v>
      </c>
      <c r="AC175">
        <f>HYPERLINK("https://lsnyc.legalserver.org/matter/dynamic-profile/view/1912885","19-1912885")</f>
        <v>0</v>
      </c>
      <c r="AD175" t="s">
        <v>3442</v>
      </c>
      <c r="AE175" t="s">
        <v>3469</v>
      </c>
      <c r="AF175" t="s">
        <v>3656</v>
      </c>
      <c r="AG175" t="s">
        <v>3362</v>
      </c>
      <c r="AH175" t="s">
        <v>3407</v>
      </c>
      <c r="AL175" t="s">
        <v>2123</v>
      </c>
      <c r="AN175" t="s">
        <v>3407</v>
      </c>
      <c r="AO175" t="s">
        <v>3352</v>
      </c>
    </row>
    <row r="176" spans="1:41">
      <c r="A176" s="1" t="s">
        <v>212</v>
      </c>
      <c r="B176" t="s">
        <v>2002</v>
      </c>
      <c r="C176" t="s">
        <v>2016</v>
      </c>
      <c r="D176" t="s">
        <v>2067</v>
      </c>
      <c r="E176" t="s">
        <v>2112</v>
      </c>
      <c r="F176" t="s">
        <v>2117</v>
      </c>
      <c r="G176" t="s">
        <v>2211</v>
      </c>
      <c r="H176">
        <v>10026</v>
      </c>
      <c r="I176" t="s">
        <v>2229</v>
      </c>
      <c r="J176">
        <v>5</v>
      </c>
      <c r="K176">
        <v>4</v>
      </c>
      <c r="L176" t="s">
        <v>2306</v>
      </c>
      <c r="M176" t="s">
        <v>2677</v>
      </c>
      <c r="P176" t="s">
        <v>2729</v>
      </c>
      <c r="Q176" t="s">
        <v>2113</v>
      </c>
      <c r="R176" t="s">
        <v>3260</v>
      </c>
      <c r="S176" t="s">
        <v>3266</v>
      </c>
      <c r="X176" t="s">
        <v>3354</v>
      </c>
      <c r="Y176" t="s">
        <v>2678</v>
      </c>
      <c r="AB176" t="s">
        <v>3414</v>
      </c>
      <c r="AC176">
        <f>HYPERLINK("https://lsnyc.legalserver.org/matter/dynamic-profile/view/1912912","19-1912912")</f>
        <v>0</v>
      </c>
      <c r="AD176" t="s">
        <v>3442</v>
      </c>
      <c r="AE176" t="s">
        <v>3460</v>
      </c>
      <c r="AF176" t="s">
        <v>3657</v>
      </c>
      <c r="AI176" t="s">
        <v>4909</v>
      </c>
      <c r="AL176" t="s">
        <v>2117</v>
      </c>
      <c r="AN176" t="s">
        <v>3414</v>
      </c>
    </row>
    <row r="177" spans="1:41">
      <c r="A177" s="1" t="s">
        <v>213</v>
      </c>
      <c r="B177" t="s">
        <v>1998</v>
      </c>
      <c r="C177" t="s">
        <v>2000</v>
      </c>
      <c r="D177" t="s">
        <v>2089</v>
      </c>
      <c r="E177" t="s">
        <v>2111</v>
      </c>
      <c r="F177" t="s">
        <v>2135</v>
      </c>
      <c r="G177" t="s">
        <v>2214</v>
      </c>
      <c r="H177">
        <v>11229</v>
      </c>
      <c r="I177" t="s">
        <v>2229</v>
      </c>
      <c r="J177">
        <v>2</v>
      </c>
      <c r="K177">
        <v>0</v>
      </c>
      <c r="L177" t="s">
        <v>2329</v>
      </c>
      <c r="M177" t="s">
        <v>2677</v>
      </c>
      <c r="P177" t="s">
        <v>2729</v>
      </c>
      <c r="Q177" t="s">
        <v>2113</v>
      </c>
      <c r="R177" t="s">
        <v>3258</v>
      </c>
      <c r="S177" t="s">
        <v>3271</v>
      </c>
      <c r="T177" t="s">
        <v>3294</v>
      </c>
      <c r="U177" t="s">
        <v>2687</v>
      </c>
      <c r="V177" t="s">
        <v>3352</v>
      </c>
      <c r="X177" t="s">
        <v>3354</v>
      </c>
      <c r="Y177" t="s">
        <v>2677</v>
      </c>
      <c r="Z177" t="s">
        <v>3362</v>
      </c>
      <c r="AA177" t="s">
        <v>3406</v>
      </c>
      <c r="AB177" t="s">
        <v>3419</v>
      </c>
      <c r="AC177">
        <f>HYPERLINK("https://lsnyc.legalserver.org/matter/dynamic-profile/view/1912924","19-1912924")</f>
        <v>0</v>
      </c>
      <c r="AD177" t="s">
        <v>3445</v>
      </c>
      <c r="AE177" t="s">
        <v>3473</v>
      </c>
      <c r="AF177" t="s">
        <v>3658</v>
      </c>
      <c r="AG177" t="s">
        <v>3362</v>
      </c>
      <c r="AH177" t="s">
        <v>4904</v>
      </c>
      <c r="AL177" t="s">
        <v>2135</v>
      </c>
      <c r="AM177" t="s">
        <v>3294</v>
      </c>
      <c r="AN177" t="s">
        <v>3419</v>
      </c>
      <c r="AO177" t="s">
        <v>3352</v>
      </c>
    </row>
    <row r="178" spans="1:41">
      <c r="A178" s="1" t="s">
        <v>214</v>
      </c>
      <c r="B178" t="s">
        <v>1998</v>
      </c>
      <c r="C178" t="s">
        <v>1998</v>
      </c>
      <c r="D178" t="s">
        <v>2080</v>
      </c>
      <c r="E178" t="s">
        <v>2112</v>
      </c>
      <c r="G178" t="s">
        <v>2216</v>
      </c>
      <c r="H178">
        <v>10314</v>
      </c>
      <c r="I178" t="s">
        <v>2229</v>
      </c>
      <c r="J178">
        <v>1</v>
      </c>
      <c r="K178">
        <v>0</v>
      </c>
      <c r="L178" t="s">
        <v>2275</v>
      </c>
      <c r="M178" t="s">
        <v>2677</v>
      </c>
      <c r="P178" t="s">
        <v>2729</v>
      </c>
      <c r="Q178" t="s">
        <v>3255</v>
      </c>
      <c r="R178" t="s">
        <v>3260</v>
      </c>
      <c r="S178" t="s">
        <v>3266</v>
      </c>
      <c r="X178" t="s">
        <v>3354</v>
      </c>
      <c r="Y178" t="s">
        <v>2678</v>
      </c>
      <c r="AB178" t="s">
        <v>3414</v>
      </c>
      <c r="AC178">
        <f>HYPERLINK("https://lsnyc.legalserver.org/matter/dynamic-profile/view/1913101","19-1913101")</f>
        <v>0</v>
      </c>
      <c r="AD178" t="s">
        <v>3447</v>
      </c>
      <c r="AE178" t="s">
        <v>3458</v>
      </c>
      <c r="AF178" t="s">
        <v>3659</v>
      </c>
      <c r="AI178" t="s">
        <v>4909</v>
      </c>
      <c r="AN178" t="s">
        <v>3414</v>
      </c>
    </row>
    <row r="179" spans="1:41">
      <c r="A179" s="1" t="s">
        <v>215</v>
      </c>
      <c r="B179" t="s">
        <v>1998</v>
      </c>
      <c r="C179" t="s">
        <v>2001</v>
      </c>
      <c r="D179" t="s">
        <v>2026</v>
      </c>
      <c r="E179" t="s">
        <v>2112</v>
      </c>
      <c r="F179" t="s">
        <v>2117</v>
      </c>
      <c r="G179" t="s">
        <v>2213</v>
      </c>
      <c r="H179">
        <v>10460</v>
      </c>
      <c r="I179" t="s">
        <v>2229</v>
      </c>
      <c r="J179">
        <v>2</v>
      </c>
      <c r="K179">
        <v>1</v>
      </c>
      <c r="L179" t="s">
        <v>2260</v>
      </c>
      <c r="M179" t="s">
        <v>2677</v>
      </c>
      <c r="P179" t="s">
        <v>2730</v>
      </c>
      <c r="Q179" t="s">
        <v>3255</v>
      </c>
      <c r="R179" t="s">
        <v>3258</v>
      </c>
      <c r="S179" t="s">
        <v>3262</v>
      </c>
      <c r="X179" t="s">
        <v>3354</v>
      </c>
      <c r="Y179" t="s">
        <v>2678</v>
      </c>
      <c r="Z179" t="s">
        <v>3355</v>
      </c>
      <c r="AB179" t="s">
        <v>3410</v>
      </c>
      <c r="AC179">
        <f>HYPERLINK("https://lsnyc.legalserver.org/matter/dynamic-profile/view/1912805","19-1912805")</f>
        <v>0</v>
      </c>
      <c r="AD179" t="s">
        <v>3444</v>
      </c>
      <c r="AE179" t="s">
        <v>3466</v>
      </c>
      <c r="AF179" t="s">
        <v>3660</v>
      </c>
      <c r="AG179" t="s">
        <v>3355</v>
      </c>
      <c r="AI179" t="s">
        <v>4909</v>
      </c>
      <c r="AL179" t="s">
        <v>2117</v>
      </c>
      <c r="AN179" t="s">
        <v>3410</v>
      </c>
    </row>
    <row r="180" spans="1:41">
      <c r="A180" s="1" t="s">
        <v>216</v>
      </c>
      <c r="B180" t="s">
        <v>1998</v>
      </c>
      <c r="C180" t="s">
        <v>1998</v>
      </c>
      <c r="D180" t="s">
        <v>2070</v>
      </c>
      <c r="E180" t="s">
        <v>2111</v>
      </c>
      <c r="F180" t="s">
        <v>2123</v>
      </c>
      <c r="G180" t="s">
        <v>2211</v>
      </c>
      <c r="H180">
        <v>10032</v>
      </c>
      <c r="I180" t="s">
        <v>2229</v>
      </c>
      <c r="J180">
        <v>1</v>
      </c>
      <c r="K180">
        <v>0</v>
      </c>
      <c r="L180" t="s">
        <v>2255</v>
      </c>
      <c r="M180" t="s">
        <v>2677</v>
      </c>
      <c r="P180" t="s">
        <v>2731</v>
      </c>
      <c r="Q180" t="s">
        <v>2113</v>
      </c>
      <c r="R180" t="s">
        <v>3258</v>
      </c>
      <c r="S180" t="s">
        <v>3262</v>
      </c>
      <c r="X180" t="s">
        <v>3354</v>
      </c>
      <c r="Y180" t="s">
        <v>2678</v>
      </c>
      <c r="Z180" t="s">
        <v>3355</v>
      </c>
      <c r="AA180" t="s">
        <v>3406</v>
      </c>
      <c r="AB180" t="s">
        <v>3410</v>
      </c>
      <c r="AC180">
        <f>HYPERLINK("https://lsnyc.legalserver.org/matter/dynamic-profile/view/1912678","19-1912678")</f>
        <v>0</v>
      </c>
      <c r="AD180" t="s">
        <v>3442</v>
      </c>
      <c r="AE180" t="s">
        <v>3448</v>
      </c>
      <c r="AF180" t="s">
        <v>3661</v>
      </c>
      <c r="AG180" t="s">
        <v>3355</v>
      </c>
      <c r="AH180" t="s">
        <v>4904</v>
      </c>
      <c r="AL180" t="s">
        <v>2123</v>
      </c>
      <c r="AN180" t="s">
        <v>3410</v>
      </c>
    </row>
    <row r="181" spans="1:41">
      <c r="A181" s="1" t="s">
        <v>217</v>
      </c>
      <c r="B181" t="s">
        <v>2000</v>
      </c>
      <c r="C181" t="s">
        <v>2018</v>
      </c>
      <c r="D181" t="s">
        <v>2068</v>
      </c>
      <c r="E181" t="s">
        <v>2112</v>
      </c>
      <c r="F181" t="s">
        <v>2149</v>
      </c>
      <c r="G181" t="s">
        <v>2214</v>
      </c>
      <c r="H181">
        <v>11213</v>
      </c>
      <c r="I181" t="s">
        <v>2230</v>
      </c>
      <c r="J181">
        <v>4</v>
      </c>
      <c r="K181">
        <v>3</v>
      </c>
      <c r="L181" t="s">
        <v>2330</v>
      </c>
      <c r="M181" t="s">
        <v>2677</v>
      </c>
      <c r="P181" t="s">
        <v>2731</v>
      </c>
      <c r="Q181" t="s">
        <v>2113</v>
      </c>
      <c r="V181" t="s">
        <v>3352</v>
      </c>
      <c r="X181" t="s">
        <v>3354</v>
      </c>
      <c r="Y181" t="s">
        <v>2677</v>
      </c>
      <c r="AA181" t="s">
        <v>3407</v>
      </c>
      <c r="AB181" t="s">
        <v>3407</v>
      </c>
      <c r="AC181">
        <f>HYPERLINK("https://lsnyc.legalserver.org/matter/dynamic-profile/view/1912687","19-1912687")</f>
        <v>0</v>
      </c>
      <c r="AD181" t="s">
        <v>3445</v>
      </c>
      <c r="AE181" t="s">
        <v>3469</v>
      </c>
      <c r="AF181" t="s">
        <v>3662</v>
      </c>
      <c r="AH181" t="s">
        <v>3407</v>
      </c>
      <c r="AL181" t="s">
        <v>2149</v>
      </c>
      <c r="AN181" t="s">
        <v>3407</v>
      </c>
      <c r="AO181" t="s">
        <v>3352</v>
      </c>
    </row>
    <row r="182" spans="1:41">
      <c r="A182" s="1" t="s">
        <v>218</v>
      </c>
      <c r="B182" t="s">
        <v>1998</v>
      </c>
      <c r="C182" t="s">
        <v>1998</v>
      </c>
      <c r="D182" t="s">
        <v>2036</v>
      </c>
      <c r="E182" t="s">
        <v>2112</v>
      </c>
      <c r="G182" t="s">
        <v>2212</v>
      </c>
      <c r="H182">
        <v>11368</v>
      </c>
      <c r="I182" t="s">
        <v>2229</v>
      </c>
      <c r="J182">
        <v>3</v>
      </c>
      <c r="K182">
        <v>2</v>
      </c>
      <c r="L182" t="s">
        <v>2256</v>
      </c>
      <c r="M182" t="s">
        <v>2677</v>
      </c>
      <c r="P182" t="s">
        <v>2731</v>
      </c>
      <c r="Q182" t="s">
        <v>3255</v>
      </c>
      <c r="R182" t="s">
        <v>3259</v>
      </c>
      <c r="S182" t="s">
        <v>3272</v>
      </c>
      <c r="X182" t="s">
        <v>3354</v>
      </c>
      <c r="Y182" t="s">
        <v>2678</v>
      </c>
      <c r="Z182" t="s">
        <v>3383</v>
      </c>
      <c r="AB182" t="s">
        <v>3420</v>
      </c>
      <c r="AC182">
        <f>HYPERLINK("https://lsnyc.legalserver.org/matter/dynamic-profile/view/1912720","19-1912720")</f>
        <v>0</v>
      </c>
      <c r="AD182" t="s">
        <v>3443</v>
      </c>
      <c r="AE182" t="s">
        <v>3467</v>
      </c>
      <c r="AF182" t="s">
        <v>3663</v>
      </c>
      <c r="AG182" t="s">
        <v>3383</v>
      </c>
      <c r="AI182" t="s">
        <v>4909</v>
      </c>
      <c r="AN182" t="s">
        <v>3420</v>
      </c>
    </row>
    <row r="183" spans="1:41">
      <c r="A183" s="1" t="s">
        <v>219</v>
      </c>
      <c r="B183" t="s">
        <v>1998</v>
      </c>
      <c r="C183" t="s">
        <v>2001</v>
      </c>
      <c r="D183" t="s">
        <v>2068</v>
      </c>
      <c r="E183" t="s">
        <v>2112</v>
      </c>
      <c r="F183" t="s">
        <v>2150</v>
      </c>
      <c r="G183" t="s">
        <v>2216</v>
      </c>
      <c r="H183">
        <v>10302</v>
      </c>
      <c r="I183" t="s">
        <v>2229</v>
      </c>
      <c r="J183">
        <v>2</v>
      </c>
      <c r="K183">
        <v>0</v>
      </c>
      <c r="L183" t="s">
        <v>2260</v>
      </c>
      <c r="M183" t="s">
        <v>2677</v>
      </c>
      <c r="P183" t="s">
        <v>2731</v>
      </c>
      <c r="Q183" t="s">
        <v>3255</v>
      </c>
      <c r="R183" t="s">
        <v>3261</v>
      </c>
      <c r="S183" t="s">
        <v>3283</v>
      </c>
      <c r="X183" t="s">
        <v>3354</v>
      </c>
      <c r="Y183" t="s">
        <v>2678</v>
      </c>
      <c r="Z183" t="s">
        <v>3359</v>
      </c>
      <c r="AA183" t="s">
        <v>3408</v>
      </c>
      <c r="AB183" t="s">
        <v>3431</v>
      </c>
      <c r="AC183">
        <f>HYPERLINK("https://lsnyc.legalserver.org/matter/dynamic-profile/view/1912746","19-1912746")</f>
        <v>0</v>
      </c>
      <c r="AD183" t="s">
        <v>3447</v>
      </c>
      <c r="AE183" t="s">
        <v>3459</v>
      </c>
      <c r="AF183" t="s">
        <v>3664</v>
      </c>
      <c r="AG183" t="s">
        <v>3359</v>
      </c>
      <c r="AH183" t="s">
        <v>3408</v>
      </c>
      <c r="AL183" t="s">
        <v>2150</v>
      </c>
      <c r="AN183" t="s">
        <v>3431</v>
      </c>
    </row>
    <row r="184" spans="1:41">
      <c r="A184" s="1" t="s">
        <v>220</v>
      </c>
      <c r="B184" t="s">
        <v>1998</v>
      </c>
      <c r="C184" t="s">
        <v>2001</v>
      </c>
      <c r="D184" t="s">
        <v>2090</v>
      </c>
      <c r="E184" t="s">
        <v>2112</v>
      </c>
      <c r="F184" t="s">
        <v>2117</v>
      </c>
      <c r="G184" t="s">
        <v>2213</v>
      </c>
      <c r="H184">
        <v>10456</v>
      </c>
      <c r="I184" t="s">
        <v>2229</v>
      </c>
      <c r="J184">
        <v>1</v>
      </c>
      <c r="K184">
        <v>0</v>
      </c>
      <c r="L184" t="s">
        <v>2260</v>
      </c>
      <c r="M184" t="s">
        <v>2677</v>
      </c>
      <c r="P184" t="s">
        <v>2731</v>
      </c>
      <c r="Q184" t="s">
        <v>2113</v>
      </c>
      <c r="X184" t="s">
        <v>3354</v>
      </c>
      <c r="Y184" t="s">
        <v>2677</v>
      </c>
      <c r="AA184" t="s">
        <v>3407</v>
      </c>
      <c r="AB184" t="s">
        <v>3407</v>
      </c>
      <c r="AC184">
        <f>HYPERLINK("https://lsnyc.legalserver.org/matter/dynamic-profile/view/1912750","19-1912750")</f>
        <v>0</v>
      </c>
      <c r="AD184" t="s">
        <v>3445</v>
      </c>
      <c r="AE184" t="s">
        <v>3461</v>
      </c>
      <c r="AF184" t="s">
        <v>3665</v>
      </c>
      <c r="AH184" t="s">
        <v>3407</v>
      </c>
      <c r="AL184" t="s">
        <v>2117</v>
      </c>
      <c r="AN184" t="s">
        <v>3407</v>
      </c>
    </row>
    <row r="185" spans="1:41">
      <c r="A185" s="1" t="s">
        <v>221</v>
      </c>
      <c r="B185" t="s">
        <v>1998</v>
      </c>
      <c r="C185" t="s">
        <v>2001</v>
      </c>
      <c r="D185" t="s">
        <v>2091</v>
      </c>
      <c r="E185" t="s">
        <v>2111</v>
      </c>
      <c r="F185" t="s">
        <v>2117</v>
      </c>
      <c r="G185" t="s">
        <v>2213</v>
      </c>
      <c r="H185">
        <v>10454</v>
      </c>
      <c r="I185" t="s">
        <v>2229</v>
      </c>
      <c r="J185">
        <v>5</v>
      </c>
      <c r="K185">
        <v>3</v>
      </c>
      <c r="L185" t="s">
        <v>2260</v>
      </c>
      <c r="M185" t="s">
        <v>2677</v>
      </c>
      <c r="P185" t="s">
        <v>2729</v>
      </c>
      <c r="Q185" t="s">
        <v>2113</v>
      </c>
      <c r="R185" t="s">
        <v>3258</v>
      </c>
      <c r="S185" t="s">
        <v>3262</v>
      </c>
      <c r="V185" t="s">
        <v>3353</v>
      </c>
      <c r="X185" t="s">
        <v>3354</v>
      </c>
      <c r="Y185" t="s">
        <v>2678</v>
      </c>
      <c r="Z185" t="s">
        <v>3355</v>
      </c>
      <c r="AA185" t="s">
        <v>3406</v>
      </c>
      <c r="AB185" t="s">
        <v>3410</v>
      </c>
      <c r="AC185">
        <f>HYPERLINK("https://lsnyc.legalserver.org/matter/dynamic-profile/view/1912752","19-1912752")</f>
        <v>0</v>
      </c>
      <c r="AD185" t="s">
        <v>3444</v>
      </c>
      <c r="AE185" t="s">
        <v>3451</v>
      </c>
      <c r="AF185" t="s">
        <v>3666</v>
      </c>
      <c r="AG185" t="s">
        <v>3355</v>
      </c>
      <c r="AH185" t="s">
        <v>4904</v>
      </c>
      <c r="AI185" t="s">
        <v>4909</v>
      </c>
      <c r="AL185" t="s">
        <v>2117</v>
      </c>
      <c r="AN185" t="s">
        <v>3410</v>
      </c>
      <c r="AO185" t="s">
        <v>3353</v>
      </c>
    </row>
    <row r="186" spans="1:41">
      <c r="A186" s="1" t="s">
        <v>222</v>
      </c>
      <c r="B186" t="s">
        <v>2000</v>
      </c>
      <c r="C186" t="s">
        <v>2012</v>
      </c>
      <c r="D186" t="s">
        <v>2058</v>
      </c>
      <c r="E186" t="s">
        <v>2112</v>
      </c>
      <c r="F186" t="s">
        <v>2115</v>
      </c>
      <c r="G186" t="s">
        <v>2212</v>
      </c>
      <c r="H186">
        <v>11368</v>
      </c>
      <c r="I186" t="s">
        <v>2229</v>
      </c>
      <c r="J186">
        <v>2</v>
      </c>
      <c r="K186">
        <v>1</v>
      </c>
      <c r="L186" t="s">
        <v>2331</v>
      </c>
      <c r="M186" t="s">
        <v>2677</v>
      </c>
      <c r="P186" t="s">
        <v>2731</v>
      </c>
      <c r="Q186" t="s">
        <v>3257</v>
      </c>
      <c r="R186" t="s">
        <v>3259</v>
      </c>
      <c r="S186" t="s">
        <v>3272</v>
      </c>
      <c r="X186" t="s">
        <v>3354</v>
      </c>
      <c r="Y186" t="s">
        <v>2678</v>
      </c>
      <c r="Z186" t="s">
        <v>3364</v>
      </c>
      <c r="AB186" t="s">
        <v>3420</v>
      </c>
      <c r="AC186">
        <f>HYPERLINK("https://lsnyc.legalserver.org/matter/dynamic-profile/view/1912761","19-1912761")</f>
        <v>0</v>
      </c>
      <c r="AD186" t="s">
        <v>3443</v>
      </c>
      <c r="AE186" t="s">
        <v>3472</v>
      </c>
      <c r="AF186" t="s">
        <v>3667</v>
      </c>
      <c r="AG186" t="s">
        <v>3364</v>
      </c>
      <c r="AI186" t="s">
        <v>4909</v>
      </c>
      <c r="AL186" t="s">
        <v>2115</v>
      </c>
      <c r="AN186" t="s">
        <v>3420</v>
      </c>
    </row>
    <row r="187" spans="1:41">
      <c r="A187" s="1" t="s">
        <v>223</v>
      </c>
      <c r="B187" t="s">
        <v>2000</v>
      </c>
      <c r="C187" t="s">
        <v>1998</v>
      </c>
      <c r="D187" t="s">
        <v>2058</v>
      </c>
      <c r="E187" t="s">
        <v>2112</v>
      </c>
      <c r="F187" t="s">
        <v>2115</v>
      </c>
      <c r="G187" t="s">
        <v>2212</v>
      </c>
      <c r="H187">
        <v>11435</v>
      </c>
      <c r="I187" t="s">
        <v>2229</v>
      </c>
      <c r="J187">
        <v>4</v>
      </c>
      <c r="K187">
        <v>3</v>
      </c>
      <c r="L187" t="s">
        <v>2301</v>
      </c>
      <c r="M187" t="s">
        <v>2677</v>
      </c>
      <c r="P187" t="s">
        <v>2732</v>
      </c>
      <c r="Q187" t="s">
        <v>2113</v>
      </c>
      <c r="R187" t="s">
        <v>3258</v>
      </c>
      <c r="S187" t="s">
        <v>3269</v>
      </c>
      <c r="V187" t="s">
        <v>3353</v>
      </c>
      <c r="X187" t="s">
        <v>3354</v>
      </c>
      <c r="Y187" t="s">
        <v>2678</v>
      </c>
      <c r="Z187" t="s">
        <v>3361</v>
      </c>
      <c r="AA187" t="s">
        <v>3406</v>
      </c>
      <c r="AB187" t="s">
        <v>3417</v>
      </c>
      <c r="AC187">
        <f>HYPERLINK("https://lsnyc.legalserver.org/matter/dynamic-profile/view/1912388","19-1912388")</f>
        <v>0</v>
      </c>
      <c r="AD187" t="s">
        <v>3443</v>
      </c>
      <c r="AE187" t="s">
        <v>3450</v>
      </c>
      <c r="AF187" t="s">
        <v>3668</v>
      </c>
      <c r="AG187" t="s">
        <v>3361</v>
      </c>
      <c r="AH187" t="s">
        <v>4904</v>
      </c>
      <c r="AL187" t="s">
        <v>2115</v>
      </c>
      <c r="AN187" t="s">
        <v>3417</v>
      </c>
      <c r="AO187" t="s">
        <v>3353</v>
      </c>
    </row>
    <row r="188" spans="1:41">
      <c r="A188" s="1" t="s">
        <v>224</v>
      </c>
      <c r="B188" t="s">
        <v>2002</v>
      </c>
      <c r="C188" t="s">
        <v>2009</v>
      </c>
      <c r="D188" t="s">
        <v>2078</v>
      </c>
      <c r="E188" t="s">
        <v>2111</v>
      </c>
      <c r="F188" t="s">
        <v>2117</v>
      </c>
      <c r="G188" t="s">
        <v>2213</v>
      </c>
      <c r="H188">
        <v>10456</v>
      </c>
      <c r="I188" t="s">
        <v>2230</v>
      </c>
      <c r="J188">
        <v>6</v>
      </c>
      <c r="K188">
        <v>4</v>
      </c>
      <c r="L188" t="s">
        <v>2306</v>
      </c>
      <c r="M188" t="s">
        <v>2677</v>
      </c>
      <c r="P188" t="s">
        <v>2733</v>
      </c>
      <c r="Q188" t="s">
        <v>3257</v>
      </c>
      <c r="R188" t="s">
        <v>3258</v>
      </c>
      <c r="S188" t="s">
        <v>3273</v>
      </c>
      <c r="X188" t="s">
        <v>3354</v>
      </c>
      <c r="Y188" t="s">
        <v>2678</v>
      </c>
      <c r="Z188" t="s">
        <v>3370</v>
      </c>
      <c r="AB188" t="s">
        <v>3421</v>
      </c>
      <c r="AC188">
        <f>HYPERLINK("https://lsnyc.legalserver.org/matter/dynamic-profile/view/1912408","19-1912408")</f>
        <v>0</v>
      </c>
      <c r="AD188" t="s">
        <v>3444</v>
      </c>
      <c r="AE188" t="s">
        <v>3474</v>
      </c>
      <c r="AF188" t="s">
        <v>3669</v>
      </c>
      <c r="AG188" t="s">
        <v>3370</v>
      </c>
      <c r="AI188" t="s">
        <v>4909</v>
      </c>
      <c r="AL188" t="s">
        <v>2117</v>
      </c>
      <c r="AN188" t="s">
        <v>3421</v>
      </c>
    </row>
    <row r="189" spans="1:41">
      <c r="A189" s="1" t="s">
        <v>225</v>
      </c>
      <c r="B189" t="s">
        <v>2001</v>
      </c>
      <c r="C189" t="s">
        <v>2009</v>
      </c>
      <c r="D189" t="s">
        <v>2068</v>
      </c>
      <c r="E189" t="s">
        <v>2112</v>
      </c>
      <c r="F189" t="s">
        <v>2139</v>
      </c>
      <c r="G189" t="s">
        <v>2213</v>
      </c>
      <c r="H189">
        <v>10451</v>
      </c>
      <c r="I189" t="s">
        <v>2230</v>
      </c>
      <c r="J189">
        <v>2</v>
      </c>
      <c r="K189">
        <v>0</v>
      </c>
      <c r="L189" t="s">
        <v>2332</v>
      </c>
      <c r="M189" t="s">
        <v>2678</v>
      </c>
      <c r="P189" t="s">
        <v>2733</v>
      </c>
      <c r="Q189" t="s">
        <v>3257</v>
      </c>
      <c r="R189" t="s">
        <v>3258</v>
      </c>
      <c r="S189" t="s">
        <v>3273</v>
      </c>
      <c r="X189" t="s">
        <v>3354</v>
      </c>
      <c r="Y189" t="s">
        <v>2678</v>
      </c>
      <c r="Z189" t="s">
        <v>3370</v>
      </c>
      <c r="AB189" t="s">
        <v>3421</v>
      </c>
      <c r="AC189">
        <f>HYPERLINK("https://lsnyc.legalserver.org/matter/dynamic-profile/view/1912447","19-1912447")</f>
        <v>0</v>
      </c>
      <c r="AD189" t="s">
        <v>3444</v>
      </c>
      <c r="AE189" t="s">
        <v>3475</v>
      </c>
      <c r="AF189" t="s">
        <v>3670</v>
      </c>
      <c r="AG189" t="s">
        <v>3370</v>
      </c>
      <c r="AI189" t="s">
        <v>4909</v>
      </c>
      <c r="AL189" t="s">
        <v>2139</v>
      </c>
      <c r="AN189" t="s">
        <v>3421</v>
      </c>
    </row>
    <row r="190" spans="1:41">
      <c r="A190" s="1" t="s">
        <v>226</v>
      </c>
      <c r="B190" t="s">
        <v>2001</v>
      </c>
      <c r="C190" t="s">
        <v>2000</v>
      </c>
      <c r="D190" t="s">
        <v>2081</v>
      </c>
      <c r="E190" t="s">
        <v>2111</v>
      </c>
      <c r="F190" t="s">
        <v>2131</v>
      </c>
      <c r="G190" t="s">
        <v>2214</v>
      </c>
      <c r="H190">
        <v>11220</v>
      </c>
      <c r="I190" t="s">
        <v>2229</v>
      </c>
      <c r="J190">
        <v>1</v>
      </c>
      <c r="K190">
        <v>0</v>
      </c>
      <c r="L190" t="s">
        <v>2333</v>
      </c>
      <c r="M190" t="s">
        <v>2677</v>
      </c>
      <c r="P190" t="s">
        <v>2733</v>
      </c>
      <c r="Q190" t="s">
        <v>2113</v>
      </c>
      <c r="X190" t="s">
        <v>3354</v>
      </c>
      <c r="Y190" t="s">
        <v>2677</v>
      </c>
      <c r="AA190" t="s">
        <v>3407</v>
      </c>
      <c r="AB190" t="s">
        <v>3407</v>
      </c>
      <c r="AC190">
        <f>HYPERLINK("https://lsnyc.legalserver.org/matter/dynamic-profile/view/1912505","19-1912505")</f>
        <v>0</v>
      </c>
      <c r="AD190" t="s">
        <v>3445</v>
      </c>
      <c r="AE190" t="s">
        <v>3469</v>
      </c>
      <c r="AF190" t="s">
        <v>3671</v>
      </c>
      <c r="AH190" t="s">
        <v>3407</v>
      </c>
      <c r="AL190" t="s">
        <v>2131</v>
      </c>
      <c r="AN190" t="s">
        <v>3407</v>
      </c>
    </row>
    <row r="191" spans="1:41">
      <c r="A191" s="1" t="s">
        <v>227</v>
      </c>
      <c r="B191" t="s">
        <v>1998</v>
      </c>
      <c r="C191" t="s">
        <v>2000</v>
      </c>
      <c r="D191" t="s">
        <v>2060</v>
      </c>
      <c r="E191" t="s">
        <v>2112</v>
      </c>
      <c r="F191" t="s">
        <v>2120</v>
      </c>
      <c r="G191" t="s">
        <v>2214</v>
      </c>
      <c r="H191">
        <v>11234</v>
      </c>
      <c r="I191" t="s">
        <v>2230</v>
      </c>
      <c r="J191">
        <v>2</v>
      </c>
      <c r="K191">
        <v>1</v>
      </c>
      <c r="L191" t="s">
        <v>2306</v>
      </c>
      <c r="M191" t="s">
        <v>2677</v>
      </c>
      <c r="P191" t="s">
        <v>2733</v>
      </c>
      <c r="Q191" t="s">
        <v>2113</v>
      </c>
      <c r="R191" t="s">
        <v>3258</v>
      </c>
      <c r="S191" t="s">
        <v>3271</v>
      </c>
      <c r="X191" t="s">
        <v>3354</v>
      </c>
      <c r="Y191" t="s">
        <v>2677</v>
      </c>
      <c r="Z191" t="s">
        <v>3362</v>
      </c>
      <c r="AA191" t="s">
        <v>3406</v>
      </c>
      <c r="AB191" t="s">
        <v>3419</v>
      </c>
      <c r="AC191">
        <f>HYPERLINK("https://lsnyc.legalserver.org/matter/dynamic-profile/view/1912507","19-1912507")</f>
        <v>0</v>
      </c>
      <c r="AD191" t="s">
        <v>3445</v>
      </c>
      <c r="AE191" t="s">
        <v>3455</v>
      </c>
      <c r="AF191" t="s">
        <v>3672</v>
      </c>
      <c r="AG191" t="s">
        <v>3362</v>
      </c>
      <c r="AH191" t="s">
        <v>4904</v>
      </c>
      <c r="AL191" t="s">
        <v>2120</v>
      </c>
      <c r="AN191" t="s">
        <v>3419</v>
      </c>
    </row>
    <row r="192" spans="1:41">
      <c r="A192" s="1" t="s">
        <v>228</v>
      </c>
      <c r="B192" t="s">
        <v>2001</v>
      </c>
      <c r="C192" t="s">
        <v>1998</v>
      </c>
      <c r="D192" t="s">
        <v>2031</v>
      </c>
      <c r="E192" t="s">
        <v>2112</v>
      </c>
      <c r="F192" t="s">
        <v>2115</v>
      </c>
      <c r="G192" t="s">
        <v>2213</v>
      </c>
      <c r="H192">
        <v>10453</v>
      </c>
      <c r="I192" t="s">
        <v>2229</v>
      </c>
      <c r="J192">
        <v>4</v>
      </c>
      <c r="K192">
        <v>2</v>
      </c>
      <c r="L192" t="s">
        <v>2256</v>
      </c>
      <c r="M192" t="s">
        <v>2677</v>
      </c>
      <c r="P192" t="s">
        <v>2734</v>
      </c>
      <c r="Q192" t="s">
        <v>3255</v>
      </c>
      <c r="R192" t="s">
        <v>3261</v>
      </c>
      <c r="S192" t="s">
        <v>3283</v>
      </c>
      <c r="X192" t="s">
        <v>3354</v>
      </c>
      <c r="Y192" t="s">
        <v>2678</v>
      </c>
      <c r="Z192" t="s">
        <v>3377</v>
      </c>
      <c r="AA192" t="s">
        <v>3408</v>
      </c>
      <c r="AB192" t="s">
        <v>3431</v>
      </c>
      <c r="AC192">
        <f>HYPERLINK("https://lsnyc.legalserver.org/matter/dynamic-profile/view/1912833","19-1912833")</f>
        <v>0</v>
      </c>
      <c r="AD192" t="s">
        <v>3443</v>
      </c>
      <c r="AE192" t="s">
        <v>3471</v>
      </c>
      <c r="AF192" t="s">
        <v>3673</v>
      </c>
      <c r="AG192" t="s">
        <v>3377</v>
      </c>
      <c r="AH192" t="s">
        <v>3408</v>
      </c>
      <c r="AL192" t="s">
        <v>2115</v>
      </c>
      <c r="AN192" t="s">
        <v>3431</v>
      </c>
    </row>
    <row r="193" spans="1:41">
      <c r="A193" s="1" t="s">
        <v>229</v>
      </c>
      <c r="B193" t="s">
        <v>2002</v>
      </c>
      <c r="C193" t="s">
        <v>2000</v>
      </c>
      <c r="D193" t="s">
        <v>2028</v>
      </c>
      <c r="E193" t="s">
        <v>2111</v>
      </c>
      <c r="F193" t="s">
        <v>2151</v>
      </c>
      <c r="G193" t="s">
        <v>2211</v>
      </c>
      <c r="H193">
        <v>10033</v>
      </c>
      <c r="I193" t="s">
        <v>2230</v>
      </c>
      <c r="J193">
        <v>3</v>
      </c>
      <c r="K193">
        <v>1</v>
      </c>
      <c r="L193" t="s">
        <v>2334</v>
      </c>
      <c r="M193" t="s">
        <v>2678</v>
      </c>
      <c r="P193" t="s">
        <v>2735</v>
      </c>
      <c r="Q193" t="s">
        <v>3257</v>
      </c>
      <c r="R193" t="s">
        <v>3258</v>
      </c>
      <c r="S193" t="s">
        <v>3279</v>
      </c>
      <c r="X193" t="s">
        <v>3354</v>
      </c>
      <c r="Y193" t="s">
        <v>2678</v>
      </c>
      <c r="Z193" t="s">
        <v>3377</v>
      </c>
      <c r="AB193" t="s">
        <v>3427</v>
      </c>
      <c r="AC193">
        <f>HYPERLINK("https://lsnyc.legalserver.org/matter/dynamic-profile/view/1912265","19-1912265")</f>
        <v>0</v>
      </c>
      <c r="AD193" t="s">
        <v>3442</v>
      </c>
      <c r="AE193" t="s">
        <v>3476</v>
      </c>
      <c r="AF193" t="s">
        <v>3674</v>
      </c>
      <c r="AG193" t="s">
        <v>3377</v>
      </c>
      <c r="AI193" t="s">
        <v>4909</v>
      </c>
      <c r="AL193" t="s">
        <v>2151</v>
      </c>
      <c r="AN193" t="s">
        <v>3427</v>
      </c>
    </row>
    <row r="194" spans="1:41">
      <c r="A194" s="1" t="s">
        <v>230</v>
      </c>
      <c r="B194" t="s">
        <v>2016</v>
      </c>
      <c r="C194" t="s">
        <v>2012</v>
      </c>
      <c r="D194" t="s">
        <v>2068</v>
      </c>
      <c r="E194" t="s">
        <v>2111</v>
      </c>
      <c r="F194" t="s">
        <v>2122</v>
      </c>
      <c r="G194" t="s">
        <v>2213</v>
      </c>
      <c r="H194">
        <v>10460</v>
      </c>
      <c r="I194" t="s">
        <v>2230</v>
      </c>
      <c r="J194">
        <v>1</v>
      </c>
      <c r="K194">
        <v>0</v>
      </c>
      <c r="L194" t="s">
        <v>2335</v>
      </c>
      <c r="M194" t="s">
        <v>2677</v>
      </c>
      <c r="P194" t="s">
        <v>2735</v>
      </c>
      <c r="Q194" t="s">
        <v>2113</v>
      </c>
      <c r="X194" t="s">
        <v>3354</v>
      </c>
      <c r="Y194" t="s">
        <v>2677</v>
      </c>
      <c r="AA194" t="s">
        <v>3407</v>
      </c>
      <c r="AB194" t="s">
        <v>3407</v>
      </c>
      <c r="AC194">
        <f>HYPERLINK("https://lsnyc.legalserver.org/matter/dynamic-profile/view/1912305","19-1912305")</f>
        <v>0</v>
      </c>
      <c r="AD194" t="s">
        <v>3445</v>
      </c>
      <c r="AE194" t="s">
        <v>3455</v>
      </c>
      <c r="AF194" t="s">
        <v>3675</v>
      </c>
      <c r="AH194" t="s">
        <v>3407</v>
      </c>
      <c r="AL194" t="s">
        <v>2122</v>
      </c>
      <c r="AN194" t="s">
        <v>3407</v>
      </c>
    </row>
    <row r="195" spans="1:41">
      <c r="A195" s="1" t="s">
        <v>231</v>
      </c>
      <c r="B195" t="s">
        <v>2000</v>
      </c>
      <c r="C195" t="s">
        <v>2016</v>
      </c>
      <c r="D195" t="s">
        <v>2044</v>
      </c>
      <c r="E195" t="s">
        <v>2111</v>
      </c>
      <c r="F195" t="s">
        <v>2123</v>
      </c>
      <c r="G195" t="s">
        <v>2213</v>
      </c>
      <c r="H195">
        <v>10457</v>
      </c>
      <c r="I195" t="s">
        <v>2229</v>
      </c>
      <c r="J195">
        <v>4</v>
      </c>
      <c r="K195">
        <v>1</v>
      </c>
      <c r="L195" t="s">
        <v>2336</v>
      </c>
      <c r="M195" t="s">
        <v>2677</v>
      </c>
      <c r="P195" t="s">
        <v>2735</v>
      </c>
      <c r="Q195" t="s">
        <v>2113</v>
      </c>
      <c r="R195" t="s">
        <v>3258</v>
      </c>
      <c r="S195" t="s">
        <v>3262</v>
      </c>
      <c r="T195" t="s">
        <v>3294</v>
      </c>
      <c r="U195" t="s">
        <v>2718</v>
      </c>
      <c r="V195" t="s">
        <v>3352</v>
      </c>
      <c r="X195" t="s">
        <v>3354</v>
      </c>
      <c r="Y195" t="s">
        <v>2678</v>
      </c>
      <c r="Z195" t="s">
        <v>3355</v>
      </c>
      <c r="AA195" t="s">
        <v>3406</v>
      </c>
      <c r="AB195" t="s">
        <v>3410</v>
      </c>
      <c r="AC195">
        <f>HYPERLINK("https://lsnyc.legalserver.org/matter/dynamic-profile/view/1912367","19-1912367")</f>
        <v>0</v>
      </c>
      <c r="AD195" t="s">
        <v>3442</v>
      </c>
      <c r="AE195" t="s">
        <v>3448</v>
      </c>
      <c r="AF195" t="s">
        <v>3676</v>
      </c>
      <c r="AG195" t="s">
        <v>3355</v>
      </c>
      <c r="AH195" t="s">
        <v>4904</v>
      </c>
      <c r="AL195" t="s">
        <v>2123</v>
      </c>
      <c r="AM195" t="s">
        <v>3294</v>
      </c>
      <c r="AN195" t="s">
        <v>3410</v>
      </c>
      <c r="AO195" t="s">
        <v>3352</v>
      </c>
    </row>
    <row r="196" spans="1:41">
      <c r="A196" s="1" t="s">
        <v>232</v>
      </c>
      <c r="B196" t="s">
        <v>2000</v>
      </c>
      <c r="C196" t="s">
        <v>2001</v>
      </c>
      <c r="D196" t="s">
        <v>2029</v>
      </c>
      <c r="E196" t="s">
        <v>2112</v>
      </c>
      <c r="G196" t="s">
        <v>2212</v>
      </c>
      <c r="H196">
        <v>11377</v>
      </c>
      <c r="I196" t="s">
        <v>2229</v>
      </c>
      <c r="J196">
        <v>2</v>
      </c>
      <c r="K196">
        <v>1</v>
      </c>
      <c r="L196" t="s">
        <v>2302</v>
      </c>
      <c r="M196" t="s">
        <v>2677</v>
      </c>
      <c r="P196" t="s">
        <v>2735</v>
      </c>
      <c r="Q196" t="s">
        <v>3255</v>
      </c>
      <c r="R196" t="s">
        <v>3259</v>
      </c>
      <c r="S196" t="s">
        <v>3264</v>
      </c>
      <c r="X196" t="s">
        <v>3354</v>
      </c>
      <c r="Y196" t="s">
        <v>2678</v>
      </c>
      <c r="Z196" t="s">
        <v>3357</v>
      </c>
      <c r="AB196" t="s">
        <v>3412</v>
      </c>
      <c r="AC196">
        <f>HYPERLINK("https://lsnyc.legalserver.org/matter/dynamic-profile/view/1912569","19-1912569")</f>
        <v>0</v>
      </c>
      <c r="AD196" t="s">
        <v>3443</v>
      </c>
      <c r="AE196" t="s">
        <v>3471</v>
      </c>
      <c r="AF196" t="s">
        <v>3677</v>
      </c>
      <c r="AG196" t="s">
        <v>3357</v>
      </c>
      <c r="AI196" t="s">
        <v>4909</v>
      </c>
      <c r="AN196" t="s">
        <v>3412</v>
      </c>
    </row>
    <row r="197" spans="1:41">
      <c r="A197" s="1" t="s">
        <v>233</v>
      </c>
      <c r="B197" t="s">
        <v>2000</v>
      </c>
      <c r="C197" t="s">
        <v>2000</v>
      </c>
      <c r="D197" t="s">
        <v>2039</v>
      </c>
      <c r="E197" t="s">
        <v>2112</v>
      </c>
      <c r="F197" t="s">
        <v>2135</v>
      </c>
      <c r="G197" t="s">
        <v>2212</v>
      </c>
      <c r="H197">
        <v>11373</v>
      </c>
      <c r="I197" t="s">
        <v>2229</v>
      </c>
      <c r="J197">
        <v>1</v>
      </c>
      <c r="K197">
        <v>0</v>
      </c>
      <c r="L197" t="s">
        <v>2321</v>
      </c>
      <c r="M197" t="s">
        <v>2677</v>
      </c>
      <c r="P197" t="s">
        <v>2735</v>
      </c>
      <c r="Q197" t="s">
        <v>3255</v>
      </c>
      <c r="R197" t="s">
        <v>3259</v>
      </c>
      <c r="S197" t="s">
        <v>3264</v>
      </c>
      <c r="X197" t="s">
        <v>3354</v>
      </c>
      <c r="Y197" t="s">
        <v>2678</v>
      </c>
      <c r="Z197" t="s">
        <v>3357</v>
      </c>
      <c r="AB197" t="s">
        <v>3412</v>
      </c>
      <c r="AC197">
        <f>HYPERLINK("https://lsnyc.legalserver.org/matter/dynamic-profile/view/1912577","19-1912577")</f>
        <v>0</v>
      </c>
      <c r="AD197" t="s">
        <v>3443</v>
      </c>
      <c r="AE197" t="s">
        <v>3471</v>
      </c>
      <c r="AF197" t="s">
        <v>3678</v>
      </c>
      <c r="AG197" t="s">
        <v>3357</v>
      </c>
      <c r="AI197" t="s">
        <v>4909</v>
      </c>
      <c r="AL197" t="s">
        <v>2135</v>
      </c>
      <c r="AN197" t="s">
        <v>3412</v>
      </c>
    </row>
    <row r="198" spans="1:41">
      <c r="A198" s="1" t="s">
        <v>234</v>
      </c>
      <c r="B198" t="s">
        <v>1998</v>
      </c>
      <c r="C198" t="s">
        <v>2005</v>
      </c>
      <c r="D198" t="s">
        <v>2055</v>
      </c>
      <c r="E198" t="s">
        <v>2113</v>
      </c>
      <c r="F198" t="s">
        <v>2135</v>
      </c>
      <c r="G198" t="s">
        <v>2211</v>
      </c>
      <c r="H198">
        <v>10036</v>
      </c>
      <c r="I198" t="s">
        <v>2229</v>
      </c>
      <c r="J198">
        <v>1</v>
      </c>
      <c r="K198">
        <v>0</v>
      </c>
      <c r="L198" t="s">
        <v>2337</v>
      </c>
      <c r="M198" t="s">
        <v>2677</v>
      </c>
      <c r="P198" t="s">
        <v>2736</v>
      </c>
      <c r="Q198" t="s">
        <v>2113</v>
      </c>
      <c r="X198" t="s">
        <v>3354</v>
      </c>
      <c r="Y198" t="s">
        <v>2677</v>
      </c>
      <c r="Z198" t="s">
        <v>3368</v>
      </c>
      <c r="AA198" t="s">
        <v>3407</v>
      </c>
      <c r="AB198" t="s">
        <v>3407</v>
      </c>
      <c r="AC198">
        <f>HYPERLINK("https://lsnyc.legalserver.org/matter/dynamic-profile/view/1911909","19-1911909")</f>
        <v>0</v>
      </c>
      <c r="AD198" t="s">
        <v>3445</v>
      </c>
      <c r="AE198" t="s">
        <v>3461</v>
      </c>
      <c r="AF198" t="s">
        <v>3679</v>
      </c>
      <c r="AG198" t="s">
        <v>3368</v>
      </c>
      <c r="AH198" t="s">
        <v>3407</v>
      </c>
      <c r="AL198" t="s">
        <v>2135</v>
      </c>
      <c r="AN198" t="s">
        <v>3407</v>
      </c>
    </row>
    <row r="199" spans="1:41">
      <c r="A199" s="1" t="s">
        <v>235</v>
      </c>
      <c r="B199" t="s">
        <v>2000</v>
      </c>
      <c r="C199" t="s">
        <v>2016</v>
      </c>
      <c r="D199" t="s">
        <v>2039</v>
      </c>
      <c r="E199" t="s">
        <v>2113</v>
      </c>
      <c r="F199" t="s">
        <v>2122</v>
      </c>
      <c r="G199" t="s">
        <v>2211</v>
      </c>
      <c r="H199">
        <v>10032</v>
      </c>
      <c r="I199" t="s">
        <v>2230</v>
      </c>
      <c r="J199">
        <v>1</v>
      </c>
      <c r="K199">
        <v>0</v>
      </c>
      <c r="L199" t="s">
        <v>2260</v>
      </c>
      <c r="M199" t="s">
        <v>2677</v>
      </c>
      <c r="P199" t="s">
        <v>2736</v>
      </c>
      <c r="Q199" t="s">
        <v>2113</v>
      </c>
      <c r="X199" t="s">
        <v>3354</v>
      </c>
      <c r="Y199" t="s">
        <v>2677</v>
      </c>
      <c r="Z199" t="s">
        <v>3368</v>
      </c>
      <c r="AA199" t="s">
        <v>3407</v>
      </c>
      <c r="AB199" t="s">
        <v>3407</v>
      </c>
      <c r="AC199">
        <f>HYPERLINK("https://lsnyc.legalserver.org/matter/dynamic-profile/view/1911910","19-1911910")</f>
        <v>0</v>
      </c>
      <c r="AD199" t="s">
        <v>3445</v>
      </c>
      <c r="AE199" t="s">
        <v>3469</v>
      </c>
      <c r="AF199" t="s">
        <v>3680</v>
      </c>
      <c r="AG199" t="s">
        <v>3368</v>
      </c>
      <c r="AH199" t="s">
        <v>3407</v>
      </c>
      <c r="AL199" t="s">
        <v>2122</v>
      </c>
      <c r="AN199" t="s">
        <v>3407</v>
      </c>
    </row>
    <row r="200" spans="1:41">
      <c r="A200" s="1" t="s">
        <v>236</v>
      </c>
      <c r="B200" t="s">
        <v>2002</v>
      </c>
      <c r="C200" t="s">
        <v>2012</v>
      </c>
      <c r="D200" t="s">
        <v>2060</v>
      </c>
      <c r="E200" t="s">
        <v>2111</v>
      </c>
      <c r="F200" t="s">
        <v>2152</v>
      </c>
      <c r="G200" t="s">
        <v>2211</v>
      </c>
      <c r="H200">
        <v>10001</v>
      </c>
      <c r="I200" t="s">
        <v>2229</v>
      </c>
      <c r="J200">
        <v>1</v>
      </c>
      <c r="K200">
        <v>0</v>
      </c>
      <c r="L200" t="s">
        <v>2338</v>
      </c>
      <c r="M200" t="s">
        <v>2677</v>
      </c>
      <c r="P200" t="s">
        <v>2736</v>
      </c>
      <c r="Q200" t="s">
        <v>2113</v>
      </c>
      <c r="X200" t="s">
        <v>3354</v>
      </c>
      <c r="Y200" t="s">
        <v>2677</v>
      </c>
      <c r="AA200" t="s">
        <v>3407</v>
      </c>
      <c r="AB200" t="s">
        <v>3407</v>
      </c>
      <c r="AC200">
        <f>HYPERLINK("https://lsnyc.legalserver.org/matter/dynamic-profile/view/1912189","19-1912189")</f>
        <v>0</v>
      </c>
      <c r="AD200" t="s">
        <v>3445</v>
      </c>
      <c r="AE200" t="s">
        <v>3461</v>
      </c>
      <c r="AF200" t="s">
        <v>3681</v>
      </c>
      <c r="AH200" t="s">
        <v>3407</v>
      </c>
      <c r="AL200" t="s">
        <v>2152</v>
      </c>
      <c r="AN200" t="s">
        <v>3407</v>
      </c>
    </row>
    <row r="201" spans="1:41">
      <c r="A201" s="1" t="s">
        <v>237</v>
      </c>
      <c r="B201" t="s">
        <v>2004</v>
      </c>
      <c r="C201" t="s">
        <v>2000</v>
      </c>
      <c r="D201" t="s">
        <v>2083</v>
      </c>
      <c r="E201" t="s">
        <v>2111</v>
      </c>
      <c r="F201" t="s">
        <v>2153</v>
      </c>
      <c r="G201" t="s">
        <v>2214</v>
      </c>
      <c r="H201">
        <v>11226</v>
      </c>
      <c r="I201" t="s">
        <v>2230</v>
      </c>
      <c r="J201">
        <v>1</v>
      </c>
      <c r="K201">
        <v>0</v>
      </c>
      <c r="L201" t="s">
        <v>2260</v>
      </c>
      <c r="M201" t="s">
        <v>2677</v>
      </c>
      <c r="P201" t="s">
        <v>2718</v>
      </c>
      <c r="Q201" t="s">
        <v>2113</v>
      </c>
      <c r="R201" t="s">
        <v>3259</v>
      </c>
      <c r="S201" t="s">
        <v>3270</v>
      </c>
      <c r="V201" t="s">
        <v>3352</v>
      </c>
      <c r="X201" t="s">
        <v>3354</v>
      </c>
      <c r="Y201" t="s">
        <v>2677</v>
      </c>
      <c r="Z201" t="s">
        <v>3368</v>
      </c>
      <c r="AA201" t="s">
        <v>3406</v>
      </c>
      <c r="AB201" t="s">
        <v>3418</v>
      </c>
      <c r="AC201">
        <f>HYPERLINK("https://lsnyc.legalserver.org/matter/dynamic-profile/view/1912232","19-1912232")</f>
        <v>0</v>
      </c>
      <c r="AD201" t="s">
        <v>3445</v>
      </c>
      <c r="AE201" t="s">
        <v>3452</v>
      </c>
      <c r="AF201" t="s">
        <v>3682</v>
      </c>
      <c r="AG201" t="s">
        <v>3368</v>
      </c>
      <c r="AH201" t="s">
        <v>4904</v>
      </c>
      <c r="AL201" t="s">
        <v>2153</v>
      </c>
      <c r="AN201" t="s">
        <v>3418</v>
      </c>
      <c r="AO201" t="s">
        <v>3352</v>
      </c>
    </row>
    <row r="202" spans="1:41">
      <c r="A202" s="1" t="s">
        <v>238</v>
      </c>
      <c r="B202" t="s">
        <v>2005</v>
      </c>
      <c r="C202" t="s">
        <v>2001</v>
      </c>
      <c r="D202" t="s">
        <v>2057</v>
      </c>
      <c r="E202" t="s">
        <v>2112</v>
      </c>
      <c r="F202" t="s">
        <v>2123</v>
      </c>
      <c r="G202" t="s">
        <v>2213</v>
      </c>
      <c r="H202">
        <v>10456</v>
      </c>
      <c r="I202" t="s">
        <v>2229</v>
      </c>
      <c r="J202">
        <v>4</v>
      </c>
      <c r="K202">
        <v>3</v>
      </c>
      <c r="L202" t="s">
        <v>2339</v>
      </c>
      <c r="M202" t="s">
        <v>2677</v>
      </c>
      <c r="P202" t="s">
        <v>2736</v>
      </c>
      <c r="Q202" t="s">
        <v>2113</v>
      </c>
      <c r="V202" t="s">
        <v>3352</v>
      </c>
      <c r="X202" t="s">
        <v>3354</v>
      </c>
      <c r="Y202" t="s">
        <v>2677</v>
      </c>
      <c r="AA202" t="s">
        <v>3407</v>
      </c>
      <c r="AB202" t="s">
        <v>3407</v>
      </c>
      <c r="AC202">
        <f>HYPERLINK("https://lsnyc.legalserver.org/matter/dynamic-profile/view/1912245","19-1912245")</f>
        <v>0</v>
      </c>
      <c r="AD202" t="s">
        <v>3445</v>
      </c>
      <c r="AE202" t="s">
        <v>3469</v>
      </c>
      <c r="AF202" t="s">
        <v>3683</v>
      </c>
      <c r="AH202" t="s">
        <v>3407</v>
      </c>
      <c r="AL202" t="s">
        <v>2123</v>
      </c>
      <c r="AN202" t="s">
        <v>3407</v>
      </c>
      <c r="AO202" t="s">
        <v>3352</v>
      </c>
    </row>
    <row r="203" spans="1:41">
      <c r="A203" s="1" t="s">
        <v>239</v>
      </c>
      <c r="B203" t="s">
        <v>2016</v>
      </c>
      <c r="C203" t="s">
        <v>2004</v>
      </c>
      <c r="D203" t="s">
        <v>2039</v>
      </c>
      <c r="E203" t="s">
        <v>2111</v>
      </c>
      <c r="F203" t="s">
        <v>2154</v>
      </c>
      <c r="G203" t="s">
        <v>2212</v>
      </c>
      <c r="H203">
        <v>11358</v>
      </c>
      <c r="I203" t="s">
        <v>2241</v>
      </c>
      <c r="J203">
        <v>4</v>
      </c>
      <c r="K203">
        <v>2</v>
      </c>
      <c r="L203" t="s">
        <v>2340</v>
      </c>
      <c r="M203" t="s">
        <v>2677</v>
      </c>
      <c r="P203" t="s">
        <v>2736</v>
      </c>
      <c r="Q203" t="s">
        <v>3255</v>
      </c>
      <c r="R203" t="s">
        <v>3259</v>
      </c>
      <c r="S203" t="s">
        <v>3270</v>
      </c>
      <c r="V203" t="s">
        <v>3352</v>
      </c>
      <c r="X203" t="s">
        <v>3354</v>
      </c>
      <c r="Y203" t="s">
        <v>2678</v>
      </c>
      <c r="Z203" t="s">
        <v>3355</v>
      </c>
      <c r="AA203" t="s">
        <v>3406</v>
      </c>
      <c r="AB203" t="s">
        <v>3418</v>
      </c>
      <c r="AC203">
        <f>HYPERLINK("https://lsnyc.legalserver.org/matter/dynamic-profile/view/1912281","19-1912281")</f>
        <v>0</v>
      </c>
      <c r="AD203" t="s">
        <v>3443</v>
      </c>
      <c r="AE203" t="s">
        <v>3449</v>
      </c>
      <c r="AF203" t="s">
        <v>3684</v>
      </c>
      <c r="AG203" t="s">
        <v>3355</v>
      </c>
      <c r="AH203" t="s">
        <v>4904</v>
      </c>
      <c r="AL203" t="s">
        <v>2154</v>
      </c>
      <c r="AN203" t="s">
        <v>3418</v>
      </c>
      <c r="AO203" t="s">
        <v>3352</v>
      </c>
    </row>
    <row r="204" spans="1:41">
      <c r="A204" s="1" t="s">
        <v>240</v>
      </c>
      <c r="B204" t="s">
        <v>1998</v>
      </c>
      <c r="C204" t="s">
        <v>2001</v>
      </c>
      <c r="D204" t="s">
        <v>2076</v>
      </c>
      <c r="E204" t="s">
        <v>2112</v>
      </c>
      <c r="F204" t="s">
        <v>2117</v>
      </c>
      <c r="G204" t="s">
        <v>2212</v>
      </c>
      <c r="H204">
        <v>11385</v>
      </c>
      <c r="J204">
        <v>3</v>
      </c>
      <c r="K204">
        <v>2</v>
      </c>
      <c r="L204" t="s">
        <v>2260</v>
      </c>
      <c r="M204" t="s">
        <v>2677</v>
      </c>
      <c r="P204" t="s">
        <v>2737</v>
      </c>
      <c r="Q204" t="s">
        <v>3255</v>
      </c>
      <c r="R204" t="s">
        <v>3259</v>
      </c>
      <c r="S204" t="s">
        <v>3267</v>
      </c>
      <c r="X204" t="s">
        <v>3354</v>
      </c>
      <c r="Y204" t="s">
        <v>2678</v>
      </c>
      <c r="Z204" t="s">
        <v>3359</v>
      </c>
      <c r="AB204" t="s">
        <v>3415</v>
      </c>
      <c r="AC204">
        <f>HYPERLINK("https://lsnyc.legalserver.org/matter/dynamic-profile/view/1912055","19-1912055")</f>
        <v>0</v>
      </c>
      <c r="AD204" t="s">
        <v>3446</v>
      </c>
      <c r="AE204" t="s">
        <v>3465</v>
      </c>
      <c r="AF204" t="s">
        <v>3685</v>
      </c>
      <c r="AG204" t="s">
        <v>3359</v>
      </c>
      <c r="AI204" t="s">
        <v>4909</v>
      </c>
      <c r="AL204" t="s">
        <v>2117</v>
      </c>
      <c r="AN204" t="s">
        <v>3415</v>
      </c>
    </row>
    <row r="205" spans="1:41">
      <c r="A205" s="1" t="s">
        <v>241</v>
      </c>
      <c r="B205" t="s">
        <v>2009</v>
      </c>
      <c r="C205" t="s">
        <v>2000</v>
      </c>
      <c r="D205" t="s">
        <v>2075</v>
      </c>
      <c r="E205" t="s">
        <v>2112</v>
      </c>
      <c r="F205" t="s">
        <v>2117</v>
      </c>
      <c r="G205" t="s">
        <v>2212</v>
      </c>
      <c r="H205">
        <v>11385</v>
      </c>
      <c r="I205" t="s">
        <v>2229</v>
      </c>
      <c r="J205">
        <v>3</v>
      </c>
      <c r="K205">
        <v>2</v>
      </c>
      <c r="L205" t="s">
        <v>2260</v>
      </c>
      <c r="M205" t="s">
        <v>2677</v>
      </c>
      <c r="P205" t="s">
        <v>2737</v>
      </c>
      <c r="Q205" t="s">
        <v>3255</v>
      </c>
      <c r="R205" t="s">
        <v>3259</v>
      </c>
      <c r="S205" t="s">
        <v>3267</v>
      </c>
      <c r="X205" t="s">
        <v>3354</v>
      </c>
      <c r="Y205" t="s">
        <v>2678</v>
      </c>
      <c r="Z205" t="s">
        <v>3359</v>
      </c>
      <c r="AB205" t="s">
        <v>3415</v>
      </c>
      <c r="AC205">
        <f>HYPERLINK("https://lsnyc.legalserver.org/matter/dynamic-profile/view/1912061","19-1912061")</f>
        <v>0</v>
      </c>
      <c r="AD205" t="s">
        <v>3446</v>
      </c>
      <c r="AE205" t="s">
        <v>3465</v>
      </c>
      <c r="AF205" t="s">
        <v>3686</v>
      </c>
      <c r="AG205" t="s">
        <v>3359</v>
      </c>
      <c r="AI205" t="s">
        <v>4909</v>
      </c>
      <c r="AL205" t="s">
        <v>2117</v>
      </c>
      <c r="AN205" t="s">
        <v>3415</v>
      </c>
    </row>
    <row r="206" spans="1:41">
      <c r="A206" s="1" t="s">
        <v>242</v>
      </c>
      <c r="B206" t="s">
        <v>2001</v>
      </c>
      <c r="C206" t="s">
        <v>2000</v>
      </c>
      <c r="D206" t="s">
        <v>2067</v>
      </c>
      <c r="E206" t="s">
        <v>2111</v>
      </c>
      <c r="G206" t="s">
        <v>2213</v>
      </c>
      <c r="H206">
        <v>10460</v>
      </c>
      <c r="I206" t="s">
        <v>2229</v>
      </c>
      <c r="J206">
        <v>4</v>
      </c>
      <c r="K206">
        <v>2</v>
      </c>
      <c r="L206" t="s">
        <v>2331</v>
      </c>
      <c r="M206" t="s">
        <v>2677</v>
      </c>
      <c r="P206" t="s">
        <v>2737</v>
      </c>
      <c r="Q206" t="s">
        <v>3255</v>
      </c>
      <c r="R206" t="s">
        <v>3258</v>
      </c>
      <c r="S206" t="s">
        <v>3262</v>
      </c>
      <c r="X206" t="s">
        <v>3354</v>
      </c>
      <c r="Y206" t="s">
        <v>2678</v>
      </c>
      <c r="Z206" t="s">
        <v>3355</v>
      </c>
      <c r="AB206" t="s">
        <v>3410</v>
      </c>
      <c r="AC206">
        <f>HYPERLINK("https://lsnyc.legalserver.org/matter/dynamic-profile/view/1912087","19-1912087")</f>
        <v>0</v>
      </c>
      <c r="AD206" t="s">
        <v>3444</v>
      </c>
      <c r="AE206" t="s">
        <v>3468</v>
      </c>
      <c r="AF206" t="s">
        <v>3687</v>
      </c>
      <c r="AG206" t="s">
        <v>3355</v>
      </c>
      <c r="AI206" t="s">
        <v>4909</v>
      </c>
      <c r="AN206" t="s">
        <v>3410</v>
      </c>
    </row>
    <row r="207" spans="1:41">
      <c r="A207" s="1" t="s">
        <v>243</v>
      </c>
      <c r="B207" t="s">
        <v>1998</v>
      </c>
      <c r="C207" t="s">
        <v>1998</v>
      </c>
      <c r="D207" t="s">
        <v>2031</v>
      </c>
      <c r="E207" t="s">
        <v>2112</v>
      </c>
      <c r="F207" t="s">
        <v>2129</v>
      </c>
      <c r="G207" t="s">
        <v>2214</v>
      </c>
      <c r="H207">
        <v>11214</v>
      </c>
      <c r="I207" t="s">
        <v>2232</v>
      </c>
      <c r="J207">
        <v>5</v>
      </c>
      <c r="K207">
        <v>3</v>
      </c>
      <c r="L207" t="s">
        <v>2260</v>
      </c>
      <c r="M207" t="s">
        <v>2677</v>
      </c>
      <c r="P207" t="s">
        <v>2737</v>
      </c>
      <c r="Q207" t="s">
        <v>3255</v>
      </c>
      <c r="R207" t="s">
        <v>3258</v>
      </c>
      <c r="S207" t="s">
        <v>3262</v>
      </c>
      <c r="X207" t="s">
        <v>3354</v>
      </c>
      <c r="Y207" t="s">
        <v>2678</v>
      </c>
      <c r="Z207" t="s">
        <v>3355</v>
      </c>
      <c r="AB207" t="s">
        <v>3410</v>
      </c>
      <c r="AC207">
        <f>HYPERLINK("https://lsnyc.legalserver.org/matter/dynamic-profile/view/1912396","19-1912396")</f>
        <v>0</v>
      </c>
      <c r="AD207" t="s">
        <v>3447</v>
      </c>
      <c r="AE207" t="s">
        <v>3459</v>
      </c>
      <c r="AF207" t="s">
        <v>3688</v>
      </c>
      <c r="AG207" t="s">
        <v>3355</v>
      </c>
      <c r="AI207" t="s">
        <v>4909</v>
      </c>
      <c r="AL207" t="s">
        <v>2129</v>
      </c>
      <c r="AN207" t="s">
        <v>3410</v>
      </c>
    </row>
    <row r="208" spans="1:41">
      <c r="A208" s="1" t="s">
        <v>244</v>
      </c>
      <c r="B208" t="s">
        <v>1998</v>
      </c>
      <c r="C208" t="s">
        <v>2009</v>
      </c>
      <c r="D208" t="s">
        <v>2031</v>
      </c>
      <c r="E208" t="s">
        <v>2112</v>
      </c>
      <c r="G208" t="s">
        <v>2214</v>
      </c>
      <c r="H208">
        <v>11214</v>
      </c>
      <c r="I208" t="s">
        <v>2232</v>
      </c>
      <c r="J208">
        <v>5</v>
      </c>
      <c r="K208">
        <v>3</v>
      </c>
      <c r="L208" t="s">
        <v>2260</v>
      </c>
      <c r="M208" t="s">
        <v>2677</v>
      </c>
      <c r="P208" t="s">
        <v>2737</v>
      </c>
      <c r="Q208" t="s">
        <v>3255</v>
      </c>
      <c r="R208" t="s">
        <v>3258</v>
      </c>
      <c r="S208" t="s">
        <v>3262</v>
      </c>
      <c r="X208" t="s">
        <v>3354</v>
      </c>
      <c r="Y208" t="s">
        <v>2678</v>
      </c>
      <c r="Z208" t="s">
        <v>3355</v>
      </c>
      <c r="AB208" t="s">
        <v>3410</v>
      </c>
      <c r="AC208">
        <f>HYPERLINK("https://lsnyc.legalserver.org/matter/dynamic-profile/view/1912400","19-1912400")</f>
        <v>0</v>
      </c>
      <c r="AD208" t="s">
        <v>3447</v>
      </c>
      <c r="AE208" t="s">
        <v>3459</v>
      </c>
      <c r="AF208" t="s">
        <v>3689</v>
      </c>
      <c r="AG208" t="s">
        <v>3355</v>
      </c>
      <c r="AI208" t="s">
        <v>4909</v>
      </c>
      <c r="AN208" t="s">
        <v>3410</v>
      </c>
    </row>
    <row r="209" spans="1:41">
      <c r="A209" s="1" t="s">
        <v>245</v>
      </c>
      <c r="B209" t="s">
        <v>1998</v>
      </c>
      <c r="C209" t="s">
        <v>1998</v>
      </c>
      <c r="D209" t="s">
        <v>2091</v>
      </c>
      <c r="E209" t="s">
        <v>2112</v>
      </c>
      <c r="G209" t="s">
        <v>2214</v>
      </c>
      <c r="H209">
        <v>11214</v>
      </c>
      <c r="I209" t="s">
        <v>2232</v>
      </c>
      <c r="J209">
        <v>5</v>
      </c>
      <c r="K209">
        <v>3</v>
      </c>
      <c r="L209" t="s">
        <v>2260</v>
      </c>
      <c r="M209" t="s">
        <v>2677</v>
      </c>
      <c r="P209" t="s">
        <v>2737</v>
      </c>
      <c r="Q209" t="s">
        <v>3255</v>
      </c>
      <c r="R209" t="s">
        <v>3260</v>
      </c>
      <c r="S209" t="s">
        <v>3266</v>
      </c>
      <c r="X209" t="s">
        <v>3354</v>
      </c>
      <c r="Y209" t="s">
        <v>2678</v>
      </c>
      <c r="AB209" t="s">
        <v>3414</v>
      </c>
      <c r="AC209">
        <f>HYPERLINK("https://lsnyc.legalserver.org/matter/dynamic-profile/view/1912407","19-1912407")</f>
        <v>0</v>
      </c>
      <c r="AD209" t="s">
        <v>3447</v>
      </c>
      <c r="AE209" t="s">
        <v>3459</v>
      </c>
      <c r="AF209" t="s">
        <v>3690</v>
      </c>
      <c r="AI209" t="s">
        <v>4909</v>
      </c>
      <c r="AN209" t="s">
        <v>3414</v>
      </c>
    </row>
    <row r="210" spans="1:41">
      <c r="A210" s="1" t="s">
        <v>246</v>
      </c>
      <c r="B210" t="s">
        <v>1998</v>
      </c>
      <c r="C210" t="s">
        <v>2007</v>
      </c>
      <c r="D210" t="s">
        <v>2091</v>
      </c>
      <c r="E210" t="s">
        <v>2112</v>
      </c>
      <c r="G210" t="s">
        <v>2214</v>
      </c>
      <c r="H210">
        <v>11214</v>
      </c>
      <c r="I210" t="s">
        <v>2232</v>
      </c>
      <c r="J210">
        <v>5</v>
      </c>
      <c r="K210">
        <v>3</v>
      </c>
      <c r="L210" t="s">
        <v>2260</v>
      </c>
      <c r="M210" t="s">
        <v>2677</v>
      </c>
      <c r="P210" t="s">
        <v>2737</v>
      </c>
      <c r="Q210" t="s">
        <v>3255</v>
      </c>
      <c r="R210" t="s">
        <v>3258</v>
      </c>
      <c r="S210" t="s">
        <v>3262</v>
      </c>
      <c r="X210" t="s">
        <v>3354</v>
      </c>
      <c r="Y210" t="s">
        <v>2678</v>
      </c>
      <c r="Z210" t="s">
        <v>3355</v>
      </c>
      <c r="AA210" t="s">
        <v>3406</v>
      </c>
      <c r="AB210" t="s">
        <v>3410</v>
      </c>
      <c r="AC210">
        <f>HYPERLINK("https://lsnyc.legalserver.org/matter/dynamic-profile/view/1912411","19-1912411")</f>
        <v>0</v>
      </c>
      <c r="AD210" t="s">
        <v>3447</v>
      </c>
      <c r="AE210" t="s">
        <v>3459</v>
      </c>
      <c r="AF210" t="s">
        <v>3691</v>
      </c>
      <c r="AG210" t="s">
        <v>3355</v>
      </c>
      <c r="AH210" t="s">
        <v>4904</v>
      </c>
      <c r="AI210" t="s">
        <v>4909</v>
      </c>
      <c r="AN210" t="s">
        <v>3410</v>
      </c>
    </row>
    <row r="211" spans="1:41">
      <c r="A211" s="1" t="s">
        <v>247</v>
      </c>
      <c r="B211" t="s">
        <v>2002</v>
      </c>
      <c r="C211" t="s">
        <v>2009</v>
      </c>
      <c r="D211" t="s">
        <v>2065</v>
      </c>
      <c r="E211" t="s">
        <v>2112</v>
      </c>
      <c r="G211" t="s">
        <v>2214</v>
      </c>
      <c r="H211">
        <v>11214</v>
      </c>
      <c r="I211" t="s">
        <v>2232</v>
      </c>
      <c r="J211">
        <v>5</v>
      </c>
      <c r="K211">
        <v>3</v>
      </c>
      <c r="L211" t="s">
        <v>2260</v>
      </c>
      <c r="M211" t="s">
        <v>2677</v>
      </c>
      <c r="P211" t="s">
        <v>2737</v>
      </c>
      <c r="Q211" t="s">
        <v>3255</v>
      </c>
      <c r="R211" t="s">
        <v>3258</v>
      </c>
      <c r="S211" t="s">
        <v>3262</v>
      </c>
      <c r="X211" t="s">
        <v>3354</v>
      </c>
      <c r="Y211" t="s">
        <v>2678</v>
      </c>
      <c r="Z211" t="s">
        <v>3355</v>
      </c>
      <c r="AA211" t="s">
        <v>3406</v>
      </c>
      <c r="AB211" t="s">
        <v>3410</v>
      </c>
      <c r="AC211">
        <f>HYPERLINK("https://lsnyc.legalserver.org/matter/dynamic-profile/view/1912413","19-1912413")</f>
        <v>0</v>
      </c>
      <c r="AD211" t="s">
        <v>3447</v>
      </c>
      <c r="AE211" t="s">
        <v>3459</v>
      </c>
      <c r="AF211" t="s">
        <v>3692</v>
      </c>
      <c r="AG211" t="s">
        <v>3355</v>
      </c>
      <c r="AH211" t="s">
        <v>4904</v>
      </c>
      <c r="AI211" t="s">
        <v>4909</v>
      </c>
      <c r="AN211" t="s">
        <v>3410</v>
      </c>
    </row>
    <row r="212" spans="1:41">
      <c r="A212" s="1" t="s">
        <v>248</v>
      </c>
      <c r="B212" t="s">
        <v>2001</v>
      </c>
      <c r="C212" t="s">
        <v>2002</v>
      </c>
      <c r="D212" t="s">
        <v>2036</v>
      </c>
      <c r="E212" t="s">
        <v>2111</v>
      </c>
      <c r="F212" t="s">
        <v>2116</v>
      </c>
      <c r="G212" t="s">
        <v>2216</v>
      </c>
      <c r="H212">
        <v>10302</v>
      </c>
      <c r="I212" t="s">
        <v>2229</v>
      </c>
      <c r="J212">
        <v>3</v>
      </c>
      <c r="K212">
        <v>1</v>
      </c>
      <c r="L212" t="s">
        <v>2260</v>
      </c>
      <c r="M212" t="s">
        <v>2677</v>
      </c>
      <c r="P212" t="s">
        <v>2737</v>
      </c>
      <c r="Q212" t="s">
        <v>3255</v>
      </c>
      <c r="R212" t="s">
        <v>3258</v>
      </c>
      <c r="S212" t="s">
        <v>3262</v>
      </c>
      <c r="X212" t="s">
        <v>3354</v>
      </c>
      <c r="Y212" t="s">
        <v>2678</v>
      </c>
      <c r="Z212" t="s">
        <v>3355</v>
      </c>
      <c r="AB212" t="s">
        <v>3410</v>
      </c>
      <c r="AC212">
        <f>HYPERLINK("https://lsnyc.legalserver.org/matter/dynamic-profile/view/1912417","19-1912417")</f>
        <v>0</v>
      </c>
      <c r="AD212" t="s">
        <v>3447</v>
      </c>
      <c r="AE212" t="s">
        <v>3459</v>
      </c>
      <c r="AF212" t="s">
        <v>3693</v>
      </c>
      <c r="AG212" t="s">
        <v>3355</v>
      </c>
      <c r="AI212" t="s">
        <v>4909</v>
      </c>
      <c r="AL212" t="s">
        <v>2116</v>
      </c>
      <c r="AN212" t="s">
        <v>3410</v>
      </c>
    </row>
    <row r="213" spans="1:41">
      <c r="A213" s="1" t="s">
        <v>249</v>
      </c>
      <c r="B213" t="s">
        <v>1998</v>
      </c>
      <c r="C213" t="s">
        <v>2002</v>
      </c>
      <c r="D213" t="s">
        <v>2040</v>
      </c>
      <c r="E213" t="s">
        <v>2112</v>
      </c>
      <c r="F213" t="s">
        <v>2116</v>
      </c>
      <c r="G213" t="s">
        <v>2216</v>
      </c>
      <c r="H213">
        <v>10309</v>
      </c>
      <c r="I213" t="s">
        <v>2229</v>
      </c>
      <c r="J213">
        <v>5</v>
      </c>
      <c r="K213">
        <v>3</v>
      </c>
      <c r="L213" t="s">
        <v>2306</v>
      </c>
      <c r="M213" t="s">
        <v>2677</v>
      </c>
      <c r="P213" t="s">
        <v>2737</v>
      </c>
      <c r="Q213" t="s">
        <v>3255</v>
      </c>
      <c r="R213" t="s">
        <v>3259</v>
      </c>
      <c r="S213" t="s">
        <v>3267</v>
      </c>
      <c r="X213" t="s">
        <v>3354</v>
      </c>
      <c r="Y213" t="s">
        <v>2678</v>
      </c>
      <c r="Z213" t="s">
        <v>3359</v>
      </c>
      <c r="AB213" t="s">
        <v>3415</v>
      </c>
      <c r="AC213">
        <f>HYPERLINK("https://lsnyc.legalserver.org/matter/dynamic-profile/view/1912420","19-1912420")</f>
        <v>0</v>
      </c>
      <c r="AD213" t="s">
        <v>3447</v>
      </c>
      <c r="AE213" t="s">
        <v>3459</v>
      </c>
      <c r="AF213" t="s">
        <v>3694</v>
      </c>
      <c r="AG213" t="s">
        <v>3359</v>
      </c>
      <c r="AI213" t="s">
        <v>4909</v>
      </c>
      <c r="AL213" t="s">
        <v>2116</v>
      </c>
      <c r="AN213" t="s">
        <v>3415</v>
      </c>
    </row>
    <row r="214" spans="1:41">
      <c r="A214" s="1" t="s">
        <v>250</v>
      </c>
      <c r="B214" t="s">
        <v>2017</v>
      </c>
      <c r="C214" t="s">
        <v>2016</v>
      </c>
      <c r="D214" t="s">
        <v>2066</v>
      </c>
      <c r="E214" t="s">
        <v>2111</v>
      </c>
      <c r="F214" t="s">
        <v>2120</v>
      </c>
      <c r="G214" t="s">
        <v>2211</v>
      </c>
      <c r="H214">
        <v>11413</v>
      </c>
      <c r="I214" t="s">
        <v>2230</v>
      </c>
      <c r="J214">
        <v>1</v>
      </c>
      <c r="K214">
        <v>0</v>
      </c>
      <c r="L214" t="s">
        <v>2260</v>
      </c>
      <c r="M214" t="s">
        <v>2677</v>
      </c>
      <c r="P214" t="s">
        <v>2738</v>
      </c>
      <c r="Q214" t="s">
        <v>2113</v>
      </c>
      <c r="X214" t="s">
        <v>3354</v>
      </c>
      <c r="Y214" t="s">
        <v>2677</v>
      </c>
      <c r="AA214" t="s">
        <v>3407</v>
      </c>
      <c r="AB214" t="s">
        <v>3407</v>
      </c>
      <c r="AC214">
        <f>HYPERLINK("https://lsnyc.legalserver.org/matter/dynamic-profile/view/1911961","19-1911961")</f>
        <v>0</v>
      </c>
      <c r="AD214" t="s">
        <v>3445</v>
      </c>
      <c r="AE214" t="s">
        <v>3469</v>
      </c>
      <c r="AF214" t="s">
        <v>3695</v>
      </c>
      <c r="AH214" t="s">
        <v>3407</v>
      </c>
      <c r="AL214" t="s">
        <v>2120</v>
      </c>
      <c r="AN214" t="s">
        <v>3407</v>
      </c>
    </row>
    <row r="215" spans="1:41">
      <c r="A215" s="1" t="s">
        <v>251</v>
      </c>
      <c r="B215" t="s">
        <v>2009</v>
      </c>
      <c r="C215" t="s">
        <v>1998</v>
      </c>
      <c r="D215" t="s">
        <v>2045</v>
      </c>
      <c r="E215" t="s">
        <v>2112</v>
      </c>
      <c r="F215" t="s">
        <v>2127</v>
      </c>
      <c r="G215" t="s">
        <v>2211</v>
      </c>
      <c r="H215">
        <v>10027</v>
      </c>
      <c r="I215" t="s">
        <v>2233</v>
      </c>
      <c r="J215">
        <v>4</v>
      </c>
      <c r="K215">
        <v>2</v>
      </c>
      <c r="L215" t="s">
        <v>2294</v>
      </c>
      <c r="M215" t="s">
        <v>2677</v>
      </c>
      <c r="P215" t="s">
        <v>2738</v>
      </c>
      <c r="Q215" t="s">
        <v>2113</v>
      </c>
      <c r="R215" t="s">
        <v>3261</v>
      </c>
      <c r="S215" t="s">
        <v>3283</v>
      </c>
      <c r="V215" t="s">
        <v>3352</v>
      </c>
      <c r="X215" t="s">
        <v>3354</v>
      </c>
      <c r="Y215" t="s">
        <v>2678</v>
      </c>
      <c r="Z215" t="s">
        <v>3384</v>
      </c>
      <c r="AA215" t="s">
        <v>3408</v>
      </c>
      <c r="AB215" t="s">
        <v>3431</v>
      </c>
      <c r="AC215">
        <f>HYPERLINK("https://lsnyc.legalserver.org/matter/dynamic-profile/view/1911990","19-1911990")</f>
        <v>0</v>
      </c>
      <c r="AD215" t="s">
        <v>3442</v>
      </c>
      <c r="AE215" t="s">
        <v>3470</v>
      </c>
      <c r="AF215" t="s">
        <v>3696</v>
      </c>
      <c r="AG215" t="s">
        <v>3384</v>
      </c>
      <c r="AH215" t="s">
        <v>3408</v>
      </c>
      <c r="AL215" t="s">
        <v>2127</v>
      </c>
      <c r="AN215" t="s">
        <v>3431</v>
      </c>
      <c r="AO215" t="s">
        <v>3352</v>
      </c>
    </row>
    <row r="216" spans="1:41">
      <c r="A216" s="1" t="s">
        <v>252</v>
      </c>
      <c r="B216" t="s">
        <v>2002</v>
      </c>
      <c r="C216" t="s">
        <v>2002</v>
      </c>
      <c r="D216" t="s">
        <v>2040</v>
      </c>
      <c r="E216" t="s">
        <v>2111</v>
      </c>
      <c r="F216" t="s">
        <v>2117</v>
      </c>
      <c r="G216" t="s">
        <v>2216</v>
      </c>
      <c r="H216">
        <v>10304</v>
      </c>
      <c r="I216" t="s">
        <v>2229</v>
      </c>
      <c r="J216">
        <v>4</v>
      </c>
      <c r="K216">
        <v>2</v>
      </c>
      <c r="L216" t="s">
        <v>2260</v>
      </c>
      <c r="M216" t="s">
        <v>2677</v>
      </c>
      <c r="P216" t="s">
        <v>2725</v>
      </c>
      <c r="Q216" t="s">
        <v>2113</v>
      </c>
      <c r="R216" t="s">
        <v>3259</v>
      </c>
      <c r="S216" t="s">
        <v>3272</v>
      </c>
      <c r="V216" t="s">
        <v>3353</v>
      </c>
      <c r="X216" t="s">
        <v>3354</v>
      </c>
      <c r="Y216" t="s">
        <v>2678</v>
      </c>
      <c r="Z216" t="s">
        <v>3383</v>
      </c>
      <c r="AA216" t="s">
        <v>3406</v>
      </c>
      <c r="AB216" t="s">
        <v>3420</v>
      </c>
      <c r="AC216">
        <f>HYPERLINK("https://lsnyc.legalserver.org/matter/dynamic-profile/view/1911906","19-1911906")</f>
        <v>0</v>
      </c>
      <c r="AD216" t="s">
        <v>3446</v>
      </c>
      <c r="AE216" t="s">
        <v>3454</v>
      </c>
      <c r="AF216" t="s">
        <v>3697</v>
      </c>
      <c r="AG216" t="s">
        <v>3383</v>
      </c>
      <c r="AH216" t="s">
        <v>4905</v>
      </c>
      <c r="AI216" t="s">
        <v>4909</v>
      </c>
      <c r="AL216" t="s">
        <v>2117</v>
      </c>
      <c r="AN216" t="s">
        <v>3420</v>
      </c>
      <c r="AO216" t="s">
        <v>3353</v>
      </c>
    </row>
    <row r="217" spans="1:41">
      <c r="A217" s="1" t="s">
        <v>253</v>
      </c>
      <c r="B217" t="s">
        <v>2002</v>
      </c>
      <c r="C217" t="s">
        <v>1998</v>
      </c>
      <c r="D217" t="s">
        <v>2027</v>
      </c>
      <c r="E217" t="s">
        <v>2111</v>
      </c>
      <c r="F217" t="s">
        <v>2117</v>
      </c>
      <c r="G217" t="s">
        <v>2214</v>
      </c>
      <c r="H217">
        <v>11232</v>
      </c>
      <c r="I217" t="s">
        <v>2229</v>
      </c>
      <c r="J217">
        <v>3</v>
      </c>
      <c r="K217">
        <v>2</v>
      </c>
      <c r="L217" t="s">
        <v>2260</v>
      </c>
      <c r="M217" t="s">
        <v>2677</v>
      </c>
      <c r="P217" t="s">
        <v>2708</v>
      </c>
      <c r="Q217" t="s">
        <v>2113</v>
      </c>
      <c r="R217" t="s">
        <v>3259</v>
      </c>
      <c r="S217" t="s">
        <v>3272</v>
      </c>
      <c r="V217" t="s">
        <v>3353</v>
      </c>
      <c r="X217" t="s">
        <v>3354</v>
      </c>
      <c r="Y217" t="s">
        <v>2678</v>
      </c>
      <c r="Z217" t="s">
        <v>3383</v>
      </c>
      <c r="AA217" t="s">
        <v>3406</v>
      </c>
      <c r="AB217" t="s">
        <v>3420</v>
      </c>
      <c r="AC217">
        <f>HYPERLINK("https://lsnyc.legalserver.org/matter/dynamic-profile/view/1911907","19-1911907")</f>
        <v>0</v>
      </c>
      <c r="AD217" t="s">
        <v>3446</v>
      </c>
      <c r="AE217" t="s">
        <v>3454</v>
      </c>
      <c r="AF217" t="s">
        <v>3698</v>
      </c>
      <c r="AG217" t="s">
        <v>3383</v>
      </c>
      <c r="AH217" t="s">
        <v>4905</v>
      </c>
      <c r="AI217" t="s">
        <v>4909</v>
      </c>
      <c r="AL217" t="s">
        <v>2117</v>
      </c>
      <c r="AN217" t="s">
        <v>3420</v>
      </c>
      <c r="AO217" t="s">
        <v>3353</v>
      </c>
    </row>
    <row r="218" spans="1:41">
      <c r="A218" s="1" t="s">
        <v>254</v>
      </c>
      <c r="B218" t="s">
        <v>2000</v>
      </c>
      <c r="C218" t="s">
        <v>2012</v>
      </c>
      <c r="D218" t="s">
        <v>2065</v>
      </c>
      <c r="E218" t="s">
        <v>2111</v>
      </c>
      <c r="F218" t="s">
        <v>2117</v>
      </c>
      <c r="G218" t="s">
        <v>2213</v>
      </c>
      <c r="H218">
        <v>10453</v>
      </c>
      <c r="I218" t="s">
        <v>2229</v>
      </c>
      <c r="J218">
        <v>3</v>
      </c>
      <c r="K218">
        <v>2</v>
      </c>
      <c r="L218" t="s">
        <v>2260</v>
      </c>
      <c r="M218" t="s">
        <v>2677</v>
      </c>
      <c r="P218" t="s">
        <v>2739</v>
      </c>
      <c r="Q218" t="s">
        <v>3255</v>
      </c>
      <c r="R218" t="s">
        <v>3259</v>
      </c>
      <c r="S218" t="s">
        <v>3267</v>
      </c>
      <c r="X218" t="s">
        <v>3354</v>
      </c>
      <c r="Y218" t="s">
        <v>2678</v>
      </c>
      <c r="Z218" t="s">
        <v>3359</v>
      </c>
      <c r="AB218" t="s">
        <v>3415</v>
      </c>
      <c r="AC218">
        <f>HYPERLINK("https://lsnyc.legalserver.org/matter/dynamic-profile/view/1911816","19-1911816")</f>
        <v>0</v>
      </c>
      <c r="AD218" t="s">
        <v>3444</v>
      </c>
      <c r="AE218" t="s">
        <v>3466</v>
      </c>
      <c r="AF218" t="s">
        <v>3699</v>
      </c>
      <c r="AG218" t="s">
        <v>3359</v>
      </c>
      <c r="AL218" t="s">
        <v>2117</v>
      </c>
      <c r="AN218" t="s">
        <v>3415</v>
      </c>
    </row>
    <row r="219" spans="1:41">
      <c r="A219" s="1" t="s">
        <v>255</v>
      </c>
      <c r="B219" t="s">
        <v>2001</v>
      </c>
      <c r="C219" t="s">
        <v>1999</v>
      </c>
      <c r="D219" t="s">
        <v>2028</v>
      </c>
      <c r="E219" t="s">
        <v>2111</v>
      </c>
      <c r="G219" t="s">
        <v>2212</v>
      </c>
      <c r="H219">
        <v>11423</v>
      </c>
      <c r="I219" t="s">
        <v>2230</v>
      </c>
      <c r="J219">
        <v>3</v>
      </c>
      <c r="K219">
        <v>1</v>
      </c>
      <c r="L219" t="s">
        <v>2341</v>
      </c>
      <c r="M219" t="s">
        <v>2677</v>
      </c>
      <c r="P219" t="s">
        <v>2739</v>
      </c>
      <c r="Q219" t="s">
        <v>3255</v>
      </c>
      <c r="R219" t="s">
        <v>3258</v>
      </c>
      <c r="S219" t="s">
        <v>3271</v>
      </c>
      <c r="X219" t="s">
        <v>3354</v>
      </c>
      <c r="Y219" t="s">
        <v>2678</v>
      </c>
      <c r="Z219" t="s">
        <v>3362</v>
      </c>
      <c r="AB219" t="s">
        <v>3419</v>
      </c>
      <c r="AC219">
        <f>HYPERLINK("https://lsnyc.legalserver.org/matter/dynamic-profile/view/1911835","19-1911835")</f>
        <v>0</v>
      </c>
      <c r="AD219" t="s">
        <v>3443</v>
      </c>
      <c r="AE219" t="s">
        <v>3477</v>
      </c>
      <c r="AF219" t="s">
        <v>3700</v>
      </c>
      <c r="AG219" t="s">
        <v>3362</v>
      </c>
      <c r="AI219" t="s">
        <v>4909</v>
      </c>
      <c r="AN219" t="s">
        <v>3419</v>
      </c>
    </row>
    <row r="220" spans="1:41">
      <c r="A220" s="1" t="s">
        <v>256</v>
      </c>
      <c r="B220" t="s">
        <v>1998</v>
      </c>
      <c r="C220" t="s">
        <v>2004</v>
      </c>
      <c r="D220" t="s">
        <v>2069</v>
      </c>
      <c r="E220" t="s">
        <v>2112</v>
      </c>
      <c r="F220" t="s">
        <v>2117</v>
      </c>
      <c r="G220" t="s">
        <v>2213</v>
      </c>
      <c r="H220">
        <v>10459</v>
      </c>
      <c r="I220" t="s">
        <v>2229</v>
      </c>
      <c r="J220">
        <v>3</v>
      </c>
      <c r="K220">
        <v>0</v>
      </c>
      <c r="L220" t="s">
        <v>2260</v>
      </c>
      <c r="M220" t="s">
        <v>2677</v>
      </c>
      <c r="P220" t="s">
        <v>2739</v>
      </c>
      <c r="Q220" t="s">
        <v>3255</v>
      </c>
      <c r="R220" t="s">
        <v>3259</v>
      </c>
      <c r="S220" t="s">
        <v>3267</v>
      </c>
      <c r="X220" t="s">
        <v>3354</v>
      </c>
      <c r="Y220" t="s">
        <v>2678</v>
      </c>
      <c r="Z220" t="s">
        <v>3359</v>
      </c>
      <c r="AB220" t="s">
        <v>3415</v>
      </c>
      <c r="AC220">
        <f>HYPERLINK("https://lsnyc.legalserver.org/matter/dynamic-profile/view/1911836","19-1911836")</f>
        <v>0</v>
      </c>
      <c r="AD220" t="s">
        <v>3444</v>
      </c>
      <c r="AE220" t="s">
        <v>3466</v>
      </c>
      <c r="AF220" t="s">
        <v>3701</v>
      </c>
      <c r="AG220" t="s">
        <v>3359</v>
      </c>
      <c r="AL220" t="s">
        <v>2117</v>
      </c>
      <c r="AN220" t="s">
        <v>3415</v>
      </c>
    </row>
    <row r="221" spans="1:41">
      <c r="A221" s="1" t="s">
        <v>257</v>
      </c>
      <c r="B221" t="s">
        <v>1998</v>
      </c>
      <c r="C221" t="s">
        <v>2001</v>
      </c>
      <c r="D221" t="s">
        <v>2069</v>
      </c>
      <c r="E221" t="s">
        <v>2111</v>
      </c>
      <c r="F221" t="s">
        <v>2121</v>
      </c>
      <c r="G221" t="s">
        <v>2212</v>
      </c>
      <c r="H221">
        <v>11373</v>
      </c>
      <c r="I221" t="s">
        <v>2230</v>
      </c>
      <c r="J221">
        <v>2</v>
      </c>
      <c r="K221">
        <v>0</v>
      </c>
      <c r="L221" t="s">
        <v>2256</v>
      </c>
      <c r="M221" t="s">
        <v>2677</v>
      </c>
      <c r="P221" t="s">
        <v>2739</v>
      </c>
      <c r="Q221" t="s">
        <v>3255</v>
      </c>
      <c r="R221" t="s">
        <v>3259</v>
      </c>
      <c r="S221" t="s">
        <v>3272</v>
      </c>
      <c r="X221" t="s">
        <v>3354</v>
      </c>
      <c r="Y221" t="s">
        <v>2678</v>
      </c>
      <c r="Z221" t="s">
        <v>3364</v>
      </c>
      <c r="AB221" t="s">
        <v>3420</v>
      </c>
      <c r="AC221">
        <f>HYPERLINK("https://lsnyc.legalserver.org/matter/dynamic-profile/view/1911903","19-1911903")</f>
        <v>0</v>
      </c>
      <c r="AD221" t="s">
        <v>3443</v>
      </c>
      <c r="AE221" t="s">
        <v>3457</v>
      </c>
      <c r="AF221" t="s">
        <v>3582</v>
      </c>
      <c r="AG221" t="s">
        <v>3364</v>
      </c>
      <c r="AL221" t="s">
        <v>2121</v>
      </c>
      <c r="AN221" t="s">
        <v>3420</v>
      </c>
    </row>
    <row r="222" spans="1:41">
      <c r="A222" s="1" t="s">
        <v>258</v>
      </c>
      <c r="B222" t="s">
        <v>2002</v>
      </c>
      <c r="C222" t="s">
        <v>2016</v>
      </c>
      <c r="D222" t="s">
        <v>2069</v>
      </c>
      <c r="E222" t="s">
        <v>2112</v>
      </c>
      <c r="F222" t="s">
        <v>2114</v>
      </c>
      <c r="G222" t="s">
        <v>2212</v>
      </c>
      <c r="H222">
        <v>11420</v>
      </c>
      <c r="I222" t="s">
        <v>2229</v>
      </c>
      <c r="J222">
        <v>1</v>
      </c>
      <c r="K222">
        <v>0</v>
      </c>
      <c r="L222" t="s">
        <v>2304</v>
      </c>
      <c r="M222" t="s">
        <v>2677</v>
      </c>
      <c r="P222" t="s">
        <v>2739</v>
      </c>
      <c r="Q222" t="s">
        <v>3255</v>
      </c>
      <c r="R222" t="s">
        <v>3259</v>
      </c>
      <c r="S222" t="s">
        <v>3272</v>
      </c>
      <c r="X222" t="s">
        <v>3354</v>
      </c>
      <c r="Y222" t="s">
        <v>2678</v>
      </c>
      <c r="Z222" t="s">
        <v>3364</v>
      </c>
      <c r="AB222" t="s">
        <v>3420</v>
      </c>
      <c r="AC222">
        <f>HYPERLINK("https://lsnyc.legalserver.org/matter/dynamic-profile/view/1911904","19-1911904")</f>
        <v>0</v>
      </c>
      <c r="AD222" t="s">
        <v>3443</v>
      </c>
      <c r="AE222" t="s">
        <v>3457</v>
      </c>
      <c r="AF222" t="s">
        <v>3702</v>
      </c>
      <c r="AG222" t="s">
        <v>3364</v>
      </c>
      <c r="AI222" t="s">
        <v>4909</v>
      </c>
      <c r="AL222" t="s">
        <v>2114</v>
      </c>
      <c r="AN222" t="s">
        <v>3420</v>
      </c>
    </row>
    <row r="223" spans="1:41">
      <c r="A223" s="1" t="s">
        <v>259</v>
      </c>
      <c r="B223" t="s">
        <v>2017</v>
      </c>
      <c r="C223" t="s">
        <v>2001</v>
      </c>
      <c r="D223" t="s">
        <v>2081</v>
      </c>
      <c r="E223" t="s">
        <v>2112</v>
      </c>
      <c r="F223" t="s">
        <v>2117</v>
      </c>
      <c r="G223" t="s">
        <v>2212</v>
      </c>
      <c r="H223">
        <v>11693</v>
      </c>
      <c r="I223" t="s">
        <v>2229</v>
      </c>
      <c r="J223">
        <v>2</v>
      </c>
      <c r="K223">
        <v>1</v>
      </c>
      <c r="L223" t="s">
        <v>2272</v>
      </c>
      <c r="M223" t="s">
        <v>2677</v>
      </c>
      <c r="P223" t="s">
        <v>2739</v>
      </c>
      <c r="Q223" t="s">
        <v>2113</v>
      </c>
      <c r="R223" t="s">
        <v>3261</v>
      </c>
      <c r="S223" t="s">
        <v>3283</v>
      </c>
      <c r="T223" t="s">
        <v>3295</v>
      </c>
      <c r="V223" t="s">
        <v>3353</v>
      </c>
      <c r="X223" t="s">
        <v>3354</v>
      </c>
      <c r="Y223" t="s">
        <v>2678</v>
      </c>
      <c r="Z223" t="s">
        <v>3359</v>
      </c>
      <c r="AA223" t="s">
        <v>3409</v>
      </c>
      <c r="AB223" t="s">
        <v>3431</v>
      </c>
      <c r="AC223">
        <f>HYPERLINK("https://lsnyc.legalserver.org/matter/dynamic-profile/view/1911912","19-1911912")</f>
        <v>0</v>
      </c>
      <c r="AD223" t="s">
        <v>3443</v>
      </c>
      <c r="AE223" t="s">
        <v>3450</v>
      </c>
      <c r="AF223" t="s">
        <v>3703</v>
      </c>
      <c r="AG223" t="s">
        <v>3359</v>
      </c>
      <c r="AH223" t="s">
        <v>3409</v>
      </c>
      <c r="AL223" t="s">
        <v>2117</v>
      </c>
      <c r="AM223" t="s">
        <v>3295</v>
      </c>
      <c r="AN223" t="s">
        <v>3431</v>
      </c>
      <c r="AO223" t="s">
        <v>3353</v>
      </c>
    </row>
    <row r="224" spans="1:41">
      <c r="A224" s="1" t="s">
        <v>260</v>
      </c>
      <c r="B224" t="s">
        <v>2017</v>
      </c>
      <c r="C224" t="s">
        <v>2012</v>
      </c>
      <c r="D224" t="s">
        <v>2026</v>
      </c>
      <c r="E224" t="s">
        <v>2112</v>
      </c>
      <c r="F224" t="s">
        <v>2117</v>
      </c>
      <c r="G224" t="s">
        <v>2212</v>
      </c>
      <c r="H224">
        <v>11693</v>
      </c>
      <c r="I224" t="s">
        <v>2229</v>
      </c>
      <c r="J224">
        <v>2</v>
      </c>
      <c r="K224">
        <v>1</v>
      </c>
      <c r="L224" t="s">
        <v>2272</v>
      </c>
      <c r="M224" t="s">
        <v>2677</v>
      </c>
      <c r="P224" t="s">
        <v>2739</v>
      </c>
      <c r="Q224" t="s">
        <v>2113</v>
      </c>
      <c r="R224" t="s">
        <v>3261</v>
      </c>
      <c r="S224" t="s">
        <v>3283</v>
      </c>
      <c r="T224" t="s">
        <v>3295</v>
      </c>
      <c r="U224" t="s">
        <v>2739</v>
      </c>
      <c r="V224" t="s">
        <v>3353</v>
      </c>
      <c r="X224" t="s">
        <v>3354</v>
      </c>
      <c r="Y224" t="s">
        <v>2678</v>
      </c>
      <c r="Z224" t="s">
        <v>3359</v>
      </c>
      <c r="AA224" t="s">
        <v>3409</v>
      </c>
      <c r="AB224" t="s">
        <v>3431</v>
      </c>
      <c r="AC224">
        <f>HYPERLINK("https://lsnyc.legalserver.org/matter/dynamic-profile/view/1911951","19-1911951")</f>
        <v>0</v>
      </c>
      <c r="AD224" t="s">
        <v>3443</v>
      </c>
      <c r="AE224" t="s">
        <v>3450</v>
      </c>
      <c r="AF224" t="s">
        <v>3704</v>
      </c>
      <c r="AG224" t="s">
        <v>3359</v>
      </c>
      <c r="AH224" t="s">
        <v>3409</v>
      </c>
      <c r="AL224" t="s">
        <v>2117</v>
      </c>
      <c r="AM224" t="s">
        <v>3295</v>
      </c>
      <c r="AN224" t="s">
        <v>3431</v>
      </c>
      <c r="AO224" t="s">
        <v>3353</v>
      </c>
    </row>
    <row r="225" spans="1:41">
      <c r="A225" s="1" t="s">
        <v>261</v>
      </c>
      <c r="B225" t="s">
        <v>1998</v>
      </c>
      <c r="C225" t="s">
        <v>2001</v>
      </c>
      <c r="D225" t="s">
        <v>2044</v>
      </c>
      <c r="E225" t="s">
        <v>2112</v>
      </c>
      <c r="G225" t="s">
        <v>2213</v>
      </c>
      <c r="H225">
        <v>10458</v>
      </c>
      <c r="J225">
        <v>2</v>
      </c>
      <c r="K225">
        <v>1</v>
      </c>
      <c r="L225" t="s">
        <v>2260</v>
      </c>
      <c r="M225" t="s">
        <v>2677</v>
      </c>
      <c r="P225" t="s">
        <v>2740</v>
      </c>
      <c r="Q225" t="s">
        <v>3255</v>
      </c>
      <c r="R225" t="s">
        <v>3258</v>
      </c>
      <c r="S225" t="s">
        <v>3262</v>
      </c>
      <c r="X225" t="s">
        <v>3354</v>
      </c>
      <c r="Y225" t="s">
        <v>2677</v>
      </c>
      <c r="Z225" t="s">
        <v>3355</v>
      </c>
      <c r="AB225" t="s">
        <v>3410</v>
      </c>
      <c r="AC225">
        <f>HYPERLINK("https://lsnyc.legalserver.org/matter/dynamic-profile/view/1908871","19-1908871")</f>
        <v>0</v>
      </c>
      <c r="AD225" t="s">
        <v>3445</v>
      </c>
      <c r="AE225" t="s">
        <v>3452</v>
      </c>
      <c r="AF225" t="s">
        <v>3705</v>
      </c>
      <c r="AG225" t="s">
        <v>3355</v>
      </c>
      <c r="AI225" t="s">
        <v>4909</v>
      </c>
      <c r="AN225" t="s">
        <v>3410</v>
      </c>
    </row>
    <row r="226" spans="1:41">
      <c r="A226" s="1" t="s">
        <v>262</v>
      </c>
      <c r="B226" t="s">
        <v>2012</v>
      </c>
      <c r="C226" t="s">
        <v>2016</v>
      </c>
      <c r="D226" t="s">
        <v>2070</v>
      </c>
      <c r="E226" t="s">
        <v>2112</v>
      </c>
      <c r="F226" t="s">
        <v>2135</v>
      </c>
      <c r="G226" t="s">
        <v>2213</v>
      </c>
      <c r="H226">
        <v>10460</v>
      </c>
      <c r="I226" t="s">
        <v>2229</v>
      </c>
      <c r="J226">
        <v>1</v>
      </c>
      <c r="K226">
        <v>0</v>
      </c>
      <c r="L226" t="s">
        <v>2260</v>
      </c>
      <c r="M226" t="s">
        <v>2677</v>
      </c>
      <c r="P226" t="s">
        <v>2740</v>
      </c>
      <c r="Q226" t="s">
        <v>2113</v>
      </c>
      <c r="R226" t="s">
        <v>3259</v>
      </c>
      <c r="S226" t="s">
        <v>3270</v>
      </c>
      <c r="X226" t="s">
        <v>3354</v>
      </c>
      <c r="Y226" t="s">
        <v>2677</v>
      </c>
      <c r="Z226" t="s">
        <v>3362</v>
      </c>
      <c r="AA226" t="s">
        <v>3406</v>
      </c>
      <c r="AB226" t="s">
        <v>3418</v>
      </c>
      <c r="AC226">
        <f>HYPERLINK("https://lsnyc.legalserver.org/matter/dynamic-profile/view/1911705","19-1911705")</f>
        <v>0</v>
      </c>
      <c r="AD226" t="s">
        <v>3445</v>
      </c>
      <c r="AE226" t="s">
        <v>3452</v>
      </c>
      <c r="AF226" t="s">
        <v>3706</v>
      </c>
      <c r="AG226" t="s">
        <v>3362</v>
      </c>
      <c r="AH226" t="s">
        <v>4904</v>
      </c>
      <c r="AL226" t="s">
        <v>2135</v>
      </c>
      <c r="AN226" t="s">
        <v>3418</v>
      </c>
    </row>
    <row r="227" spans="1:41">
      <c r="A227" s="1" t="s">
        <v>263</v>
      </c>
      <c r="B227" t="s">
        <v>2001</v>
      </c>
      <c r="C227" t="s">
        <v>2002</v>
      </c>
      <c r="D227" t="s">
        <v>2069</v>
      </c>
      <c r="E227" t="s">
        <v>2112</v>
      </c>
      <c r="F227" t="s">
        <v>2117</v>
      </c>
      <c r="G227" t="s">
        <v>2212</v>
      </c>
      <c r="H227">
        <v>11432</v>
      </c>
      <c r="I227" t="s">
        <v>2229</v>
      </c>
      <c r="J227">
        <v>2</v>
      </c>
      <c r="K227">
        <v>1</v>
      </c>
      <c r="L227" t="s">
        <v>2260</v>
      </c>
      <c r="M227" t="s">
        <v>2677</v>
      </c>
      <c r="P227" t="s">
        <v>2739</v>
      </c>
      <c r="Q227" t="s">
        <v>2113</v>
      </c>
      <c r="R227" t="s">
        <v>3259</v>
      </c>
      <c r="S227" t="s">
        <v>3267</v>
      </c>
      <c r="V227" t="s">
        <v>3353</v>
      </c>
      <c r="X227" t="s">
        <v>3354</v>
      </c>
      <c r="Y227" t="s">
        <v>2678</v>
      </c>
      <c r="Z227" t="s">
        <v>3359</v>
      </c>
      <c r="AA227" t="s">
        <v>3406</v>
      </c>
      <c r="AB227" t="s">
        <v>3415</v>
      </c>
      <c r="AC227">
        <f>HYPERLINK("https://lsnyc.legalserver.org/matter/dynamic-profile/view/1912788","19-1912788")</f>
        <v>0</v>
      </c>
      <c r="AD227" t="s">
        <v>3443</v>
      </c>
      <c r="AE227" t="s">
        <v>3450</v>
      </c>
      <c r="AF227" t="s">
        <v>3707</v>
      </c>
      <c r="AG227" t="s">
        <v>3359</v>
      </c>
      <c r="AH227" t="s">
        <v>4906</v>
      </c>
      <c r="AL227" t="s">
        <v>2117</v>
      </c>
      <c r="AN227" t="s">
        <v>3415</v>
      </c>
      <c r="AO227" t="s">
        <v>3353</v>
      </c>
    </row>
    <row r="228" spans="1:41">
      <c r="A228" s="1" t="s">
        <v>264</v>
      </c>
      <c r="B228" t="s">
        <v>2000</v>
      </c>
      <c r="C228" t="s">
        <v>2001</v>
      </c>
      <c r="D228" t="s">
        <v>2042</v>
      </c>
      <c r="E228" t="s">
        <v>2111</v>
      </c>
      <c r="F228" t="s">
        <v>2120</v>
      </c>
      <c r="G228" t="s">
        <v>2211</v>
      </c>
      <c r="H228">
        <v>10030</v>
      </c>
      <c r="I228" t="s">
        <v>2230</v>
      </c>
      <c r="J228">
        <v>2</v>
      </c>
      <c r="K228">
        <v>1</v>
      </c>
      <c r="L228" t="s">
        <v>2342</v>
      </c>
      <c r="M228" t="s">
        <v>2677</v>
      </c>
      <c r="P228" t="s">
        <v>2741</v>
      </c>
      <c r="Q228" t="s">
        <v>2113</v>
      </c>
      <c r="R228" t="s">
        <v>3260</v>
      </c>
      <c r="S228" t="s">
        <v>3266</v>
      </c>
      <c r="X228" t="s">
        <v>3354</v>
      </c>
      <c r="Y228" t="s">
        <v>2678</v>
      </c>
      <c r="AB228" t="s">
        <v>3414</v>
      </c>
      <c r="AC228">
        <f>HYPERLINK("https://lsnyc.legalserver.org/matter/dynamic-profile/view/1911589","19-1911589")</f>
        <v>0</v>
      </c>
      <c r="AD228" t="s">
        <v>3442</v>
      </c>
      <c r="AE228" t="s">
        <v>3476</v>
      </c>
      <c r="AF228" t="s">
        <v>3708</v>
      </c>
      <c r="AI228" t="s">
        <v>4909</v>
      </c>
      <c r="AL228" t="s">
        <v>2120</v>
      </c>
      <c r="AN228" t="s">
        <v>3414</v>
      </c>
    </row>
    <row r="229" spans="1:41">
      <c r="A229" s="1" t="s">
        <v>265</v>
      </c>
      <c r="B229" t="s">
        <v>1998</v>
      </c>
      <c r="C229" t="s">
        <v>2000</v>
      </c>
      <c r="D229" t="s">
        <v>2029</v>
      </c>
      <c r="E229" t="s">
        <v>2112</v>
      </c>
      <c r="G229" t="s">
        <v>2213</v>
      </c>
      <c r="H229">
        <v>10460</v>
      </c>
      <c r="I229" t="s">
        <v>2229</v>
      </c>
      <c r="J229">
        <v>2</v>
      </c>
      <c r="K229">
        <v>0</v>
      </c>
      <c r="L229" t="s">
        <v>2306</v>
      </c>
      <c r="M229" t="s">
        <v>2677</v>
      </c>
      <c r="P229" t="s">
        <v>2741</v>
      </c>
      <c r="Q229" t="s">
        <v>3255</v>
      </c>
      <c r="R229" t="s">
        <v>3258</v>
      </c>
      <c r="S229" t="s">
        <v>3262</v>
      </c>
      <c r="X229" t="s">
        <v>3354</v>
      </c>
      <c r="Y229" t="s">
        <v>2678</v>
      </c>
      <c r="Z229" t="s">
        <v>3355</v>
      </c>
      <c r="AB229" t="s">
        <v>3410</v>
      </c>
      <c r="AC229">
        <f>HYPERLINK("https://lsnyc.legalserver.org/matter/dynamic-profile/view/1911618","19-1911618")</f>
        <v>0</v>
      </c>
      <c r="AD229" t="s">
        <v>3444</v>
      </c>
      <c r="AE229" t="s">
        <v>3468</v>
      </c>
      <c r="AF229" t="s">
        <v>3709</v>
      </c>
      <c r="AG229" t="s">
        <v>3355</v>
      </c>
      <c r="AI229" t="s">
        <v>4909</v>
      </c>
      <c r="AN229" t="s">
        <v>3410</v>
      </c>
    </row>
    <row r="230" spans="1:41">
      <c r="A230" s="1" t="s">
        <v>266</v>
      </c>
      <c r="B230" t="s">
        <v>2016</v>
      </c>
      <c r="C230" t="s">
        <v>1998</v>
      </c>
      <c r="D230" t="s">
        <v>2069</v>
      </c>
      <c r="E230" t="s">
        <v>2112</v>
      </c>
      <c r="G230" t="s">
        <v>2213</v>
      </c>
      <c r="H230">
        <v>10460</v>
      </c>
      <c r="I230" t="s">
        <v>2229</v>
      </c>
      <c r="J230">
        <v>2</v>
      </c>
      <c r="K230">
        <v>0</v>
      </c>
      <c r="L230" t="s">
        <v>2343</v>
      </c>
      <c r="M230" t="s">
        <v>2678</v>
      </c>
      <c r="P230" t="s">
        <v>2741</v>
      </c>
      <c r="Q230" t="s">
        <v>3255</v>
      </c>
      <c r="R230" t="s">
        <v>3258</v>
      </c>
      <c r="S230" t="s">
        <v>3262</v>
      </c>
      <c r="X230" t="s">
        <v>3354</v>
      </c>
      <c r="Y230" t="s">
        <v>2678</v>
      </c>
      <c r="Z230" t="s">
        <v>3355</v>
      </c>
      <c r="AB230" t="s">
        <v>3410</v>
      </c>
      <c r="AC230">
        <f>HYPERLINK("https://lsnyc.legalserver.org/matter/dynamic-profile/view/1911622","19-1911622")</f>
        <v>0</v>
      </c>
      <c r="AD230" t="s">
        <v>3444</v>
      </c>
      <c r="AE230" t="s">
        <v>3468</v>
      </c>
      <c r="AF230" t="s">
        <v>3710</v>
      </c>
      <c r="AG230" t="s">
        <v>3355</v>
      </c>
      <c r="AI230" t="s">
        <v>4909</v>
      </c>
      <c r="AJ230" t="s">
        <v>4910</v>
      </c>
      <c r="AN230" t="s">
        <v>3410</v>
      </c>
    </row>
    <row r="231" spans="1:41">
      <c r="A231" s="1" t="s">
        <v>267</v>
      </c>
      <c r="B231" t="s">
        <v>2004</v>
      </c>
      <c r="C231" t="s">
        <v>2000</v>
      </c>
      <c r="D231" t="s">
        <v>2038</v>
      </c>
      <c r="E231" t="s">
        <v>2112</v>
      </c>
      <c r="F231" t="s">
        <v>2138</v>
      </c>
      <c r="G231" t="s">
        <v>2214</v>
      </c>
      <c r="H231">
        <v>11237</v>
      </c>
      <c r="I231" t="s">
        <v>2113</v>
      </c>
      <c r="J231">
        <v>1</v>
      </c>
      <c r="K231">
        <v>0</v>
      </c>
      <c r="L231" t="s">
        <v>2344</v>
      </c>
      <c r="M231" t="s">
        <v>2677</v>
      </c>
      <c r="P231" t="s">
        <v>2741</v>
      </c>
      <c r="Q231" t="s">
        <v>2113</v>
      </c>
      <c r="R231" t="s">
        <v>3260</v>
      </c>
      <c r="S231" t="s">
        <v>3266</v>
      </c>
      <c r="X231" t="s">
        <v>3354</v>
      </c>
      <c r="Y231" t="s">
        <v>2677</v>
      </c>
      <c r="AB231" t="s">
        <v>3414</v>
      </c>
      <c r="AC231">
        <f>HYPERLINK("https://lsnyc.legalserver.org/matter/dynamic-profile/view/1911645","19-1911645")</f>
        <v>0</v>
      </c>
      <c r="AD231" t="s">
        <v>3445</v>
      </c>
      <c r="AE231" t="s">
        <v>3455</v>
      </c>
      <c r="AF231" t="s">
        <v>3711</v>
      </c>
      <c r="AI231" t="s">
        <v>4909</v>
      </c>
      <c r="AL231" t="s">
        <v>2138</v>
      </c>
      <c r="AN231" t="s">
        <v>3414</v>
      </c>
    </row>
    <row r="232" spans="1:41">
      <c r="A232" s="1" t="s">
        <v>268</v>
      </c>
      <c r="B232" t="s">
        <v>2007</v>
      </c>
      <c r="C232" t="s">
        <v>1998</v>
      </c>
      <c r="D232" t="s">
        <v>2044</v>
      </c>
      <c r="E232" t="s">
        <v>2111</v>
      </c>
      <c r="F232" t="s">
        <v>2125</v>
      </c>
      <c r="G232" t="s">
        <v>2211</v>
      </c>
      <c r="H232">
        <v>10025</v>
      </c>
      <c r="I232" t="s">
        <v>2230</v>
      </c>
      <c r="J232">
        <v>1</v>
      </c>
      <c r="K232">
        <v>0</v>
      </c>
      <c r="L232" t="s">
        <v>2345</v>
      </c>
      <c r="M232" t="s">
        <v>2678</v>
      </c>
      <c r="P232" t="s">
        <v>2732</v>
      </c>
      <c r="Q232" t="s">
        <v>2113</v>
      </c>
      <c r="R232" t="s">
        <v>3260</v>
      </c>
      <c r="S232" t="s">
        <v>3266</v>
      </c>
      <c r="V232" t="s">
        <v>3352</v>
      </c>
      <c r="X232" t="s">
        <v>3354</v>
      </c>
      <c r="Y232" t="s">
        <v>2678</v>
      </c>
      <c r="AA232" t="s">
        <v>3406</v>
      </c>
      <c r="AB232" t="s">
        <v>3414</v>
      </c>
      <c r="AC232">
        <f>HYPERLINK("https://lsnyc.legalserver.org/matter/dynamic-profile/view/1910012","19-1910012")</f>
        <v>0</v>
      </c>
      <c r="AD232" t="s">
        <v>3447</v>
      </c>
      <c r="AE232" t="s">
        <v>3458</v>
      </c>
      <c r="AF232" t="s">
        <v>3712</v>
      </c>
      <c r="AH232" t="s">
        <v>4904</v>
      </c>
      <c r="AJ232" t="s">
        <v>4910</v>
      </c>
      <c r="AL232" t="s">
        <v>2125</v>
      </c>
      <c r="AN232" t="s">
        <v>3414</v>
      </c>
      <c r="AO232" t="s">
        <v>3352</v>
      </c>
    </row>
    <row r="233" spans="1:41">
      <c r="A233" s="1" t="s">
        <v>269</v>
      </c>
      <c r="B233" t="s">
        <v>2001</v>
      </c>
      <c r="C233" t="s">
        <v>2009</v>
      </c>
      <c r="D233" t="s">
        <v>2092</v>
      </c>
      <c r="E233" t="s">
        <v>2112</v>
      </c>
      <c r="F233" t="s">
        <v>2116</v>
      </c>
      <c r="G233" t="s">
        <v>2214</v>
      </c>
      <c r="H233">
        <v>11223</v>
      </c>
      <c r="I233" t="s">
        <v>2229</v>
      </c>
      <c r="J233">
        <v>2</v>
      </c>
      <c r="K233">
        <v>1</v>
      </c>
      <c r="L233" t="s">
        <v>2346</v>
      </c>
      <c r="M233" t="s">
        <v>2677</v>
      </c>
      <c r="P233" t="s">
        <v>2732</v>
      </c>
      <c r="Q233" t="s">
        <v>2113</v>
      </c>
      <c r="V233" t="s">
        <v>3352</v>
      </c>
      <c r="X233" t="s">
        <v>3354</v>
      </c>
      <c r="Y233" t="s">
        <v>2677</v>
      </c>
      <c r="AA233" t="s">
        <v>3407</v>
      </c>
      <c r="AB233" t="s">
        <v>3407</v>
      </c>
      <c r="AC233">
        <f>HYPERLINK("https://lsnyc.legalserver.org/matter/dynamic-profile/view/1911537","19-1911537")</f>
        <v>0</v>
      </c>
      <c r="AD233" t="s">
        <v>3445</v>
      </c>
      <c r="AE233" t="s">
        <v>3461</v>
      </c>
      <c r="AF233" t="s">
        <v>3713</v>
      </c>
      <c r="AH233" t="s">
        <v>3407</v>
      </c>
      <c r="AL233" t="s">
        <v>2116</v>
      </c>
      <c r="AN233" t="s">
        <v>3407</v>
      </c>
      <c r="AO233" t="s">
        <v>3352</v>
      </c>
    </row>
    <row r="234" spans="1:41">
      <c r="A234" s="1" t="s">
        <v>270</v>
      </c>
      <c r="B234" t="s">
        <v>2001</v>
      </c>
      <c r="C234" t="s">
        <v>2012</v>
      </c>
      <c r="D234" t="s">
        <v>2040</v>
      </c>
      <c r="E234" t="s">
        <v>2111</v>
      </c>
      <c r="G234" t="s">
        <v>2212</v>
      </c>
      <c r="H234">
        <v>11354</v>
      </c>
      <c r="I234" t="s">
        <v>2229</v>
      </c>
      <c r="J234">
        <v>6</v>
      </c>
      <c r="K234">
        <v>3</v>
      </c>
      <c r="L234" t="s">
        <v>2283</v>
      </c>
      <c r="M234" t="s">
        <v>2677</v>
      </c>
      <c r="P234" t="s">
        <v>2732</v>
      </c>
      <c r="Q234" t="s">
        <v>3255</v>
      </c>
      <c r="R234" t="s">
        <v>3258</v>
      </c>
      <c r="S234" t="s">
        <v>3277</v>
      </c>
      <c r="X234" t="s">
        <v>3354</v>
      </c>
      <c r="Y234" t="s">
        <v>2678</v>
      </c>
      <c r="Z234" t="s">
        <v>3374</v>
      </c>
      <c r="AB234" t="s">
        <v>3425</v>
      </c>
      <c r="AC234">
        <f>HYPERLINK("https://lsnyc.legalserver.org/matter/dynamic-profile/view/1911552","19-1911552")</f>
        <v>0</v>
      </c>
      <c r="AD234" t="s">
        <v>3443</v>
      </c>
      <c r="AE234" t="s">
        <v>3457</v>
      </c>
      <c r="AF234" t="s">
        <v>3714</v>
      </c>
      <c r="AG234" t="s">
        <v>3374</v>
      </c>
      <c r="AN234" t="s">
        <v>3425</v>
      </c>
    </row>
    <row r="235" spans="1:41">
      <c r="A235" s="1" t="s">
        <v>271</v>
      </c>
      <c r="B235" t="s">
        <v>2000</v>
      </c>
      <c r="C235" t="s">
        <v>1998</v>
      </c>
      <c r="D235" t="s">
        <v>2058</v>
      </c>
      <c r="E235" t="s">
        <v>2112</v>
      </c>
      <c r="F235" t="s">
        <v>2115</v>
      </c>
      <c r="G235" t="s">
        <v>2212</v>
      </c>
      <c r="H235">
        <v>11435</v>
      </c>
      <c r="I235" t="s">
        <v>2229</v>
      </c>
      <c r="J235">
        <v>4</v>
      </c>
      <c r="K235">
        <v>3</v>
      </c>
      <c r="L235" t="s">
        <v>2301</v>
      </c>
      <c r="M235" t="s">
        <v>2677</v>
      </c>
      <c r="P235" t="s">
        <v>2732</v>
      </c>
      <c r="Q235" t="s">
        <v>2113</v>
      </c>
      <c r="R235" t="s">
        <v>3261</v>
      </c>
      <c r="S235" t="s">
        <v>3283</v>
      </c>
      <c r="V235" t="s">
        <v>3353</v>
      </c>
      <c r="X235" t="s">
        <v>3354</v>
      </c>
      <c r="Y235" t="s">
        <v>2678</v>
      </c>
      <c r="Z235" t="s">
        <v>3359</v>
      </c>
      <c r="AA235" t="s">
        <v>3408</v>
      </c>
      <c r="AB235" t="s">
        <v>3431</v>
      </c>
      <c r="AC235">
        <f>HYPERLINK("https://lsnyc.legalserver.org/matter/dynamic-profile/view/1912387","19-1912387")</f>
        <v>0</v>
      </c>
      <c r="AD235" t="s">
        <v>3443</v>
      </c>
      <c r="AE235" t="s">
        <v>3450</v>
      </c>
      <c r="AF235" t="s">
        <v>3668</v>
      </c>
      <c r="AG235" t="s">
        <v>3359</v>
      </c>
      <c r="AH235" t="s">
        <v>3408</v>
      </c>
      <c r="AL235" t="s">
        <v>2115</v>
      </c>
      <c r="AN235" t="s">
        <v>3431</v>
      </c>
      <c r="AO235" t="s">
        <v>3353</v>
      </c>
    </row>
    <row r="236" spans="1:41">
      <c r="A236" s="1" t="s">
        <v>272</v>
      </c>
      <c r="B236" t="s">
        <v>2012</v>
      </c>
      <c r="C236" t="s">
        <v>2006</v>
      </c>
      <c r="D236" t="s">
        <v>2038</v>
      </c>
      <c r="E236" t="s">
        <v>2113</v>
      </c>
      <c r="F236" t="s">
        <v>2155</v>
      </c>
      <c r="G236" t="s">
        <v>2211</v>
      </c>
      <c r="H236">
        <v>10023</v>
      </c>
      <c r="I236" t="s">
        <v>2242</v>
      </c>
      <c r="J236">
        <v>1</v>
      </c>
      <c r="K236">
        <v>0</v>
      </c>
      <c r="L236" t="s">
        <v>2347</v>
      </c>
      <c r="M236" t="s">
        <v>2677</v>
      </c>
      <c r="P236" t="s">
        <v>2742</v>
      </c>
      <c r="Q236" t="s">
        <v>2113</v>
      </c>
      <c r="X236" t="s">
        <v>3354</v>
      </c>
      <c r="Y236" t="s">
        <v>2677</v>
      </c>
      <c r="AA236" t="s">
        <v>3407</v>
      </c>
      <c r="AB236" t="s">
        <v>3407</v>
      </c>
      <c r="AC236">
        <f>HYPERLINK("https://lsnyc.legalserver.org/matter/dynamic-profile/view/1911347","19-1911347")</f>
        <v>0</v>
      </c>
      <c r="AD236" t="s">
        <v>3445</v>
      </c>
      <c r="AE236" t="s">
        <v>3452</v>
      </c>
      <c r="AF236" t="s">
        <v>3715</v>
      </c>
      <c r="AH236" t="s">
        <v>3407</v>
      </c>
      <c r="AL236" t="s">
        <v>2155</v>
      </c>
      <c r="AN236" t="s">
        <v>3407</v>
      </c>
    </row>
    <row r="237" spans="1:41">
      <c r="A237" s="1" t="s">
        <v>273</v>
      </c>
      <c r="B237" t="s">
        <v>1998</v>
      </c>
      <c r="C237" t="s">
        <v>2009</v>
      </c>
      <c r="D237" t="s">
        <v>2062</v>
      </c>
      <c r="E237" t="s">
        <v>2112</v>
      </c>
      <c r="F237" t="s">
        <v>2121</v>
      </c>
      <c r="G237" t="s">
        <v>2213</v>
      </c>
      <c r="H237">
        <v>10458</v>
      </c>
      <c r="I237" t="s">
        <v>2229</v>
      </c>
      <c r="J237">
        <v>1</v>
      </c>
      <c r="K237">
        <v>0</v>
      </c>
      <c r="L237" t="s">
        <v>2285</v>
      </c>
      <c r="M237" t="s">
        <v>2677</v>
      </c>
      <c r="P237" t="s">
        <v>2742</v>
      </c>
      <c r="Q237" t="s">
        <v>2113</v>
      </c>
      <c r="V237" t="s">
        <v>3352</v>
      </c>
      <c r="X237" t="s">
        <v>3354</v>
      </c>
      <c r="Y237" t="s">
        <v>2677</v>
      </c>
      <c r="AA237" t="s">
        <v>3407</v>
      </c>
      <c r="AB237" t="s">
        <v>3407</v>
      </c>
      <c r="AC237">
        <f>HYPERLINK("https://lsnyc.legalserver.org/matter/dynamic-profile/view/1911417","19-1911417")</f>
        <v>0</v>
      </c>
      <c r="AD237" t="s">
        <v>3445</v>
      </c>
      <c r="AE237" t="s">
        <v>3452</v>
      </c>
      <c r="AF237" t="s">
        <v>3716</v>
      </c>
      <c r="AH237" t="s">
        <v>3407</v>
      </c>
      <c r="AL237" t="s">
        <v>2121</v>
      </c>
      <c r="AN237" t="s">
        <v>3407</v>
      </c>
      <c r="AO237" t="s">
        <v>3352</v>
      </c>
    </row>
    <row r="238" spans="1:41">
      <c r="A238" s="1" t="s">
        <v>274</v>
      </c>
      <c r="B238" t="s">
        <v>2016</v>
      </c>
      <c r="C238" t="s">
        <v>2009</v>
      </c>
      <c r="D238" t="s">
        <v>2084</v>
      </c>
      <c r="E238" t="s">
        <v>2112</v>
      </c>
      <c r="F238" t="s">
        <v>2156</v>
      </c>
      <c r="G238" t="s">
        <v>2216</v>
      </c>
      <c r="H238">
        <v>10304</v>
      </c>
      <c r="I238" t="s">
        <v>2230</v>
      </c>
      <c r="J238">
        <v>3</v>
      </c>
      <c r="K238">
        <v>1</v>
      </c>
      <c r="L238" t="s">
        <v>2348</v>
      </c>
      <c r="M238" t="s">
        <v>2677</v>
      </c>
      <c r="P238" t="s">
        <v>2743</v>
      </c>
      <c r="Q238" t="s">
        <v>2113</v>
      </c>
      <c r="V238" t="s">
        <v>3352</v>
      </c>
      <c r="X238" t="s">
        <v>3354</v>
      </c>
      <c r="Y238" t="s">
        <v>2677</v>
      </c>
      <c r="AA238" t="s">
        <v>3407</v>
      </c>
      <c r="AB238" t="s">
        <v>3407</v>
      </c>
      <c r="AC238">
        <f>HYPERLINK("https://lsnyc.legalserver.org/matter/dynamic-profile/view/1911252","19-1911252")</f>
        <v>0</v>
      </c>
      <c r="AD238" t="s">
        <v>3445</v>
      </c>
      <c r="AE238" t="s">
        <v>3461</v>
      </c>
      <c r="AF238" t="s">
        <v>3717</v>
      </c>
      <c r="AH238" t="s">
        <v>3407</v>
      </c>
      <c r="AL238" t="s">
        <v>2156</v>
      </c>
      <c r="AN238" t="s">
        <v>3407</v>
      </c>
      <c r="AO238" t="s">
        <v>3352</v>
      </c>
    </row>
    <row r="239" spans="1:41">
      <c r="A239" s="1" t="s">
        <v>275</v>
      </c>
      <c r="B239" t="s">
        <v>2017</v>
      </c>
      <c r="C239" t="s">
        <v>2001</v>
      </c>
      <c r="D239" t="s">
        <v>2055</v>
      </c>
      <c r="E239" t="s">
        <v>2111</v>
      </c>
      <c r="F239" t="s">
        <v>2157</v>
      </c>
      <c r="G239" t="s">
        <v>2214</v>
      </c>
      <c r="H239">
        <v>11213</v>
      </c>
      <c r="I239" t="s">
        <v>2230</v>
      </c>
      <c r="J239">
        <v>1</v>
      </c>
      <c r="K239">
        <v>0</v>
      </c>
      <c r="L239" t="s">
        <v>2281</v>
      </c>
      <c r="M239" t="s">
        <v>2677</v>
      </c>
      <c r="P239" t="s">
        <v>2718</v>
      </c>
      <c r="Q239" t="s">
        <v>2113</v>
      </c>
      <c r="R239" t="s">
        <v>3258</v>
      </c>
      <c r="S239" t="s">
        <v>3271</v>
      </c>
      <c r="V239" t="s">
        <v>3352</v>
      </c>
      <c r="X239" t="s">
        <v>3354</v>
      </c>
      <c r="Y239" t="s">
        <v>2677</v>
      </c>
      <c r="Z239" t="s">
        <v>3369</v>
      </c>
      <c r="AA239" t="s">
        <v>3406</v>
      </c>
      <c r="AB239" t="s">
        <v>3419</v>
      </c>
      <c r="AC239">
        <f>HYPERLINK("https://lsnyc.legalserver.org/matter/dynamic-profile/view/1911277","19-1911277")</f>
        <v>0</v>
      </c>
      <c r="AD239" t="s">
        <v>3445</v>
      </c>
      <c r="AE239" t="s">
        <v>3455</v>
      </c>
      <c r="AF239" t="s">
        <v>3718</v>
      </c>
      <c r="AG239" t="s">
        <v>3369</v>
      </c>
      <c r="AH239" t="s">
        <v>4904</v>
      </c>
      <c r="AL239" t="s">
        <v>2157</v>
      </c>
      <c r="AN239" t="s">
        <v>3419</v>
      </c>
      <c r="AO239" t="s">
        <v>3352</v>
      </c>
    </row>
    <row r="240" spans="1:41">
      <c r="A240" s="1" t="s">
        <v>276</v>
      </c>
      <c r="B240" t="s">
        <v>1998</v>
      </c>
      <c r="C240" t="s">
        <v>2001</v>
      </c>
      <c r="D240" t="s">
        <v>2065</v>
      </c>
      <c r="E240" t="s">
        <v>2112</v>
      </c>
      <c r="F240" t="s">
        <v>2117</v>
      </c>
      <c r="G240" t="s">
        <v>2213</v>
      </c>
      <c r="H240">
        <v>10456</v>
      </c>
      <c r="I240" t="s">
        <v>2229</v>
      </c>
      <c r="J240">
        <v>3</v>
      </c>
      <c r="K240">
        <v>2</v>
      </c>
      <c r="L240" t="s">
        <v>2260</v>
      </c>
      <c r="M240" t="s">
        <v>2677</v>
      </c>
      <c r="P240" t="s">
        <v>2743</v>
      </c>
      <c r="Q240" t="s">
        <v>3255</v>
      </c>
      <c r="R240" t="s">
        <v>3258</v>
      </c>
      <c r="S240" t="s">
        <v>3262</v>
      </c>
      <c r="X240" t="s">
        <v>3354</v>
      </c>
      <c r="Y240" t="s">
        <v>2678</v>
      </c>
      <c r="Z240" t="s">
        <v>3355</v>
      </c>
      <c r="AB240" t="s">
        <v>3410</v>
      </c>
      <c r="AC240">
        <f>HYPERLINK("https://lsnyc.legalserver.org/matter/dynamic-profile/view/1911294","19-1911294")</f>
        <v>0</v>
      </c>
      <c r="AD240" t="s">
        <v>3444</v>
      </c>
      <c r="AE240" t="s">
        <v>3466</v>
      </c>
      <c r="AF240" t="s">
        <v>3719</v>
      </c>
      <c r="AG240" t="s">
        <v>3355</v>
      </c>
      <c r="AL240" t="s">
        <v>2117</v>
      </c>
      <c r="AN240" t="s">
        <v>3410</v>
      </c>
    </row>
    <row r="241" spans="1:41">
      <c r="A241" s="1" t="s">
        <v>277</v>
      </c>
      <c r="B241" t="s">
        <v>1998</v>
      </c>
      <c r="C241" t="s">
        <v>2017</v>
      </c>
      <c r="D241" t="s">
        <v>2027</v>
      </c>
      <c r="E241" t="s">
        <v>2111</v>
      </c>
      <c r="F241" t="s">
        <v>2117</v>
      </c>
      <c r="G241" t="s">
        <v>2213</v>
      </c>
      <c r="H241">
        <v>10456</v>
      </c>
      <c r="I241" t="s">
        <v>2229</v>
      </c>
      <c r="J241">
        <v>3</v>
      </c>
      <c r="K241">
        <v>2</v>
      </c>
      <c r="L241" t="s">
        <v>2260</v>
      </c>
      <c r="M241" t="s">
        <v>2677</v>
      </c>
      <c r="P241" t="s">
        <v>2743</v>
      </c>
      <c r="Q241" t="s">
        <v>3255</v>
      </c>
      <c r="R241" t="s">
        <v>3258</v>
      </c>
      <c r="S241" t="s">
        <v>3262</v>
      </c>
      <c r="X241" t="s">
        <v>3354</v>
      </c>
      <c r="Y241" t="s">
        <v>2678</v>
      </c>
      <c r="Z241" t="s">
        <v>3355</v>
      </c>
      <c r="AB241" t="s">
        <v>3410</v>
      </c>
      <c r="AC241">
        <f>HYPERLINK("https://lsnyc.legalserver.org/matter/dynamic-profile/view/1911301","19-1911301")</f>
        <v>0</v>
      </c>
      <c r="AD241" t="s">
        <v>3444</v>
      </c>
      <c r="AE241" t="s">
        <v>3466</v>
      </c>
      <c r="AF241" t="s">
        <v>3720</v>
      </c>
      <c r="AG241" t="s">
        <v>3355</v>
      </c>
      <c r="AL241" t="s">
        <v>2117</v>
      </c>
      <c r="AN241" t="s">
        <v>3410</v>
      </c>
    </row>
    <row r="242" spans="1:41">
      <c r="A242" s="1" t="s">
        <v>278</v>
      </c>
      <c r="B242" t="s">
        <v>2004</v>
      </c>
      <c r="C242" t="s">
        <v>2016</v>
      </c>
      <c r="D242" t="s">
        <v>2093</v>
      </c>
      <c r="E242" t="s">
        <v>2111</v>
      </c>
      <c r="F242" t="s">
        <v>2129</v>
      </c>
      <c r="G242" t="s">
        <v>2211</v>
      </c>
      <c r="H242">
        <v>10035</v>
      </c>
      <c r="I242" t="s">
        <v>2230</v>
      </c>
      <c r="J242">
        <v>1</v>
      </c>
      <c r="K242">
        <v>0</v>
      </c>
      <c r="L242" t="s">
        <v>2349</v>
      </c>
      <c r="M242" t="s">
        <v>2677</v>
      </c>
      <c r="P242" t="s">
        <v>2744</v>
      </c>
      <c r="Q242" t="s">
        <v>2113</v>
      </c>
      <c r="V242" t="s">
        <v>3352</v>
      </c>
      <c r="X242" t="s">
        <v>3354</v>
      </c>
      <c r="Y242" t="s">
        <v>2677</v>
      </c>
      <c r="AA242" t="s">
        <v>3407</v>
      </c>
      <c r="AB242" t="s">
        <v>3407</v>
      </c>
      <c r="AC242">
        <f>HYPERLINK("https://lsnyc.legalserver.org/matter/dynamic-profile/view/1911139","19-1911139")</f>
        <v>0</v>
      </c>
      <c r="AD242" t="s">
        <v>3445</v>
      </c>
      <c r="AE242" t="s">
        <v>3461</v>
      </c>
      <c r="AF242" t="s">
        <v>3721</v>
      </c>
      <c r="AH242" t="s">
        <v>3407</v>
      </c>
      <c r="AL242" t="s">
        <v>2129</v>
      </c>
      <c r="AN242" t="s">
        <v>3407</v>
      </c>
      <c r="AO242" t="s">
        <v>3352</v>
      </c>
    </row>
    <row r="243" spans="1:41">
      <c r="A243" s="1" t="s">
        <v>279</v>
      </c>
      <c r="B243" t="s">
        <v>2009</v>
      </c>
      <c r="C243" t="s">
        <v>2016</v>
      </c>
      <c r="D243" t="s">
        <v>2067</v>
      </c>
      <c r="E243" t="s">
        <v>2112</v>
      </c>
      <c r="G243" t="s">
        <v>2214</v>
      </c>
      <c r="H243">
        <v>11208</v>
      </c>
      <c r="I243" t="s">
        <v>2230</v>
      </c>
      <c r="J243">
        <v>1</v>
      </c>
      <c r="K243">
        <v>0</v>
      </c>
      <c r="L243" t="s">
        <v>2350</v>
      </c>
      <c r="M243" t="s">
        <v>2677</v>
      </c>
      <c r="P243" t="s">
        <v>2745</v>
      </c>
      <c r="Q243" t="s">
        <v>2113</v>
      </c>
      <c r="V243" t="s">
        <v>3352</v>
      </c>
      <c r="X243" t="s">
        <v>3354</v>
      </c>
      <c r="Y243" t="s">
        <v>2677</v>
      </c>
      <c r="AA243" t="s">
        <v>3407</v>
      </c>
      <c r="AB243" t="s">
        <v>3407</v>
      </c>
      <c r="AC243">
        <f>HYPERLINK("https://lsnyc.legalserver.org/matter/dynamic-profile/view/1911033","19-1911033")</f>
        <v>0</v>
      </c>
      <c r="AD243" t="s">
        <v>3445</v>
      </c>
      <c r="AE243" t="s">
        <v>3469</v>
      </c>
      <c r="AF243" t="s">
        <v>3722</v>
      </c>
      <c r="AH243" t="s">
        <v>3407</v>
      </c>
      <c r="AN243" t="s">
        <v>3407</v>
      </c>
      <c r="AO243" t="s">
        <v>3352</v>
      </c>
    </row>
    <row r="244" spans="1:41">
      <c r="A244" s="1" t="s">
        <v>280</v>
      </c>
      <c r="B244" t="s">
        <v>1998</v>
      </c>
      <c r="C244" t="s">
        <v>2009</v>
      </c>
      <c r="D244" t="s">
        <v>2078</v>
      </c>
      <c r="E244" t="s">
        <v>2112</v>
      </c>
      <c r="F244" t="s">
        <v>2123</v>
      </c>
      <c r="G244" t="s">
        <v>2214</v>
      </c>
      <c r="H244">
        <v>11208</v>
      </c>
      <c r="I244" t="s">
        <v>2229</v>
      </c>
      <c r="J244">
        <v>1</v>
      </c>
      <c r="K244">
        <v>0</v>
      </c>
      <c r="L244" t="s">
        <v>2351</v>
      </c>
      <c r="M244" t="s">
        <v>2677</v>
      </c>
      <c r="P244" t="s">
        <v>2745</v>
      </c>
      <c r="Q244" t="s">
        <v>2113</v>
      </c>
      <c r="V244" t="s">
        <v>3352</v>
      </c>
      <c r="X244" t="s">
        <v>3354</v>
      </c>
      <c r="Y244" t="s">
        <v>2677</v>
      </c>
      <c r="AA244" t="s">
        <v>3407</v>
      </c>
      <c r="AB244" t="s">
        <v>3407</v>
      </c>
      <c r="AC244">
        <f>HYPERLINK("https://lsnyc.legalserver.org/matter/dynamic-profile/view/1911042","19-1911042")</f>
        <v>0</v>
      </c>
      <c r="AD244" t="s">
        <v>3445</v>
      </c>
      <c r="AE244" t="s">
        <v>3469</v>
      </c>
      <c r="AF244" t="s">
        <v>3723</v>
      </c>
      <c r="AH244" t="s">
        <v>3407</v>
      </c>
      <c r="AL244" t="s">
        <v>2123</v>
      </c>
      <c r="AN244" t="s">
        <v>3407</v>
      </c>
      <c r="AO244" t="s">
        <v>3352</v>
      </c>
    </row>
    <row r="245" spans="1:41">
      <c r="A245" s="1" t="s">
        <v>281</v>
      </c>
      <c r="B245" t="s">
        <v>2016</v>
      </c>
      <c r="C245" t="s">
        <v>2004</v>
      </c>
      <c r="D245" t="s">
        <v>2029</v>
      </c>
      <c r="E245" t="s">
        <v>2111</v>
      </c>
      <c r="F245" t="s">
        <v>2122</v>
      </c>
      <c r="G245" t="s">
        <v>2214</v>
      </c>
      <c r="H245">
        <v>10458</v>
      </c>
      <c r="I245" t="s">
        <v>2230</v>
      </c>
      <c r="J245">
        <v>1</v>
      </c>
      <c r="K245">
        <v>0</v>
      </c>
      <c r="L245" t="s">
        <v>2352</v>
      </c>
      <c r="M245" t="s">
        <v>2677</v>
      </c>
      <c r="P245" t="s">
        <v>2745</v>
      </c>
      <c r="Q245" t="s">
        <v>2113</v>
      </c>
      <c r="V245" t="s">
        <v>3352</v>
      </c>
      <c r="X245" t="s">
        <v>3354</v>
      </c>
      <c r="Y245" t="s">
        <v>2677</v>
      </c>
      <c r="Z245" t="s">
        <v>3362</v>
      </c>
      <c r="AA245" t="s">
        <v>3407</v>
      </c>
      <c r="AB245" t="s">
        <v>3407</v>
      </c>
      <c r="AC245">
        <f>HYPERLINK("https://lsnyc.legalserver.org/matter/dynamic-profile/view/1911069","19-1911069")</f>
        <v>0</v>
      </c>
      <c r="AD245" t="s">
        <v>3445</v>
      </c>
      <c r="AE245" t="s">
        <v>3469</v>
      </c>
      <c r="AF245" t="s">
        <v>3724</v>
      </c>
      <c r="AG245" t="s">
        <v>3362</v>
      </c>
      <c r="AH245" t="s">
        <v>3407</v>
      </c>
      <c r="AL245" t="s">
        <v>2122</v>
      </c>
      <c r="AN245" t="s">
        <v>3407</v>
      </c>
      <c r="AO245" t="s">
        <v>3352</v>
      </c>
    </row>
    <row r="246" spans="1:41">
      <c r="A246" s="1" t="s">
        <v>282</v>
      </c>
      <c r="B246" t="s">
        <v>1998</v>
      </c>
      <c r="C246" t="s">
        <v>2001</v>
      </c>
      <c r="D246" t="s">
        <v>2077</v>
      </c>
      <c r="E246" t="s">
        <v>2111</v>
      </c>
      <c r="F246" t="s">
        <v>2150</v>
      </c>
      <c r="G246" t="s">
        <v>2214</v>
      </c>
      <c r="H246">
        <v>11213</v>
      </c>
      <c r="I246" t="s">
        <v>2229</v>
      </c>
      <c r="J246">
        <v>1</v>
      </c>
      <c r="K246">
        <v>0</v>
      </c>
      <c r="L246" t="s">
        <v>2353</v>
      </c>
      <c r="M246" t="s">
        <v>2677</v>
      </c>
      <c r="P246" t="s">
        <v>2745</v>
      </c>
      <c r="Q246" t="s">
        <v>2113</v>
      </c>
      <c r="V246" t="s">
        <v>3352</v>
      </c>
      <c r="X246" t="s">
        <v>3354</v>
      </c>
      <c r="Y246" t="s">
        <v>2677</v>
      </c>
      <c r="AA246" t="s">
        <v>3407</v>
      </c>
      <c r="AB246" t="s">
        <v>3407</v>
      </c>
      <c r="AC246">
        <f>HYPERLINK("https://lsnyc.legalserver.org/matter/dynamic-profile/view/1911086","19-1911086")</f>
        <v>0</v>
      </c>
      <c r="AD246" t="s">
        <v>3445</v>
      </c>
      <c r="AE246" t="s">
        <v>3461</v>
      </c>
      <c r="AF246" t="s">
        <v>3725</v>
      </c>
      <c r="AH246" t="s">
        <v>3407</v>
      </c>
      <c r="AL246" t="s">
        <v>2150</v>
      </c>
      <c r="AN246" t="s">
        <v>3407</v>
      </c>
      <c r="AO246" t="s">
        <v>3352</v>
      </c>
    </row>
    <row r="247" spans="1:41">
      <c r="A247" s="1" t="s">
        <v>283</v>
      </c>
      <c r="B247" t="s">
        <v>1998</v>
      </c>
      <c r="C247" t="s">
        <v>2016</v>
      </c>
      <c r="D247" t="s">
        <v>2048</v>
      </c>
      <c r="E247" t="s">
        <v>2112</v>
      </c>
      <c r="F247" t="s">
        <v>2117</v>
      </c>
      <c r="G247" t="s">
        <v>2212</v>
      </c>
      <c r="H247">
        <v>11433</v>
      </c>
      <c r="I247" t="s">
        <v>2229</v>
      </c>
      <c r="J247">
        <v>3</v>
      </c>
      <c r="K247">
        <v>2</v>
      </c>
      <c r="L247" t="s">
        <v>2260</v>
      </c>
      <c r="M247" t="s">
        <v>2677</v>
      </c>
      <c r="P247" t="s">
        <v>2746</v>
      </c>
      <c r="Q247" t="s">
        <v>3255</v>
      </c>
      <c r="R247" t="s">
        <v>3259</v>
      </c>
      <c r="S247" t="s">
        <v>3264</v>
      </c>
      <c r="X247" t="s">
        <v>3354</v>
      </c>
      <c r="Y247" t="s">
        <v>2678</v>
      </c>
      <c r="Z247" t="s">
        <v>3357</v>
      </c>
      <c r="AB247" t="s">
        <v>3412</v>
      </c>
      <c r="AC247">
        <f>HYPERLINK("https://lsnyc.legalserver.org/matter/dynamic-profile/view/1909317","19-1909317")</f>
        <v>0</v>
      </c>
      <c r="AD247" t="s">
        <v>3443</v>
      </c>
      <c r="AE247" t="s">
        <v>3471</v>
      </c>
      <c r="AF247" t="s">
        <v>3726</v>
      </c>
      <c r="AG247" t="s">
        <v>3357</v>
      </c>
      <c r="AI247" t="s">
        <v>4909</v>
      </c>
      <c r="AL247" t="s">
        <v>2117</v>
      </c>
      <c r="AN247" t="s">
        <v>3412</v>
      </c>
    </row>
    <row r="248" spans="1:41">
      <c r="A248" s="1" t="s">
        <v>284</v>
      </c>
      <c r="B248" t="s">
        <v>2018</v>
      </c>
      <c r="C248" t="s">
        <v>2016</v>
      </c>
      <c r="D248" t="s">
        <v>2072</v>
      </c>
      <c r="E248" t="s">
        <v>2111</v>
      </c>
      <c r="F248" t="s">
        <v>2158</v>
      </c>
      <c r="G248" t="s">
        <v>2214</v>
      </c>
      <c r="H248">
        <v>11229</v>
      </c>
      <c r="I248" t="s">
        <v>2230</v>
      </c>
      <c r="J248">
        <v>1</v>
      </c>
      <c r="K248">
        <v>0</v>
      </c>
      <c r="L248" t="s">
        <v>2260</v>
      </c>
      <c r="M248" t="s">
        <v>2677</v>
      </c>
      <c r="P248" t="s">
        <v>2732</v>
      </c>
      <c r="Q248" t="s">
        <v>2113</v>
      </c>
      <c r="R248" t="s">
        <v>3259</v>
      </c>
      <c r="S248" t="s">
        <v>3268</v>
      </c>
      <c r="X248" t="s">
        <v>3354</v>
      </c>
      <c r="Y248" t="s">
        <v>2677</v>
      </c>
      <c r="Z248" t="s">
        <v>3368</v>
      </c>
      <c r="AA248" t="s">
        <v>3406</v>
      </c>
      <c r="AB248" t="s">
        <v>3416</v>
      </c>
      <c r="AC248">
        <f>HYPERLINK("https://lsnyc.legalserver.org/matter/dynamic-profile/view/1910977","19-1910977")</f>
        <v>0</v>
      </c>
      <c r="AD248" t="s">
        <v>3445</v>
      </c>
      <c r="AE248" t="s">
        <v>3455</v>
      </c>
      <c r="AF248" t="s">
        <v>3727</v>
      </c>
      <c r="AG248" t="s">
        <v>3368</v>
      </c>
      <c r="AH248" t="s">
        <v>4904</v>
      </c>
      <c r="AL248" t="s">
        <v>2158</v>
      </c>
      <c r="AN248" t="s">
        <v>3416</v>
      </c>
    </row>
    <row r="249" spans="1:41">
      <c r="A249" s="1" t="s">
        <v>285</v>
      </c>
      <c r="B249" t="s">
        <v>1998</v>
      </c>
      <c r="C249" t="s">
        <v>1998</v>
      </c>
      <c r="D249" t="s">
        <v>2029</v>
      </c>
      <c r="E249" t="s">
        <v>2112</v>
      </c>
      <c r="F249" t="s">
        <v>2159</v>
      </c>
      <c r="G249" t="s">
        <v>2211</v>
      </c>
      <c r="H249">
        <v>10002</v>
      </c>
      <c r="I249" t="s">
        <v>2230</v>
      </c>
      <c r="J249">
        <v>1</v>
      </c>
      <c r="K249">
        <v>0</v>
      </c>
      <c r="L249" t="s">
        <v>2315</v>
      </c>
      <c r="M249" t="s">
        <v>2677</v>
      </c>
      <c r="P249" t="s">
        <v>2747</v>
      </c>
      <c r="Q249" t="s">
        <v>2113</v>
      </c>
      <c r="V249" t="s">
        <v>3352</v>
      </c>
      <c r="X249" t="s">
        <v>3354</v>
      </c>
      <c r="Y249" t="s">
        <v>2677</v>
      </c>
      <c r="AA249" t="s">
        <v>3407</v>
      </c>
      <c r="AB249" t="s">
        <v>3407</v>
      </c>
      <c r="AC249">
        <f>HYPERLINK("https://lsnyc.legalserver.org/matter/dynamic-profile/view/1910820","19-1910820")</f>
        <v>0</v>
      </c>
      <c r="AD249" t="s">
        <v>3445</v>
      </c>
      <c r="AE249" t="s">
        <v>3461</v>
      </c>
      <c r="AF249" t="s">
        <v>3728</v>
      </c>
      <c r="AH249" t="s">
        <v>3407</v>
      </c>
      <c r="AL249" t="s">
        <v>2159</v>
      </c>
      <c r="AN249" t="s">
        <v>3407</v>
      </c>
      <c r="AO249" t="s">
        <v>3352</v>
      </c>
    </row>
    <row r="250" spans="1:41">
      <c r="A250" s="1" t="s">
        <v>286</v>
      </c>
      <c r="B250" t="s">
        <v>1998</v>
      </c>
      <c r="C250" t="s">
        <v>1998</v>
      </c>
      <c r="D250" t="s">
        <v>2057</v>
      </c>
      <c r="E250" t="s">
        <v>2112</v>
      </c>
      <c r="F250" t="s">
        <v>2135</v>
      </c>
      <c r="G250" t="s">
        <v>2213</v>
      </c>
      <c r="H250">
        <v>10467</v>
      </c>
      <c r="I250" t="s">
        <v>2229</v>
      </c>
      <c r="J250">
        <v>4</v>
      </c>
      <c r="K250">
        <v>3</v>
      </c>
      <c r="L250" t="s">
        <v>2262</v>
      </c>
      <c r="M250" t="s">
        <v>2677</v>
      </c>
      <c r="P250" t="s">
        <v>2747</v>
      </c>
      <c r="Q250" t="s">
        <v>2113</v>
      </c>
      <c r="R250" t="s">
        <v>3259</v>
      </c>
      <c r="S250" t="s">
        <v>3270</v>
      </c>
      <c r="X250" t="s">
        <v>3354</v>
      </c>
      <c r="Y250" t="s">
        <v>2677</v>
      </c>
      <c r="Z250" t="s">
        <v>3362</v>
      </c>
      <c r="AA250" t="s">
        <v>3406</v>
      </c>
      <c r="AB250" t="s">
        <v>3418</v>
      </c>
      <c r="AC250">
        <f>HYPERLINK("https://lsnyc.legalserver.org/matter/dynamic-profile/view/1910832","19-1910832")</f>
        <v>0</v>
      </c>
      <c r="AD250" t="s">
        <v>3445</v>
      </c>
      <c r="AE250" t="s">
        <v>3452</v>
      </c>
      <c r="AF250" t="s">
        <v>3729</v>
      </c>
      <c r="AG250" t="s">
        <v>3362</v>
      </c>
      <c r="AH250" t="s">
        <v>4904</v>
      </c>
      <c r="AL250" t="s">
        <v>2135</v>
      </c>
      <c r="AN250" t="s">
        <v>3418</v>
      </c>
    </row>
    <row r="251" spans="1:41">
      <c r="A251" s="1" t="s">
        <v>287</v>
      </c>
      <c r="B251" t="s">
        <v>2001</v>
      </c>
      <c r="C251" t="s">
        <v>2012</v>
      </c>
      <c r="D251" t="s">
        <v>2040</v>
      </c>
      <c r="E251" t="s">
        <v>2111</v>
      </c>
      <c r="F251" t="s">
        <v>2116</v>
      </c>
      <c r="G251" t="s">
        <v>2212</v>
      </c>
      <c r="H251">
        <v>11354</v>
      </c>
      <c r="I251" t="s">
        <v>2229</v>
      </c>
      <c r="J251">
        <v>6</v>
      </c>
      <c r="K251">
        <v>3</v>
      </c>
      <c r="L251" t="s">
        <v>2260</v>
      </c>
      <c r="M251" t="s">
        <v>2677</v>
      </c>
      <c r="P251" t="s">
        <v>2747</v>
      </c>
      <c r="Q251" t="s">
        <v>3255</v>
      </c>
      <c r="R251" t="s">
        <v>3258</v>
      </c>
      <c r="S251" t="s">
        <v>3269</v>
      </c>
      <c r="V251" t="s">
        <v>3352</v>
      </c>
      <c r="X251" t="s">
        <v>3354</v>
      </c>
      <c r="Y251" t="s">
        <v>2678</v>
      </c>
      <c r="Z251" t="s">
        <v>3361</v>
      </c>
      <c r="AA251" t="s">
        <v>3406</v>
      </c>
      <c r="AB251" t="s">
        <v>3417</v>
      </c>
      <c r="AC251">
        <f>HYPERLINK("https://lsnyc.legalserver.org/matter/dynamic-profile/view/1910873","19-1910873")</f>
        <v>0</v>
      </c>
      <c r="AD251" t="s">
        <v>3443</v>
      </c>
      <c r="AE251" t="s">
        <v>3457</v>
      </c>
      <c r="AF251" t="s">
        <v>3730</v>
      </c>
      <c r="AG251" t="s">
        <v>3361</v>
      </c>
      <c r="AH251" t="s">
        <v>4904</v>
      </c>
      <c r="AL251" t="s">
        <v>2116</v>
      </c>
      <c r="AN251" t="s">
        <v>3417</v>
      </c>
      <c r="AO251" t="s">
        <v>3352</v>
      </c>
    </row>
    <row r="252" spans="1:41">
      <c r="A252" s="1" t="s">
        <v>288</v>
      </c>
      <c r="B252" t="s">
        <v>2001</v>
      </c>
      <c r="C252" t="s">
        <v>2003</v>
      </c>
      <c r="D252" t="s">
        <v>2026</v>
      </c>
      <c r="E252" t="s">
        <v>2111</v>
      </c>
      <c r="G252" t="s">
        <v>2216</v>
      </c>
      <c r="H252">
        <v>10304</v>
      </c>
      <c r="I252" t="s">
        <v>2229</v>
      </c>
      <c r="J252">
        <v>2</v>
      </c>
      <c r="K252">
        <v>1</v>
      </c>
      <c r="L252" t="s">
        <v>2262</v>
      </c>
      <c r="M252" t="s">
        <v>2677</v>
      </c>
      <c r="P252" t="s">
        <v>2747</v>
      </c>
      <c r="Q252" t="s">
        <v>3255</v>
      </c>
      <c r="R252" t="s">
        <v>3259</v>
      </c>
      <c r="S252" t="s">
        <v>3267</v>
      </c>
      <c r="X252" t="s">
        <v>3354</v>
      </c>
      <c r="Y252" t="s">
        <v>2678</v>
      </c>
      <c r="Z252" t="s">
        <v>3359</v>
      </c>
      <c r="AB252" t="s">
        <v>3415</v>
      </c>
      <c r="AC252">
        <f>HYPERLINK("https://lsnyc.legalserver.org/matter/dynamic-profile/view/1917829","20-1917829")</f>
        <v>0</v>
      </c>
      <c r="AD252" t="s">
        <v>3447</v>
      </c>
      <c r="AE252" t="s">
        <v>3478</v>
      </c>
      <c r="AF252" t="s">
        <v>3731</v>
      </c>
      <c r="AG252" t="s">
        <v>3359</v>
      </c>
      <c r="AI252" t="s">
        <v>4909</v>
      </c>
      <c r="AN252" t="s">
        <v>3415</v>
      </c>
    </row>
    <row r="253" spans="1:41">
      <c r="A253" s="1" t="s">
        <v>289</v>
      </c>
      <c r="B253" t="s">
        <v>1998</v>
      </c>
      <c r="C253" t="s">
        <v>2009</v>
      </c>
      <c r="D253" t="s">
        <v>2038</v>
      </c>
      <c r="E253" t="s">
        <v>2112</v>
      </c>
      <c r="F253" t="s">
        <v>2129</v>
      </c>
      <c r="G253" t="s">
        <v>2214</v>
      </c>
      <c r="H253">
        <v>11235</v>
      </c>
      <c r="I253" t="s">
        <v>2232</v>
      </c>
      <c r="J253">
        <v>1</v>
      </c>
      <c r="K253">
        <v>0</v>
      </c>
      <c r="L253" t="s">
        <v>2260</v>
      </c>
      <c r="M253" t="s">
        <v>2677</v>
      </c>
      <c r="P253" t="s">
        <v>2748</v>
      </c>
      <c r="Q253" t="s">
        <v>2113</v>
      </c>
      <c r="X253" t="s">
        <v>3354</v>
      </c>
      <c r="Y253" t="s">
        <v>2677</v>
      </c>
      <c r="AA253" t="s">
        <v>3407</v>
      </c>
      <c r="AB253" t="s">
        <v>3407</v>
      </c>
      <c r="AC253">
        <f>HYPERLINK("https://lsnyc.legalserver.org/matter/dynamic-profile/view/1910732","19-1910732")</f>
        <v>0</v>
      </c>
      <c r="AD253" t="s">
        <v>3445</v>
      </c>
      <c r="AE253" t="s">
        <v>3469</v>
      </c>
      <c r="AF253" t="s">
        <v>3732</v>
      </c>
      <c r="AH253" t="s">
        <v>3407</v>
      </c>
      <c r="AL253" t="s">
        <v>2129</v>
      </c>
      <c r="AN253" t="s">
        <v>3407</v>
      </c>
    </row>
    <row r="254" spans="1:41">
      <c r="A254" s="1" t="s">
        <v>290</v>
      </c>
      <c r="B254" t="s">
        <v>2001</v>
      </c>
      <c r="C254" t="s">
        <v>2012</v>
      </c>
      <c r="D254" t="s">
        <v>2094</v>
      </c>
      <c r="E254" t="s">
        <v>2112</v>
      </c>
      <c r="F254" t="s">
        <v>2117</v>
      </c>
      <c r="G254" t="s">
        <v>2212</v>
      </c>
      <c r="H254">
        <v>11412</v>
      </c>
      <c r="I254" t="s">
        <v>2229</v>
      </c>
      <c r="J254">
        <v>3</v>
      </c>
      <c r="K254">
        <v>1</v>
      </c>
      <c r="L254" t="s">
        <v>2283</v>
      </c>
      <c r="M254" t="s">
        <v>2677</v>
      </c>
      <c r="P254" t="s">
        <v>2748</v>
      </c>
      <c r="Q254" t="s">
        <v>2113</v>
      </c>
      <c r="R254" t="s">
        <v>3258</v>
      </c>
      <c r="S254" t="s">
        <v>3262</v>
      </c>
      <c r="T254" t="s">
        <v>3294</v>
      </c>
      <c r="U254" t="s">
        <v>2700</v>
      </c>
      <c r="X254" t="s">
        <v>3354</v>
      </c>
      <c r="Y254" t="s">
        <v>2678</v>
      </c>
      <c r="Z254" t="s">
        <v>3355</v>
      </c>
      <c r="AA254" t="s">
        <v>3406</v>
      </c>
      <c r="AB254" t="s">
        <v>3410</v>
      </c>
      <c r="AC254">
        <f>HYPERLINK("https://lsnyc.legalserver.org/matter/dynamic-profile/view/1910752","19-1910752")</f>
        <v>0</v>
      </c>
      <c r="AD254" t="s">
        <v>3443</v>
      </c>
      <c r="AE254" t="s">
        <v>3467</v>
      </c>
      <c r="AF254" t="s">
        <v>3733</v>
      </c>
      <c r="AG254" t="s">
        <v>3355</v>
      </c>
      <c r="AH254" t="s">
        <v>4904</v>
      </c>
      <c r="AI254" t="s">
        <v>4909</v>
      </c>
      <c r="AL254" t="s">
        <v>2117</v>
      </c>
      <c r="AM254" t="s">
        <v>3294</v>
      </c>
      <c r="AN254" t="s">
        <v>3410</v>
      </c>
    </row>
    <row r="255" spans="1:41">
      <c r="A255" s="1" t="s">
        <v>291</v>
      </c>
      <c r="B255" t="s">
        <v>2001</v>
      </c>
      <c r="C255" t="s">
        <v>1998</v>
      </c>
      <c r="D255" t="s">
        <v>2081</v>
      </c>
      <c r="E255" t="s">
        <v>2112</v>
      </c>
      <c r="F255" t="s">
        <v>2123</v>
      </c>
      <c r="G255" t="s">
        <v>2213</v>
      </c>
      <c r="H255">
        <v>10455</v>
      </c>
      <c r="I255" t="s">
        <v>2229</v>
      </c>
      <c r="J255">
        <v>2</v>
      </c>
      <c r="K255">
        <v>0</v>
      </c>
      <c r="L255" t="s">
        <v>2306</v>
      </c>
      <c r="M255" t="s">
        <v>2677</v>
      </c>
      <c r="P255" t="s">
        <v>2718</v>
      </c>
      <c r="Q255" t="s">
        <v>2113</v>
      </c>
      <c r="R255" t="s">
        <v>3258</v>
      </c>
      <c r="S255" t="s">
        <v>3271</v>
      </c>
      <c r="V255" t="s">
        <v>3352</v>
      </c>
      <c r="X255" t="s">
        <v>3354</v>
      </c>
      <c r="Y255" t="s">
        <v>2677</v>
      </c>
      <c r="Z255" t="s">
        <v>3362</v>
      </c>
      <c r="AA255" t="s">
        <v>3406</v>
      </c>
      <c r="AB255" t="s">
        <v>3419</v>
      </c>
      <c r="AC255">
        <f>HYPERLINK("https://lsnyc.legalserver.org/matter/dynamic-profile/view/1910757","19-1910757")</f>
        <v>0</v>
      </c>
      <c r="AD255" t="s">
        <v>3445</v>
      </c>
      <c r="AE255" t="s">
        <v>3452</v>
      </c>
      <c r="AF255" t="s">
        <v>3734</v>
      </c>
      <c r="AG255" t="s">
        <v>3362</v>
      </c>
      <c r="AH255" t="s">
        <v>4904</v>
      </c>
      <c r="AL255" t="s">
        <v>2123</v>
      </c>
      <c r="AN255" t="s">
        <v>3419</v>
      </c>
      <c r="AO255" t="s">
        <v>3352</v>
      </c>
    </row>
    <row r="256" spans="1:41">
      <c r="A256" s="1" t="s">
        <v>292</v>
      </c>
      <c r="B256" t="s">
        <v>2016</v>
      </c>
      <c r="C256" t="s">
        <v>2000</v>
      </c>
      <c r="D256" t="s">
        <v>2086</v>
      </c>
      <c r="E256" t="s">
        <v>2111</v>
      </c>
      <c r="F256" t="s">
        <v>2123</v>
      </c>
      <c r="G256" t="s">
        <v>2213</v>
      </c>
      <c r="H256">
        <v>10467</v>
      </c>
      <c r="I256" t="s">
        <v>2229</v>
      </c>
      <c r="J256">
        <v>1</v>
      </c>
      <c r="K256">
        <v>0</v>
      </c>
      <c r="L256" t="s">
        <v>2354</v>
      </c>
      <c r="M256" t="s">
        <v>2677</v>
      </c>
      <c r="P256" t="s">
        <v>2748</v>
      </c>
      <c r="Q256" t="s">
        <v>2113</v>
      </c>
      <c r="V256" t="s">
        <v>3352</v>
      </c>
      <c r="X256" t="s">
        <v>3354</v>
      </c>
      <c r="Y256" t="s">
        <v>2677</v>
      </c>
      <c r="Z256" t="s">
        <v>3362</v>
      </c>
      <c r="AA256" t="s">
        <v>3407</v>
      </c>
      <c r="AB256" t="s">
        <v>3407</v>
      </c>
      <c r="AC256">
        <f>HYPERLINK("https://lsnyc.legalserver.org/matter/dynamic-profile/view/1910765","19-1910765")</f>
        <v>0</v>
      </c>
      <c r="AD256" t="s">
        <v>3445</v>
      </c>
      <c r="AE256" t="s">
        <v>3469</v>
      </c>
      <c r="AF256" t="s">
        <v>3735</v>
      </c>
      <c r="AG256" t="s">
        <v>3362</v>
      </c>
      <c r="AH256" t="s">
        <v>3407</v>
      </c>
      <c r="AL256" t="s">
        <v>2123</v>
      </c>
      <c r="AN256" t="s">
        <v>3407</v>
      </c>
      <c r="AO256" t="s">
        <v>3352</v>
      </c>
    </row>
    <row r="257" spans="1:41">
      <c r="A257" s="1" t="s">
        <v>293</v>
      </c>
      <c r="B257" t="s">
        <v>2002</v>
      </c>
      <c r="C257" t="s">
        <v>2005</v>
      </c>
      <c r="D257" t="s">
        <v>2066</v>
      </c>
      <c r="E257" t="s">
        <v>2112</v>
      </c>
      <c r="F257" t="s">
        <v>2117</v>
      </c>
      <c r="G257" t="s">
        <v>2213</v>
      </c>
      <c r="H257">
        <v>10460</v>
      </c>
      <c r="I257" t="s">
        <v>2229</v>
      </c>
      <c r="J257">
        <v>4</v>
      </c>
      <c r="K257">
        <v>2</v>
      </c>
      <c r="L257" t="s">
        <v>2258</v>
      </c>
      <c r="M257" t="s">
        <v>2677</v>
      </c>
      <c r="P257" t="s">
        <v>2749</v>
      </c>
      <c r="Q257" t="s">
        <v>2113</v>
      </c>
      <c r="R257" t="s">
        <v>3258</v>
      </c>
      <c r="S257" t="s">
        <v>3269</v>
      </c>
      <c r="V257" t="s">
        <v>3352</v>
      </c>
      <c r="X257" t="s">
        <v>3354</v>
      </c>
      <c r="Y257" t="s">
        <v>2678</v>
      </c>
      <c r="Z257" t="s">
        <v>3361</v>
      </c>
      <c r="AA257" t="s">
        <v>3406</v>
      </c>
      <c r="AB257" t="s">
        <v>3417</v>
      </c>
      <c r="AC257">
        <f>HYPERLINK("https://lsnyc.legalserver.org/matter/dynamic-profile/view/1910780","19-1910780")</f>
        <v>0</v>
      </c>
      <c r="AD257" t="s">
        <v>3444</v>
      </c>
      <c r="AE257" t="s">
        <v>3451</v>
      </c>
      <c r="AF257" t="s">
        <v>3736</v>
      </c>
      <c r="AG257" t="s">
        <v>3361</v>
      </c>
      <c r="AH257" t="s">
        <v>4904</v>
      </c>
      <c r="AL257" t="s">
        <v>2117</v>
      </c>
      <c r="AN257" t="s">
        <v>3417</v>
      </c>
      <c r="AO257" t="s">
        <v>3352</v>
      </c>
    </row>
    <row r="258" spans="1:41">
      <c r="A258" s="1" t="s">
        <v>294</v>
      </c>
      <c r="B258" t="s">
        <v>1998</v>
      </c>
      <c r="C258" t="s">
        <v>2004</v>
      </c>
      <c r="D258" t="s">
        <v>2066</v>
      </c>
      <c r="E258" t="s">
        <v>2112</v>
      </c>
      <c r="F258" t="s">
        <v>2118</v>
      </c>
      <c r="G258" t="s">
        <v>2212</v>
      </c>
      <c r="H258">
        <v>11432</v>
      </c>
      <c r="I258" t="s">
        <v>2231</v>
      </c>
      <c r="J258">
        <v>2</v>
      </c>
      <c r="K258">
        <v>0</v>
      </c>
      <c r="L258" t="s">
        <v>2285</v>
      </c>
      <c r="M258" t="s">
        <v>2677</v>
      </c>
      <c r="P258" t="s">
        <v>2748</v>
      </c>
      <c r="Q258" t="s">
        <v>3255</v>
      </c>
      <c r="R258" t="s">
        <v>3259</v>
      </c>
      <c r="S258" t="s">
        <v>3267</v>
      </c>
      <c r="X258" t="s">
        <v>3354</v>
      </c>
      <c r="Y258" t="s">
        <v>2678</v>
      </c>
      <c r="Z258" t="s">
        <v>3380</v>
      </c>
      <c r="AA258" t="s">
        <v>3406</v>
      </c>
      <c r="AB258" t="s">
        <v>3415</v>
      </c>
      <c r="AC258">
        <f>HYPERLINK("https://lsnyc.legalserver.org/matter/dynamic-profile/view/1910784","19-1910784")</f>
        <v>0</v>
      </c>
      <c r="AD258" t="s">
        <v>3443</v>
      </c>
      <c r="AE258" t="s">
        <v>3457</v>
      </c>
      <c r="AF258" t="s">
        <v>3737</v>
      </c>
      <c r="AG258" t="s">
        <v>3380</v>
      </c>
      <c r="AH258" t="s">
        <v>4906</v>
      </c>
      <c r="AL258" t="s">
        <v>2118</v>
      </c>
      <c r="AN258" t="s">
        <v>3415</v>
      </c>
    </row>
    <row r="259" spans="1:41">
      <c r="A259" s="1" t="s">
        <v>295</v>
      </c>
      <c r="B259" t="s">
        <v>1998</v>
      </c>
      <c r="C259" t="s">
        <v>2012</v>
      </c>
      <c r="D259" t="s">
        <v>2076</v>
      </c>
      <c r="E259" t="s">
        <v>2112</v>
      </c>
      <c r="F259" t="s">
        <v>2116</v>
      </c>
      <c r="G259" t="s">
        <v>2216</v>
      </c>
      <c r="H259">
        <v>10303</v>
      </c>
      <c r="I259" t="s">
        <v>2229</v>
      </c>
      <c r="J259">
        <v>3</v>
      </c>
      <c r="K259">
        <v>1</v>
      </c>
      <c r="L259" t="s">
        <v>2285</v>
      </c>
      <c r="M259" t="s">
        <v>2677</v>
      </c>
      <c r="P259" t="s">
        <v>2718</v>
      </c>
      <c r="Q259" t="s">
        <v>2113</v>
      </c>
      <c r="R259" t="s">
        <v>3258</v>
      </c>
      <c r="S259" t="s">
        <v>3271</v>
      </c>
      <c r="V259" t="s">
        <v>3352</v>
      </c>
      <c r="X259" t="s">
        <v>3354</v>
      </c>
      <c r="Y259" t="s">
        <v>2677</v>
      </c>
      <c r="Z259" t="s">
        <v>3362</v>
      </c>
      <c r="AA259" t="s">
        <v>3406</v>
      </c>
      <c r="AB259" t="s">
        <v>3419</v>
      </c>
      <c r="AC259">
        <f>HYPERLINK("https://lsnyc.legalserver.org/matter/dynamic-profile/view/1910622","19-1910622")</f>
        <v>0</v>
      </c>
      <c r="AD259" t="s">
        <v>3445</v>
      </c>
      <c r="AE259" t="s">
        <v>3452</v>
      </c>
      <c r="AF259" t="s">
        <v>3738</v>
      </c>
      <c r="AG259" t="s">
        <v>3362</v>
      </c>
      <c r="AH259" t="s">
        <v>4904</v>
      </c>
      <c r="AL259" t="s">
        <v>2116</v>
      </c>
      <c r="AN259" t="s">
        <v>3419</v>
      </c>
      <c r="AO259" t="s">
        <v>3352</v>
      </c>
    </row>
    <row r="260" spans="1:41">
      <c r="A260" s="1" t="s">
        <v>296</v>
      </c>
      <c r="B260" t="s">
        <v>2012</v>
      </c>
      <c r="C260" t="s">
        <v>2009</v>
      </c>
      <c r="D260" t="s">
        <v>2092</v>
      </c>
      <c r="E260" t="s">
        <v>2112</v>
      </c>
      <c r="F260" t="s">
        <v>2120</v>
      </c>
      <c r="G260" t="s">
        <v>2212</v>
      </c>
      <c r="H260">
        <v>11412</v>
      </c>
      <c r="I260" t="s">
        <v>2230</v>
      </c>
      <c r="J260">
        <v>2</v>
      </c>
      <c r="K260">
        <v>1</v>
      </c>
      <c r="L260" t="s">
        <v>2273</v>
      </c>
      <c r="M260" t="s">
        <v>2677</v>
      </c>
      <c r="P260" t="s">
        <v>2740</v>
      </c>
      <c r="Q260" t="s">
        <v>3255</v>
      </c>
      <c r="R260" t="s">
        <v>3258</v>
      </c>
      <c r="S260" t="s">
        <v>3269</v>
      </c>
      <c r="X260" t="s">
        <v>3354</v>
      </c>
      <c r="Y260" t="s">
        <v>2678</v>
      </c>
      <c r="Z260" t="s">
        <v>3361</v>
      </c>
      <c r="AA260" t="s">
        <v>3406</v>
      </c>
      <c r="AB260" t="s">
        <v>3417</v>
      </c>
      <c r="AC260">
        <f>HYPERLINK("https://lsnyc.legalserver.org/matter/dynamic-profile/view/1910666","19-1910666")</f>
        <v>0</v>
      </c>
      <c r="AD260" t="s">
        <v>3443</v>
      </c>
      <c r="AE260" t="s">
        <v>3471</v>
      </c>
      <c r="AF260" t="s">
        <v>3739</v>
      </c>
      <c r="AG260" t="s">
        <v>3361</v>
      </c>
      <c r="AH260" t="s">
        <v>4904</v>
      </c>
      <c r="AL260" t="s">
        <v>2120</v>
      </c>
      <c r="AN260" t="s">
        <v>3417</v>
      </c>
    </row>
    <row r="261" spans="1:41">
      <c r="A261" s="1" t="s">
        <v>297</v>
      </c>
      <c r="B261" t="s">
        <v>2001</v>
      </c>
      <c r="C261" t="s">
        <v>2009</v>
      </c>
      <c r="D261" t="s">
        <v>2068</v>
      </c>
      <c r="E261" t="s">
        <v>2112</v>
      </c>
      <c r="F261" t="s">
        <v>2147</v>
      </c>
      <c r="G261" t="s">
        <v>2213</v>
      </c>
      <c r="H261">
        <v>10453</v>
      </c>
      <c r="I261" t="s">
        <v>2229</v>
      </c>
      <c r="J261">
        <v>2</v>
      </c>
      <c r="K261">
        <v>1</v>
      </c>
      <c r="L261" t="s">
        <v>2260</v>
      </c>
      <c r="M261" t="s">
        <v>2677</v>
      </c>
      <c r="P261" t="s">
        <v>2750</v>
      </c>
      <c r="Q261" t="s">
        <v>2113</v>
      </c>
      <c r="V261" t="s">
        <v>3352</v>
      </c>
      <c r="X261" t="s">
        <v>3354</v>
      </c>
      <c r="Y261" t="s">
        <v>2677</v>
      </c>
      <c r="AA261" t="s">
        <v>3407</v>
      </c>
      <c r="AB261" t="s">
        <v>3407</v>
      </c>
      <c r="AC261">
        <f>HYPERLINK("https://lsnyc.legalserver.org/matter/dynamic-profile/view/1910557","19-1910557")</f>
        <v>0</v>
      </c>
      <c r="AD261" t="s">
        <v>3445</v>
      </c>
      <c r="AE261" t="s">
        <v>3469</v>
      </c>
      <c r="AF261" t="s">
        <v>3740</v>
      </c>
      <c r="AH261" t="s">
        <v>3407</v>
      </c>
      <c r="AL261" t="s">
        <v>2147</v>
      </c>
      <c r="AN261" t="s">
        <v>3407</v>
      </c>
      <c r="AO261" t="s">
        <v>3352</v>
      </c>
    </row>
    <row r="262" spans="1:41">
      <c r="A262" s="1" t="s">
        <v>298</v>
      </c>
      <c r="B262" t="s">
        <v>1998</v>
      </c>
      <c r="C262" t="s">
        <v>2009</v>
      </c>
      <c r="D262" t="s">
        <v>2084</v>
      </c>
      <c r="E262" t="s">
        <v>2112</v>
      </c>
      <c r="F262" t="s">
        <v>2117</v>
      </c>
      <c r="G262" t="s">
        <v>2213</v>
      </c>
      <c r="H262">
        <v>10457</v>
      </c>
      <c r="I262" t="s">
        <v>2229</v>
      </c>
      <c r="J262">
        <v>2</v>
      </c>
      <c r="K262">
        <v>0</v>
      </c>
      <c r="L262" t="s">
        <v>2355</v>
      </c>
      <c r="M262" t="s">
        <v>2677</v>
      </c>
      <c r="P262" t="s">
        <v>2750</v>
      </c>
      <c r="Q262" t="s">
        <v>2113</v>
      </c>
      <c r="V262" t="s">
        <v>3352</v>
      </c>
      <c r="X262" t="s">
        <v>3354</v>
      </c>
      <c r="Y262" t="s">
        <v>2677</v>
      </c>
      <c r="AA262" t="s">
        <v>3407</v>
      </c>
      <c r="AB262" t="s">
        <v>3407</v>
      </c>
      <c r="AC262">
        <f>HYPERLINK("https://lsnyc.legalserver.org/matter/dynamic-profile/view/1910558","19-1910558")</f>
        <v>0</v>
      </c>
      <c r="AD262" t="s">
        <v>3445</v>
      </c>
      <c r="AE262" t="s">
        <v>3469</v>
      </c>
      <c r="AF262" t="s">
        <v>3741</v>
      </c>
      <c r="AH262" t="s">
        <v>3407</v>
      </c>
      <c r="AL262" t="s">
        <v>2117</v>
      </c>
      <c r="AN262" t="s">
        <v>3407</v>
      </c>
      <c r="AO262" t="s">
        <v>3352</v>
      </c>
    </row>
    <row r="263" spans="1:41">
      <c r="A263" s="1" t="s">
        <v>299</v>
      </c>
      <c r="B263" t="s">
        <v>1998</v>
      </c>
      <c r="C263" t="s">
        <v>2016</v>
      </c>
      <c r="D263" t="s">
        <v>2078</v>
      </c>
      <c r="E263" t="s">
        <v>2112</v>
      </c>
      <c r="F263" t="s">
        <v>2156</v>
      </c>
      <c r="G263" t="s">
        <v>2218</v>
      </c>
      <c r="H263">
        <v>10701</v>
      </c>
      <c r="I263" t="s">
        <v>2230</v>
      </c>
      <c r="J263">
        <v>4</v>
      </c>
      <c r="K263">
        <v>3</v>
      </c>
      <c r="L263" t="s">
        <v>2346</v>
      </c>
      <c r="M263" t="s">
        <v>2677</v>
      </c>
      <c r="P263" t="s">
        <v>2750</v>
      </c>
      <c r="Q263" t="s">
        <v>2113</v>
      </c>
      <c r="V263" t="s">
        <v>3352</v>
      </c>
      <c r="X263" t="s">
        <v>3354</v>
      </c>
      <c r="Y263" t="s">
        <v>2677</v>
      </c>
      <c r="Z263" t="s">
        <v>3362</v>
      </c>
      <c r="AA263" t="s">
        <v>3407</v>
      </c>
      <c r="AB263" t="s">
        <v>3407</v>
      </c>
      <c r="AC263">
        <f>HYPERLINK("https://lsnyc.legalserver.org/matter/dynamic-profile/view/1910559","19-1910559")</f>
        <v>0</v>
      </c>
      <c r="AD263" t="s">
        <v>3445</v>
      </c>
      <c r="AE263" t="s">
        <v>3469</v>
      </c>
      <c r="AF263" t="s">
        <v>3742</v>
      </c>
      <c r="AG263" t="s">
        <v>3362</v>
      </c>
      <c r="AH263" t="s">
        <v>3407</v>
      </c>
      <c r="AL263" t="s">
        <v>2156</v>
      </c>
      <c r="AN263" t="s">
        <v>3407</v>
      </c>
      <c r="AO263" t="s">
        <v>3352</v>
      </c>
    </row>
    <row r="264" spans="1:41">
      <c r="A264" s="1" t="s">
        <v>300</v>
      </c>
      <c r="B264" t="s">
        <v>1998</v>
      </c>
      <c r="C264" t="s">
        <v>2017</v>
      </c>
      <c r="D264" t="s">
        <v>2033</v>
      </c>
      <c r="E264" t="s">
        <v>2112</v>
      </c>
      <c r="F264" t="s">
        <v>2116</v>
      </c>
      <c r="G264" t="s">
        <v>2213</v>
      </c>
      <c r="H264">
        <v>10455</v>
      </c>
      <c r="I264" t="s">
        <v>2229</v>
      </c>
      <c r="J264">
        <v>1</v>
      </c>
      <c r="K264">
        <v>0</v>
      </c>
      <c r="L264" t="s">
        <v>2275</v>
      </c>
      <c r="M264" t="s">
        <v>2677</v>
      </c>
      <c r="P264" t="s">
        <v>2750</v>
      </c>
      <c r="Q264" t="s">
        <v>2113</v>
      </c>
      <c r="R264" t="s">
        <v>3261</v>
      </c>
      <c r="S264" t="s">
        <v>3283</v>
      </c>
      <c r="V264" t="s">
        <v>3352</v>
      </c>
      <c r="X264" t="s">
        <v>3354</v>
      </c>
      <c r="Y264" t="s">
        <v>2677</v>
      </c>
      <c r="AA264" t="s">
        <v>3409</v>
      </c>
      <c r="AB264" t="s">
        <v>3431</v>
      </c>
      <c r="AC264">
        <f>HYPERLINK("https://lsnyc.legalserver.org/matter/dynamic-profile/view/1910568","19-1910568")</f>
        <v>0</v>
      </c>
      <c r="AD264" t="s">
        <v>3445</v>
      </c>
      <c r="AE264" t="s">
        <v>3461</v>
      </c>
      <c r="AF264" t="s">
        <v>3743</v>
      </c>
      <c r="AH264" t="s">
        <v>3409</v>
      </c>
      <c r="AL264" t="s">
        <v>2116</v>
      </c>
      <c r="AN264" t="s">
        <v>3431</v>
      </c>
      <c r="AO264" t="s">
        <v>3352</v>
      </c>
    </row>
    <row r="265" spans="1:41">
      <c r="A265" s="1" t="s">
        <v>301</v>
      </c>
      <c r="B265" t="s">
        <v>2002</v>
      </c>
      <c r="C265" t="s">
        <v>2009</v>
      </c>
      <c r="D265" t="s">
        <v>2036</v>
      </c>
      <c r="E265" t="s">
        <v>2111</v>
      </c>
      <c r="F265" t="s">
        <v>2114</v>
      </c>
      <c r="G265" t="s">
        <v>2214</v>
      </c>
      <c r="H265">
        <v>11219</v>
      </c>
      <c r="I265" t="s">
        <v>2229</v>
      </c>
      <c r="J265">
        <v>2</v>
      </c>
      <c r="K265">
        <v>1</v>
      </c>
      <c r="L265" t="s">
        <v>2260</v>
      </c>
      <c r="M265" t="s">
        <v>2677</v>
      </c>
      <c r="P265" t="s">
        <v>2750</v>
      </c>
      <c r="Q265" t="s">
        <v>2113</v>
      </c>
      <c r="R265" t="s">
        <v>3259</v>
      </c>
      <c r="S265" t="s">
        <v>3267</v>
      </c>
      <c r="V265" t="s">
        <v>3353</v>
      </c>
      <c r="X265" t="s">
        <v>3354</v>
      </c>
      <c r="Y265" t="s">
        <v>2678</v>
      </c>
      <c r="Z265" t="s">
        <v>3380</v>
      </c>
      <c r="AA265" t="s">
        <v>3406</v>
      </c>
      <c r="AB265" t="s">
        <v>3415</v>
      </c>
      <c r="AC265">
        <f>HYPERLINK("https://lsnyc.legalserver.org/matter/dynamic-profile/view/1910685","19-1910685")</f>
        <v>0</v>
      </c>
      <c r="AD265" t="s">
        <v>3446</v>
      </c>
      <c r="AE265" t="s">
        <v>3456</v>
      </c>
      <c r="AF265" t="s">
        <v>3744</v>
      </c>
      <c r="AG265" t="s">
        <v>3380</v>
      </c>
      <c r="AH265" t="s">
        <v>4906</v>
      </c>
      <c r="AL265" t="s">
        <v>2114</v>
      </c>
      <c r="AN265" t="s">
        <v>3415</v>
      </c>
      <c r="AO265" t="s">
        <v>3353</v>
      </c>
    </row>
    <row r="266" spans="1:41">
      <c r="A266" s="1" t="s">
        <v>302</v>
      </c>
      <c r="B266" t="s">
        <v>1998</v>
      </c>
      <c r="C266" t="s">
        <v>2016</v>
      </c>
      <c r="D266" t="s">
        <v>2062</v>
      </c>
      <c r="E266" t="s">
        <v>2112</v>
      </c>
      <c r="F266" t="s">
        <v>2123</v>
      </c>
      <c r="G266" t="s">
        <v>2214</v>
      </c>
      <c r="H266">
        <v>11207</v>
      </c>
      <c r="I266" t="s">
        <v>2229</v>
      </c>
      <c r="J266">
        <v>2</v>
      </c>
      <c r="K266">
        <v>0</v>
      </c>
      <c r="L266" t="s">
        <v>2282</v>
      </c>
      <c r="M266" t="s">
        <v>2677</v>
      </c>
      <c r="P266" t="s">
        <v>2751</v>
      </c>
      <c r="Q266" t="s">
        <v>2113</v>
      </c>
      <c r="V266" t="s">
        <v>3352</v>
      </c>
      <c r="X266" t="s">
        <v>3354</v>
      </c>
      <c r="Y266" t="s">
        <v>2677</v>
      </c>
      <c r="AA266" t="s">
        <v>3407</v>
      </c>
      <c r="AB266" t="s">
        <v>3407</v>
      </c>
      <c r="AC266">
        <f>HYPERLINK("https://lsnyc.legalserver.org/matter/dynamic-profile/view/1910466","19-1910466")</f>
        <v>0</v>
      </c>
      <c r="AD266" t="s">
        <v>3445</v>
      </c>
      <c r="AE266" t="s">
        <v>3461</v>
      </c>
      <c r="AF266" t="s">
        <v>3745</v>
      </c>
      <c r="AH266" t="s">
        <v>3407</v>
      </c>
      <c r="AL266" t="s">
        <v>2123</v>
      </c>
      <c r="AN266" t="s">
        <v>3407</v>
      </c>
      <c r="AO266" t="s">
        <v>3352</v>
      </c>
    </row>
    <row r="267" spans="1:41">
      <c r="A267" s="1" t="s">
        <v>303</v>
      </c>
      <c r="B267" t="s">
        <v>2009</v>
      </c>
      <c r="C267" t="s">
        <v>2002</v>
      </c>
      <c r="D267" t="s">
        <v>2050</v>
      </c>
      <c r="E267" t="s">
        <v>2112</v>
      </c>
      <c r="F267" t="s">
        <v>2135</v>
      </c>
      <c r="G267" t="s">
        <v>2212</v>
      </c>
      <c r="H267">
        <v>11373</v>
      </c>
      <c r="I267" t="s">
        <v>2229</v>
      </c>
      <c r="J267">
        <v>3</v>
      </c>
      <c r="K267">
        <v>2</v>
      </c>
      <c r="L267" t="s">
        <v>2260</v>
      </c>
      <c r="M267" t="s">
        <v>2677</v>
      </c>
      <c r="P267" t="s">
        <v>2752</v>
      </c>
      <c r="Q267" t="s">
        <v>3255</v>
      </c>
      <c r="R267" t="s">
        <v>3258</v>
      </c>
      <c r="S267" t="s">
        <v>3265</v>
      </c>
      <c r="X267" t="s">
        <v>3354</v>
      </c>
      <c r="Y267" t="s">
        <v>2678</v>
      </c>
      <c r="Z267" t="s">
        <v>3385</v>
      </c>
      <c r="AA267" t="s">
        <v>3406</v>
      </c>
      <c r="AB267" t="s">
        <v>3413</v>
      </c>
      <c r="AC267">
        <f>HYPERLINK("https://lsnyc.legalserver.org/matter/dynamic-profile/view/1910284","19-1910284")</f>
        <v>0</v>
      </c>
      <c r="AD267" t="s">
        <v>3443</v>
      </c>
      <c r="AE267" t="s">
        <v>3472</v>
      </c>
      <c r="AF267" t="s">
        <v>3746</v>
      </c>
      <c r="AG267" t="s">
        <v>3385</v>
      </c>
      <c r="AH267" t="s">
        <v>4904</v>
      </c>
      <c r="AL267" t="s">
        <v>2135</v>
      </c>
      <c r="AN267" t="s">
        <v>3413</v>
      </c>
    </row>
    <row r="268" spans="1:41">
      <c r="A268" s="1" t="s">
        <v>304</v>
      </c>
      <c r="B268" t="s">
        <v>2002</v>
      </c>
      <c r="C268" t="s">
        <v>2001</v>
      </c>
      <c r="D268" t="s">
        <v>2029</v>
      </c>
      <c r="E268" t="s">
        <v>2112</v>
      </c>
      <c r="F268" t="s">
        <v>2123</v>
      </c>
      <c r="G268" t="s">
        <v>2213</v>
      </c>
      <c r="H268">
        <v>10458</v>
      </c>
      <c r="I268" t="s">
        <v>2229</v>
      </c>
      <c r="J268">
        <v>6</v>
      </c>
      <c r="K268">
        <v>4</v>
      </c>
      <c r="L268" t="s">
        <v>2356</v>
      </c>
      <c r="M268" t="s">
        <v>2677</v>
      </c>
      <c r="P268" t="s">
        <v>2718</v>
      </c>
      <c r="Q268" t="s">
        <v>2113</v>
      </c>
      <c r="R268" t="s">
        <v>3258</v>
      </c>
      <c r="S268" t="s">
        <v>3271</v>
      </c>
      <c r="V268" t="s">
        <v>3352</v>
      </c>
      <c r="X268" t="s">
        <v>3354</v>
      </c>
      <c r="Y268" t="s">
        <v>2677</v>
      </c>
      <c r="Z268" t="s">
        <v>3362</v>
      </c>
      <c r="AA268" t="s">
        <v>3406</v>
      </c>
      <c r="AB268" t="s">
        <v>3419</v>
      </c>
      <c r="AC268">
        <f>HYPERLINK("https://lsnyc.legalserver.org/matter/dynamic-profile/view/1910329","19-1910329")</f>
        <v>0</v>
      </c>
      <c r="AD268" t="s">
        <v>3445</v>
      </c>
      <c r="AE268" t="s">
        <v>3455</v>
      </c>
      <c r="AF268" t="s">
        <v>3747</v>
      </c>
      <c r="AG268" t="s">
        <v>3362</v>
      </c>
      <c r="AH268" t="s">
        <v>4904</v>
      </c>
      <c r="AL268" t="s">
        <v>2123</v>
      </c>
      <c r="AN268" t="s">
        <v>3419</v>
      </c>
      <c r="AO268" t="s">
        <v>3352</v>
      </c>
    </row>
    <row r="269" spans="1:41">
      <c r="A269" s="1" t="s">
        <v>305</v>
      </c>
      <c r="B269" t="s">
        <v>2002</v>
      </c>
      <c r="C269" t="s">
        <v>2016</v>
      </c>
      <c r="D269" t="s">
        <v>2056</v>
      </c>
      <c r="E269" t="s">
        <v>2111</v>
      </c>
      <c r="F269" t="s">
        <v>2117</v>
      </c>
      <c r="G269" t="s">
        <v>2214</v>
      </c>
      <c r="H269">
        <v>11220</v>
      </c>
      <c r="I269" t="s">
        <v>2229</v>
      </c>
      <c r="J269">
        <v>1</v>
      </c>
      <c r="K269">
        <v>0</v>
      </c>
      <c r="L269" t="s">
        <v>2277</v>
      </c>
      <c r="M269" t="s">
        <v>2677</v>
      </c>
      <c r="P269" t="s">
        <v>2752</v>
      </c>
      <c r="Q269" t="s">
        <v>2113</v>
      </c>
      <c r="V269" t="s">
        <v>3352</v>
      </c>
      <c r="X269" t="s">
        <v>3354</v>
      </c>
      <c r="Y269" t="s">
        <v>2677</v>
      </c>
      <c r="AA269" t="s">
        <v>3407</v>
      </c>
      <c r="AB269" t="s">
        <v>3407</v>
      </c>
      <c r="AC269">
        <f>HYPERLINK("https://lsnyc.legalserver.org/matter/dynamic-profile/view/1910342","19-1910342")</f>
        <v>0</v>
      </c>
      <c r="AD269" t="s">
        <v>3445</v>
      </c>
      <c r="AE269" t="s">
        <v>3469</v>
      </c>
      <c r="AF269" t="s">
        <v>3748</v>
      </c>
      <c r="AH269" t="s">
        <v>3407</v>
      </c>
      <c r="AL269" t="s">
        <v>2117</v>
      </c>
      <c r="AN269" t="s">
        <v>3407</v>
      </c>
      <c r="AO269" t="s">
        <v>3352</v>
      </c>
    </row>
    <row r="270" spans="1:41">
      <c r="A270" s="1" t="s">
        <v>306</v>
      </c>
      <c r="B270" t="s">
        <v>2002</v>
      </c>
      <c r="C270" t="s">
        <v>2016</v>
      </c>
      <c r="D270" t="s">
        <v>2069</v>
      </c>
      <c r="E270" t="s">
        <v>2112</v>
      </c>
      <c r="F270" t="s">
        <v>2123</v>
      </c>
      <c r="G270" t="s">
        <v>2213</v>
      </c>
      <c r="H270">
        <v>10451</v>
      </c>
      <c r="I270" t="s">
        <v>2229</v>
      </c>
      <c r="J270">
        <v>4</v>
      </c>
      <c r="K270">
        <v>2</v>
      </c>
      <c r="L270" t="s">
        <v>2271</v>
      </c>
      <c r="M270" t="s">
        <v>2677</v>
      </c>
      <c r="P270" t="s">
        <v>2752</v>
      </c>
      <c r="Q270" t="s">
        <v>2113</v>
      </c>
      <c r="R270" t="s">
        <v>3260</v>
      </c>
      <c r="S270" t="s">
        <v>3266</v>
      </c>
      <c r="X270" t="s">
        <v>3354</v>
      </c>
      <c r="Y270" t="s">
        <v>2677</v>
      </c>
      <c r="AB270" t="s">
        <v>3414</v>
      </c>
      <c r="AC270">
        <f>HYPERLINK("https://lsnyc.legalserver.org/matter/dynamic-profile/view/1917868","20-1917868")</f>
        <v>0</v>
      </c>
      <c r="AD270" t="s">
        <v>3445</v>
      </c>
      <c r="AE270" t="s">
        <v>3452</v>
      </c>
      <c r="AF270" t="s">
        <v>3749</v>
      </c>
      <c r="AI270" t="s">
        <v>4909</v>
      </c>
      <c r="AL270" t="s">
        <v>2123</v>
      </c>
      <c r="AN270" t="s">
        <v>3414</v>
      </c>
    </row>
    <row r="271" spans="1:41">
      <c r="A271" s="1" t="s">
        <v>307</v>
      </c>
      <c r="B271" t="s">
        <v>2001</v>
      </c>
      <c r="C271" t="s">
        <v>1998</v>
      </c>
      <c r="D271" t="s">
        <v>2076</v>
      </c>
      <c r="E271" t="s">
        <v>2112</v>
      </c>
      <c r="F271" t="s">
        <v>2117</v>
      </c>
      <c r="G271" t="s">
        <v>2216</v>
      </c>
      <c r="H271">
        <v>10304</v>
      </c>
      <c r="I271" t="s">
        <v>2229</v>
      </c>
      <c r="J271">
        <v>2</v>
      </c>
      <c r="K271">
        <v>1</v>
      </c>
      <c r="L271" t="s">
        <v>2262</v>
      </c>
      <c r="M271" t="s">
        <v>2677</v>
      </c>
      <c r="P271" t="s">
        <v>2753</v>
      </c>
      <c r="Q271" t="s">
        <v>2113</v>
      </c>
      <c r="R271" t="s">
        <v>3260</v>
      </c>
      <c r="S271" t="s">
        <v>3266</v>
      </c>
      <c r="X271" t="s">
        <v>3354</v>
      </c>
      <c r="Y271" t="s">
        <v>2678</v>
      </c>
      <c r="AA271" t="s">
        <v>3406</v>
      </c>
      <c r="AB271" t="s">
        <v>3414</v>
      </c>
      <c r="AC271">
        <f>HYPERLINK("https://lsnyc.legalserver.org/matter/dynamic-profile/view/1910101","19-1910101")</f>
        <v>0</v>
      </c>
      <c r="AD271" t="s">
        <v>3447</v>
      </c>
      <c r="AE271" t="s">
        <v>3478</v>
      </c>
      <c r="AF271" t="s">
        <v>3750</v>
      </c>
      <c r="AH271" t="s">
        <v>4904</v>
      </c>
      <c r="AI271" t="s">
        <v>4909</v>
      </c>
      <c r="AL271" t="s">
        <v>2117</v>
      </c>
      <c r="AN271" t="s">
        <v>3414</v>
      </c>
    </row>
    <row r="272" spans="1:41">
      <c r="A272" s="1" t="s">
        <v>308</v>
      </c>
      <c r="B272" t="s">
        <v>2000</v>
      </c>
      <c r="C272" t="s">
        <v>1998</v>
      </c>
      <c r="D272" t="s">
        <v>2030</v>
      </c>
      <c r="E272" t="s">
        <v>2111</v>
      </c>
      <c r="F272" t="s">
        <v>2124</v>
      </c>
      <c r="G272" t="s">
        <v>2214</v>
      </c>
      <c r="H272">
        <v>11207</v>
      </c>
      <c r="I272" t="s">
        <v>2230</v>
      </c>
      <c r="J272">
        <v>2</v>
      </c>
      <c r="K272">
        <v>0</v>
      </c>
      <c r="L272" t="s">
        <v>2269</v>
      </c>
      <c r="M272" t="s">
        <v>2677</v>
      </c>
      <c r="P272" t="s">
        <v>2730</v>
      </c>
      <c r="Q272" t="s">
        <v>2113</v>
      </c>
      <c r="R272" t="s">
        <v>3258</v>
      </c>
      <c r="S272" t="s">
        <v>3271</v>
      </c>
      <c r="V272" t="s">
        <v>3352</v>
      </c>
      <c r="X272" t="s">
        <v>3354</v>
      </c>
      <c r="Y272" t="s">
        <v>2677</v>
      </c>
      <c r="Z272" t="s">
        <v>3362</v>
      </c>
      <c r="AA272" t="s">
        <v>3406</v>
      </c>
      <c r="AB272" t="s">
        <v>3419</v>
      </c>
      <c r="AC272">
        <f>HYPERLINK("https://lsnyc.legalserver.org/matter/dynamic-profile/view/1910222","19-1910222")</f>
        <v>0</v>
      </c>
      <c r="AD272" t="s">
        <v>3445</v>
      </c>
      <c r="AE272" t="s">
        <v>3452</v>
      </c>
      <c r="AF272" t="s">
        <v>3516</v>
      </c>
      <c r="AG272" t="s">
        <v>3362</v>
      </c>
      <c r="AH272" t="s">
        <v>4904</v>
      </c>
      <c r="AL272" t="s">
        <v>2124</v>
      </c>
      <c r="AN272" t="s">
        <v>3419</v>
      </c>
      <c r="AO272" t="s">
        <v>3352</v>
      </c>
    </row>
    <row r="273" spans="1:41">
      <c r="A273" s="1" t="s">
        <v>309</v>
      </c>
      <c r="B273" t="s">
        <v>1998</v>
      </c>
      <c r="C273" t="s">
        <v>2000</v>
      </c>
      <c r="D273" t="s">
        <v>2029</v>
      </c>
      <c r="E273" t="s">
        <v>2112</v>
      </c>
      <c r="F273" t="s">
        <v>2139</v>
      </c>
      <c r="G273" t="s">
        <v>2214</v>
      </c>
      <c r="H273">
        <v>11213</v>
      </c>
      <c r="I273" t="s">
        <v>2230</v>
      </c>
      <c r="J273">
        <v>3</v>
      </c>
      <c r="K273">
        <v>2</v>
      </c>
      <c r="L273" t="s">
        <v>2263</v>
      </c>
      <c r="M273" t="s">
        <v>2677</v>
      </c>
      <c r="P273" t="s">
        <v>2740</v>
      </c>
      <c r="Q273" t="s">
        <v>2113</v>
      </c>
      <c r="R273" t="s">
        <v>3258</v>
      </c>
      <c r="S273" t="s">
        <v>3262</v>
      </c>
      <c r="T273" t="s">
        <v>3296</v>
      </c>
      <c r="U273" t="s">
        <v>2731</v>
      </c>
      <c r="V273" t="s">
        <v>3352</v>
      </c>
      <c r="X273" t="s">
        <v>3354</v>
      </c>
      <c r="Y273" t="s">
        <v>2678</v>
      </c>
      <c r="Z273" t="s">
        <v>3355</v>
      </c>
      <c r="AA273" t="s">
        <v>3406</v>
      </c>
      <c r="AB273" t="s">
        <v>3410</v>
      </c>
      <c r="AC273">
        <f>HYPERLINK("https://lsnyc.legalserver.org/matter/dynamic-profile/view/1910242","19-1910242")</f>
        <v>0</v>
      </c>
      <c r="AD273" t="s">
        <v>3446</v>
      </c>
      <c r="AE273" t="s">
        <v>3465</v>
      </c>
      <c r="AF273" t="s">
        <v>3751</v>
      </c>
      <c r="AG273" t="s">
        <v>3355</v>
      </c>
      <c r="AH273" t="s">
        <v>4904</v>
      </c>
      <c r="AL273" t="s">
        <v>2139</v>
      </c>
      <c r="AM273" t="s">
        <v>3296</v>
      </c>
      <c r="AN273" t="s">
        <v>3410</v>
      </c>
      <c r="AO273" t="s">
        <v>3352</v>
      </c>
    </row>
    <row r="274" spans="1:41">
      <c r="A274" s="1" t="s">
        <v>310</v>
      </c>
      <c r="B274" t="s">
        <v>2017</v>
      </c>
      <c r="C274" t="s">
        <v>1998</v>
      </c>
      <c r="D274" t="s">
        <v>2069</v>
      </c>
      <c r="E274" t="s">
        <v>2111</v>
      </c>
      <c r="F274" t="s">
        <v>2118</v>
      </c>
      <c r="G274" t="s">
        <v>2212</v>
      </c>
      <c r="H274">
        <v>11432</v>
      </c>
      <c r="I274" t="s">
        <v>2230</v>
      </c>
      <c r="J274">
        <v>2</v>
      </c>
      <c r="K274">
        <v>0</v>
      </c>
      <c r="L274" t="s">
        <v>2256</v>
      </c>
      <c r="M274" t="s">
        <v>2677</v>
      </c>
      <c r="P274" t="s">
        <v>2753</v>
      </c>
      <c r="Q274" t="s">
        <v>3255</v>
      </c>
      <c r="R274" t="s">
        <v>3259</v>
      </c>
      <c r="S274" t="s">
        <v>3267</v>
      </c>
      <c r="X274" t="s">
        <v>3354</v>
      </c>
      <c r="Y274" t="s">
        <v>2678</v>
      </c>
      <c r="Z274" t="s">
        <v>3380</v>
      </c>
      <c r="AA274" t="s">
        <v>3406</v>
      </c>
      <c r="AB274" t="s">
        <v>3415</v>
      </c>
      <c r="AC274">
        <f>HYPERLINK("https://lsnyc.legalserver.org/matter/dynamic-profile/view/1910265","19-1910265")</f>
        <v>0</v>
      </c>
      <c r="AD274" t="s">
        <v>3443</v>
      </c>
      <c r="AE274" t="s">
        <v>3457</v>
      </c>
      <c r="AF274" t="s">
        <v>3573</v>
      </c>
      <c r="AG274" t="s">
        <v>3380</v>
      </c>
      <c r="AH274" t="s">
        <v>4906</v>
      </c>
      <c r="AL274" t="s">
        <v>2118</v>
      </c>
      <c r="AN274" t="s">
        <v>3415</v>
      </c>
    </row>
    <row r="275" spans="1:41">
      <c r="A275" s="1" t="s">
        <v>311</v>
      </c>
      <c r="B275" t="s">
        <v>2017</v>
      </c>
      <c r="C275" t="s">
        <v>1998</v>
      </c>
      <c r="D275" t="s">
        <v>2069</v>
      </c>
      <c r="E275" t="s">
        <v>2111</v>
      </c>
      <c r="F275" t="s">
        <v>2118</v>
      </c>
      <c r="G275" t="s">
        <v>2212</v>
      </c>
      <c r="H275">
        <v>11432</v>
      </c>
      <c r="I275" t="s">
        <v>2230</v>
      </c>
      <c r="J275">
        <v>2</v>
      </c>
      <c r="K275">
        <v>0</v>
      </c>
      <c r="L275" t="s">
        <v>2256</v>
      </c>
      <c r="M275" t="s">
        <v>2677</v>
      </c>
      <c r="P275" t="s">
        <v>2753</v>
      </c>
      <c r="Q275" t="s">
        <v>3255</v>
      </c>
      <c r="R275" t="s">
        <v>3259</v>
      </c>
      <c r="S275" t="s">
        <v>3272</v>
      </c>
      <c r="V275" t="s">
        <v>3352</v>
      </c>
      <c r="X275" t="s">
        <v>3354</v>
      </c>
      <c r="Y275" t="s">
        <v>2678</v>
      </c>
      <c r="Z275" t="s">
        <v>3364</v>
      </c>
      <c r="AA275" t="s">
        <v>3406</v>
      </c>
      <c r="AB275" t="s">
        <v>3420</v>
      </c>
      <c r="AC275">
        <f>HYPERLINK("https://lsnyc.legalserver.org/matter/dynamic-profile/view/1910266","19-1910266")</f>
        <v>0</v>
      </c>
      <c r="AD275" t="s">
        <v>3443</v>
      </c>
      <c r="AE275" t="s">
        <v>3457</v>
      </c>
      <c r="AF275" t="s">
        <v>3573</v>
      </c>
      <c r="AG275" t="s">
        <v>3364</v>
      </c>
      <c r="AH275" t="s">
        <v>4904</v>
      </c>
      <c r="AL275" t="s">
        <v>2118</v>
      </c>
      <c r="AN275" t="s">
        <v>3420</v>
      </c>
      <c r="AO275" t="s">
        <v>3352</v>
      </c>
    </row>
    <row r="276" spans="1:41">
      <c r="A276" s="1" t="s">
        <v>312</v>
      </c>
      <c r="B276" t="s">
        <v>2002</v>
      </c>
      <c r="C276" t="s">
        <v>2016</v>
      </c>
      <c r="D276" t="s">
        <v>2063</v>
      </c>
      <c r="E276" t="s">
        <v>2111</v>
      </c>
      <c r="F276" t="s">
        <v>2123</v>
      </c>
      <c r="G276" t="s">
        <v>2213</v>
      </c>
      <c r="H276">
        <v>10456</v>
      </c>
      <c r="I276" t="s">
        <v>2229</v>
      </c>
      <c r="J276">
        <v>1</v>
      </c>
      <c r="K276">
        <v>0</v>
      </c>
      <c r="L276" t="s">
        <v>2256</v>
      </c>
      <c r="M276" t="s">
        <v>2677</v>
      </c>
      <c r="P276" t="s">
        <v>2700</v>
      </c>
      <c r="Q276" t="s">
        <v>2113</v>
      </c>
      <c r="X276" t="s">
        <v>3354</v>
      </c>
      <c r="Y276" t="s">
        <v>2677</v>
      </c>
      <c r="AA276" t="s">
        <v>3407</v>
      </c>
      <c r="AB276" t="s">
        <v>3407</v>
      </c>
      <c r="AC276">
        <f>HYPERLINK("https://lsnyc.legalserver.org/matter/dynamic-profile/view/1908925","19-1908925")</f>
        <v>0</v>
      </c>
      <c r="AD276" t="s">
        <v>3445</v>
      </c>
      <c r="AE276" t="s">
        <v>3469</v>
      </c>
      <c r="AF276" t="s">
        <v>3752</v>
      </c>
      <c r="AH276" t="s">
        <v>3407</v>
      </c>
      <c r="AL276" t="s">
        <v>2123</v>
      </c>
      <c r="AN276" t="s">
        <v>3407</v>
      </c>
    </row>
    <row r="277" spans="1:41">
      <c r="A277" s="1" t="s">
        <v>313</v>
      </c>
      <c r="B277" t="s">
        <v>2000</v>
      </c>
      <c r="C277" t="s">
        <v>2012</v>
      </c>
      <c r="D277" t="s">
        <v>2053</v>
      </c>
      <c r="E277" t="s">
        <v>2111</v>
      </c>
      <c r="F277" t="s">
        <v>2117</v>
      </c>
      <c r="G277" t="s">
        <v>2213</v>
      </c>
      <c r="H277">
        <v>10457</v>
      </c>
      <c r="I277" t="s">
        <v>2229</v>
      </c>
      <c r="J277">
        <v>1</v>
      </c>
      <c r="K277">
        <v>1</v>
      </c>
      <c r="L277" t="s">
        <v>2260</v>
      </c>
      <c r="M277" t="s">
        <v>2677</v>
      </c>
      <c r="P277" t="s">
        <v>2700</v>
      </c>
      <c r="Q277" t="s">
        <v>3255</v>
      </c>
      <c r="R277" t="s">
        <v>3259</v>
      </c>
      <c r="S277" t="s">
        <v>3267</v>
      </c>
      <c r="V277" t="s">
        <v>3353</v>
      </c>
      <c r="X277" t="s">
        <v>3354</v>
      </c>
      <c r="Y277" t="s">
        <v>2678</v>
      </c>
      <c r="Z277" t="s">
        <v>3359</v>
      </c>
      <c r="AA277" t="s">
        <v>3406</v>
      </c>
      <c r="AB277" t="s">
        <v>3415</v>
      </c>
      <c r="AC277">
        <f>HYPERLINK("https://lsnyc.legalserver.org/matter/dynamic-profile/view/1910005","19-1910005")</f>
        <v>0</v>
      </c>
      <c r="AD277" t="s">
        <v>3444</v>
      </c>
      <c r="AE277" t="s">
        <v>3466</v>
      </c>
      <c r="AF277" t="s">
        <v>3557</v>
      </c>
      <c r="AG277" t="s">
        <v>3359</v>
      </c>
      <c r="AH277" t="s">
        <v>4904</v>
      </c>
      <c r="AL277" t="s">
        <v>2117</v>
      </c>
      <c r="AN277" t="s">
        <v>3415</v>
      </c>
      <c r="AO277" t="s">
        <v>3353</v>
      </c>
    </row>
    <row r="278" spans="1:41">
      <c r="A278" s="1" t="s">
        <v>314</v>
      </c>
      <c r="B278" t="s">
        <v>1998</v>
      </c>
      <c r="C278" t="s">
        <v>2016</v>
      </c>
      <c r="D278" t="s">
        <v>2080</v>
      </c>
      <c r="E278" t="s">
        <v>2112</v>
      </c>
      <c r="F278" t="s">
        <v>2160</v>
      </c>
      <c r="G278" t="s">
        <v>2211</v>
      </c>
      <c r="H278">
        <v>7047</v>
      </c>
      <c r="I278" t="s">
        <v>2229</v>
      </c>
      <c r="J278">
        <v>1</v>
      </c>
      <c r="K278">
        <v>0</v>
      </c>
      <c r="L278" t="s">
        <v>2260</v>
      </c>
      <c r="M278" t="s">
        <v>2677</v>
      </c>
      <c r="P278" t="s">
        <v>2700</v>
      </c>
      <c r="Q278" t="s">
        <v>3255</v>
      </c>
      <c r="R278" t="s">
        <v>3259</v>
      </c>
      <c r="S278" t="s">
        <v>3268</v>
      </c>
      <c r="V278" t="s">
        <v>3352</v>
      </c>
      <c r="X278" t="s">
        <v>3354</v>
      </c>
      <c r="Y278" t="s">
        <v>2678</v>
      </c>
      <c r="Z278" t="s">
        <v>3368</v>
      </c>
      <c r="AA278" t="s">
        <v>3406</v>
      </c>
      <c r="AB278" t="s">
        <v>3416</v>
      </c>
      <c r="AC278">
        <f>HYPERLINK("https://lsnyc.legalserver.org/matter/dynamic-profile/view/1910018","19-1910018")</f>
        <v>0</v>
      </c>
      <c r="AD278" t="s">
        <v>3446</v>
      </c>
      <c r="AE278" t="s">
        <v>3465</v>
      </c>
      <c r="AF278" t="s">
        <v>3753</v>
      </c>
      <c r="AG278" t="s">
        <v>3368</v>
      </c>
      <c r="AH278" t="s">
        <v>4904</v>
      </c>
      <c r="AL278" t="s">
        <v>2160</v>
      </c>
      <c r="AN278" t="s">
        <v>3416</v>
      </c>
      <c r="AO278" t="s">
        <v>3352</v>
      </c>
    </row>
    <row r="279" spans="1:41">
      <c r="A279" s="1" t="s">
        <v>315</v>
      </c>
      <c r="B279" t="s">
        <v>2017</v>
      </c>
      <c r="C279" t="s">
        <v>2002</v>
      </c>
      <c r="D279" t="s">
        <v>2095</v>
      </c>
      <c r="E279" t="s">
        <v>2111</v>
      </c>
      <c r="F279" t="s">
        <v>2120</v>
      </c>
      <c r="G279" t="s">
        <v>2214</v>
      </c>
      <c r="H279">
        <v>11212</v>
      </c>
      <c r="I279" t="s">
        <v>2230</v>
      </c>
      <c r="J279">
        <v>2</v>
      </c>
      <c r="K279">
        <v>0</v>
      </c>
      <c r="L279" t="s">
        <v>2357</v>
      </c>
      <c r="M279" t="s">
        <v>2677</v>
      </c>
      <c r="P279" t="s">
        <v>2754</v>
      </c>
      <c r="Q279" t="s">
        <v>2113</v>
      </c>
      <c r="R279" t="s">
        <v>3259</v>
      </c>
      <c r="S279" t="s">
        <v>3270</v>
      </c>
      <c r="X279" t="s">
        <v>3354</v>
      </c>
      <c r="Y279" t="s">
        <v>2677</v>
      </c>
      <c r="Z279" t="s">
        <v>3362</v>
      </c>
      <c r="AA279" t="s">
        <v>3406</v>
      </c>
      <c r="AB279" t="s">
        <v>3418</v>
      </c>
      <c r="AC279">
        <f>HYPERLINK("https://lsnyc.legalserver.org/matter/dynamic-profile/view/1910073","19-1910073")</f>
        <v>0</v>
      </c>
      <c r="AD279" t="s">
        <v>3445</v>
      </c>
      <c r="AE279" t="s">
        <v>3455</v>
      </c>
      <c r="AF279" t="s">
        <v>3754</v>
      </c>
      <c r="AG279" t="s">
        <v>3362</v>
      </c>
      <c r="AH279" t="s">
        <v>4904</v>
      </c>
      <c r="AL279" t="s">
        <v>2120</v>
      </c>
      <c r="AN279" t="s">
        <v>3418</v>
      </c>
    </row>
    <row r="280" spans="1:41">
      <c r="A280" s="1" t="s">
        <v>316</v>
      </c>
      <c r="B280" t="s">
        <v>2002</v>
      </c>
      <c r="C280" t="s">
        <v>2000</v>
      </c>
      <c r="D280" t="s">
        <v>2068</v>
      </c>
      <c r="E280" t="s">
        <v>2111</v>
      </c>
      <c r="F280" t="s">
        <v>2123</v>
      </c>
      <c r="G280" t="s">
        <v>2213</v>
      </c>
      <c r="H280">
        <v>10454</v>
      </c>
      <c r="I280" t="s">
        <v>2229</v>
      </c>
      <c r="J280">
        <v>2</v>
      </c>
      <c r="K280">
        <v>0</v>
      </c>
      <c r="L280" t="s">
        <v>2255</v>
      </c>
      <c r="M280" t="s">
        <v>2677</v>
      </c>
      <c r="P280" t="s">
        <v>2700</v>
      </c>
      <c r="Q280" t="s">
        <v>3257</v>
      </c>
      <c r="R280" t="s">
        <v>3259</v>
      </c>
      <c r="S280" t="s">
        <v>3267</v>
      </c>
      <c r="V280" t="s">
        <v>3353</v>
      </c>
      <c r="X280" t="s">
        <v>3354</v>
      </c>
      <c r="Y280" t="s">
        <v>2678</v>
      </c>
      <c r="Z280" t="s">
        <v>3359</v>
      </c>
      <c r="AA280" t="s">
        <v>3406</v>
      </c>
      <c r="AB280" t="s">
        <v>3415</v>
      </c>
      <c r="AC280">
        <f>HYPERLINK("https://lsnyc.legalserver.org/matter/dynamic-profile/view/1910078","19-1910078")</f>
        <v>0</v>
      </c>
      <c r="AD280" t="s">
        <v>3444</v>
      </c>
      <c r="AE280" t="s">
        <v>3468</v>
      </c>
      <c r="AF280" t="s">
        <v>3569</v>
      </c>
      <c r="AG280" t="s">
        <v>3359</v>
      </c>
      <c r="AH280" t="s">
        <v>4906</v>
      </c>
      <c r="AL280" t="s">
        <v>2123</v>
      </c>
      <c r="AN280" t="s">
        <v>3415</v>
      </c>
      <c r="AO280" t="s">
        <v>3353</v>
      </c>
    </row>
    <row r="281" spans="1:41">
      <c r="A281" s="1" t="s">
        <v>317</v>
      </c>
      <c r="B281" t="s">
        <v>2001</v>
      </c>
      <c r="C281" t="s">
        <v>1998</v>
      </c>
      <c r="D281" t="s">
        <v>2028</v>
      </c>
      <c r="E281" t="s">
        <v>2111</v>
      </c>
      <c r="F281" t="s">
        <v>2123</v>
      </c>
      <c r="G281" t="s">
        <v>2211</v>
      </c>
      <c r="H281">
        <v>10027</v>
      </c>
      <c r="I281" t="s">
        <v>2229</v>
      </c>
      <c r="J281">
        <v>1</v>
      </c>
      <c r="K281">
        <v>0</v>
      </c>
      <c r="L281" t="s">
        <v>2275</v>
      </c>
      <c r="M281" t="s">
        <v>2677</v>
      </c>
      <c r="P281" t="s">
        <v>2700</v>
      </c>
      <c r="Q281" t="s">
        <v>2113</v>
      </c>
      <c r="R281" t="s">
        <v>3258</v>
      </c>
      <c r="S281" t="s">
        <v>3271</v>
      </c>
      <c r="X281" t="s">
        <v>3354</v>
      </c>
      <c r="Y281" t="s">
        <v>2677</v>
      </c>
      <c r="Z281" t="s">
        <v>3362</v>
      </c>
      <c r="AA281" t="s">
        <v>3406</v>
      </c>
      <c r="AB281" t="s">
        <v>3419</v>
      </c>
      <c r="AC281">
        <f>HYPERLINK("https://lsnyc.legalserver.org/matter/dynamic-profile/view/1910105","19-1910105")</f>
        <v>0</v>
      </c>
      <c r="AD281" t="s">
        <v>3445</v>
      </c>
      <c r="AE281" t="s">
        <v>3452</v>
      </c>
      <c r="AF281" t="s">
        <v>3755</v>
      </c>
      <c r="AG281" t="s">
        <v>3362</v>
      </c>
      <c r="AH281" t="s">
        <v>4904</v>
      </c>
      <c r="AL281" t="s">
        <v>2123</v>
      </c>
      <c r="AN281" t="s">
        <v>3419</v>
      </c>
    </row>
    <row r="282" spans="1:41">
      <c r="A282" s="1" t="s">
        <v>318</v>
      </c>
      <c r="B282" t="s">
        <v>2000</v>
      </c>
      <c r="C282" t="s">
        <v>2016</v>
      </c>
      <c r="D282" t="s">
        <v>2094</v>
      </c>
      <c r="E282" t="s">
        <v>2111</v>
      </c>
      <c r="F282" t="s">
        <v>2120</v>
      </c>
      <c r="G282" t="s">
        <v>2211</v>
      </c>
      <c r="H282">
        <v>10033</v>
      </c>
      <c r="I282" t="s">
        <v>2230</v>
      </c>
      <c r="J282">
        <v>1</v>
      </c>
      <c r="K282">
        <v>0</v>
      </c>
      <c r="L282" t="s">
        <v>2358</v>
      </c>
      <c r="M282" t="s">
        <v>2677</v>
      </c>
      <c r="P282" t="s">
        <v>2700</v>
      </c>
      <c r="Q282" t="s">
        <v>2113</v>
      </c>
      <c r="R282" t="s">
        <v>3259</v>
      </c>
      <c r="S282" t="s">
        <v>3268</v>
      </c>
      <c r="X282" t="s">
        <v>3354</v>
      </c>
      <c r="Y282" t="s">
        <v>2677</v>
      </c>
      <c r="Z282" t="s">
        <v>3368</v>
      </c>
      <c r="AA282" t="s">
        <v>3406</v>
      </c>
      <c r="AB282" t="s">
        <v>3416</v>
      </c>
      <c r="AC282">
        <f>HYPERLINK("https://lsnyc.legalserver.org/matter/dynamic-profile/view/1910107","19-1910107")</f>
        <v>0</v>
      </c>
      <c r="AD282" t="s">
        <v>3445</v>
      </c>
      <c r="AE282" t="s">
        <v>3455</v>
      </c>
      <c r="AF282" t="s">
        <v>3756</v>
      </c>
      <c r="AG282" t="s">
        <v>3368</v>
      </c>
      <c r="AH282" t="s">
        <v>4904</v>
      </c>
      <c r="AL282" t="s">
        <v>2120</v>
      </c>
      <c r="AN282" t="s">
        <v>3416</v>
      </c>
    </row>
    <row r="283" spans="1:41">
      <c r="A283" s="1" t="s">
        <v>319</v>
      </c>
      <c r="B283" t="s">
        <v>2000</v>
      </c>
      <c r="C283" t="s">
        <v>2012</v>
      </c>
      <c r="D283" t="s">
        <v>2084</v>
      </c>
      <c r="E283" t="s">
        <v>2112</v>
      </c>
      <c r="F283" t="s">
        <v>2161</v>
      </c>
      <c r="G283" t="s">
        <v>2213</v>
      </c>
      <c r="H283">
        <v>10453</v>
      </c>
      <c r="I283" t="s">
        <v>2229</v>
      </c>
      <c r="J283">
        <v>4</v>
      </c>
      <c r="K283">
        <v>0</v>
      </c>
      <c r="L283" t="s">
        <v>2359</v>
      </c>
      <c r="M283" t="s">
        <v>2677</v>
      </c>
      <c r="P283" t="s">
        <v>2700</v>
      </c>
      <c r="Q283" t="s">
        <v>2113</v>
      </c>
      <c r="R283" t="s">
        <v>3258</v>
      </c>
      <c r="S283" t="s">
        <v>3284</v>
      </c>
      <c r="X283" t="s">
        <v>3354</v>
      </c>
      <c r="Y283" t="s">
        <v>2678</v>
      </c>
      <c r="Z283" t="s">
        <v>3386</v>
      </c>
      <c r="AB283" t="s">
        <v>3432</v>
      </c>
      <c r="AC283">
        <f>HYPERLINK("https://lsnyc.legalserver.org/matter/dynamic-profile/view/1910110","19-1910110")</f>
        <v>0</v>
      </c>
      <c r="AD283" t="s">
        <v>3442</v>
      </c>
      <c r="AE283" t="s">
        <v>3476</v>
      </c>
      <c r="AF283" t="s">
        <v>3757</v>
      </c>
      <c r="AG283" t="s">
        <v>3386</v>
      </c>
      <c r="AI283" t="s">
        <v>4909</v>
      </c>
      <c r="AL283" t="s">
        <v>2161</v>
      </c>
      <c r="AN283" t="s">
        <v>3432</v>
      </c>
    </row>
    <row r="284" spans="1:41">
      <c r="A284" s="1" t="s">
        <v>320</v>
      </c>
      <c r="B284" t="s">
        <v>2004</v>
      </c>
      <c r="C284" t="s">
        <v>2009</v>
      </c>
      <c r="D284" t="s">
        <v>2027</v>
      </c>
      <c r="E284" t="s">
        <v>2112</v>
      </c>
      <c r="F284" t="s">
        <v>2117</v>
      </c>
      <c r="G284" t="s">
        <v>2213</v>
      </c>
      <c r="H284">
        <v>10451</v>
      </c>
      <c r="I284" t="s">
        <v>2229</v>
      </c>
      <c r="J284">
        <v>3</v>
      </c>
      <c r="K284">
        <v>2</v>
      </c>
      <c r="L284" t="s">
        <v>2260</v>
      </c>
      <c r="M284" t="s">
        <v>2677</v>
      </c>
      <c r="P284" t="s">
        <v>2755</v>
      </c>
      <c r="Q284" t="s">
        <v>3255</v>
      </c>
      <c r="R284" t="s">
        <v>3258</v>
      </c>
      <c r="S284" t="s">
        <v>3262</v>
      </c>
      <c r="V284" t="s">
        <v>3353</v>
      </c>
      <c r="X284" t="s">
        <v>3354</v>
      </c>
      <c r="Y284" t="s">
        <v>2678</v>
      </c>
      <c r="Z284" t="s">
        <v>3355</v>
      </c>
      <c r="AA284" t="s">
        <v>3406</v>
      </c>
      <c r="AB284" t="s">
        <v>3410</v>
      </c>
      <c r="AC284">
        <f>HYPERLINK("https://lsnyc.legalserver.org/matter/dynamic-profile/view/1909926","19-1909926")</f>
        <v>0</v>
      </c>
      <c r="AD284" t="s">
        <v>3444</v>
      </c>
      <c r="AE284" t="s">
        <v>3466</v>
      </c>
      <c r="AF284" t="s">
        <v>3758</v>
      </c>
      <c r="AG284" t="s">
        <v>3355</v>
      </c>
      <c r="AH284" t="s">
        <v>4904</v>
      </c>
      <c r="AL284" t="s">
        <v>2117</v>
      </c>
      <c r="AN284" t="s">
        <v>3410</v>
      </c>
      <c r="AO284" t="s">
        <v>3353</v>
      </c>
    </row>
    <row r="285" spans="1:41">
      <c r="A285" s="1" t="s">
        <v>321</v>
      </c>
      <c r="B285" t="s">
        <v>2004</v>
      </c>
      <c r="C285" t="s">
        <v>2018</v>
      </c>
      <c r="D285" t="s">
        <v>2088</v>
      </c>
      <c r="E285" t="s">
        <v>2112</v>
      </c>
      <c r="F285" t="s">
        <v>2117</v>
      </c>
      <c r="G285" t="s">
        <v>2213</v>
      </c>
      <c r="H285">
        <v>10451</v>
      </c>
      <c r="I285" t="s">
        <v>2229</v>
      </c>
      <c r="J285">
        <v>3</v>
      </c>
      <c r="K285">
        <v>2</v>
      </c>
      <c r="L285" t="s">
        <v>2260</v>
      </c>
      <c r="M285" t="s">
        <v>2677</v>
      </c>
      <c r="P285" t="s">
        <v>2755</v>
      </c>
      <c r="Q285" t="s">
        <v>3255</v>
      </c>
      <c r="R285" t="s">
        <v>3258</v>
      </c>
      <c r="S285" t="s">
        <v>3262</v>
      </c>
      <c r="V285" t="s">
        <v>3353</v>
      </c>
      <c r="X285" t="s">
        <v>3354</v>
      </c>
      <c r="Y285" t="s">
        <v>2678</v>
      </c>
      <c r="Z285" t="s">
        <v>3355</v>
      </c>
      <c r="AA285" t="s">
        <v>3406</v>
      </c>
      <c r="AB285" t="s">
        <v>3410</v>
      </c>
      <c r="AC285">
        <f>HYPERLINK("https://lsnyc.legalserver.org/matter/dynamic-profile/view/1909934","19-1909934")</f>
        <v>0</v>
      </c>
      <c r="AD285" t="s">
        <v>3444</v>
      </c>
      <c r="AE285" t="s">
        <v>3466</v>
      </c>
      <c r="AF285" t="s">
        <v>3759</v>
      </c>
      <c r="AG285" t="s">
        <v>3355</v>
      </c>
      <c r="AH285" t="s">
        <v>4904</v>
      </c>
      <c r="AL285" t="s">
        <v>2117</v>
      </c>
      <c r="AN285" t="s">
        <v>3410</v>
      </c>
      <c r="AO285" t="s">
        <v>3353</v>
      </c>
    </row>
    <row r="286" spans="1:41">
      <c r="A286" s="1" t="s">
        <v>322</v>
      </c>
      <c r="B286" t="s">
        <v>2000</v>
      </c>
      <c r="C286" t="s">
        <v>2002</v>
      </c>
      <c r="D286" t="s">
        <v>2034</v>
      </c>
      <c r="E286" t="s">
        <v>2111</v>
      </c>
      <c r="F286" t="s">
        <v>2135</v>
      </c>
      <c r="G286" t="s">
        <v>2213</v>
      </c>
      <c r="H286">
        <v>10458</v>
      </c>
      <c r="I286" t="s">
        <v>2229</v>
      </c>
      <c r="J286">
        <v>2</v>
      </c>
      <c r="K286">
        <v>1</v>
      </c>
      <c r="L286" t="s">
        <v>2316</v>
      </c>
      <c r="M286" t="s">
        <v>2677</v>
      </c>
      <c r="P286" t="s">
        <v>2755</v>
      </c>
      <c r="Q286" t="s">
        <v>3255</v>
      </c>
      <c r="R286" t="s">
        <v>3260</v>
      </c>
      <c r="S286" t="s">
        <v>3266</v>
      </c>
      <c r="V286" t="s">
        <v>3352</v>
      </c>
      <c r="X286" t="s">
        <v>3354</v>
      </c>
      <c r="Y286" t="s">
        <v>2678</v>
      </c>
      <c r="Z286" t="s">
        <v>3387</v>
      </c>
      <c r="AA286" t="s">
        <v>3406</v>
      </c>
      <c r="AB286" t="s">
        <v>3414</v>
      </c>
      <c r="AC286">
        <f>HYPERLINK("https://lsnyc.legalserver.org/matter/dynamic-profile/view/1909951","19-1909951")</f>
        <v>0</v>
      </c>
      <c r="AD286" t="s">
        <v>3444</v>
      </c>
      <c r="AE286" t="s">
        <v>3466</v>
      </c>
      <c r="AF286" t="s">
        <v>3760</v>
      </c>
      <c r="AG286" t="s">
        <v>3387</v>
      </c>
      <c r="AH286" t="s">
        <v>4905</v>
      </c>
      <c r="AL286" t="s">
        <v>2135</v>
      </c>
      <c r="AN286" t="s">
        <v>3414</v>
      </c>
      <c r="AO286" t="s">
        <v>3352</v>
      </c>
    </row>
    <row r="287" spans="1:41">
      <c r="A287" s="1" t="s">
        <v>323</v>
      </c>
      <c r="B287" t="s">
        <v>2001</v>
      </c>
      <c r="C287" t="s">
        <v>2005</v>
      </c>
      <c r="D287" t="s">
        <v>2094</v>
      </c>
      <c r="E287" t="s">
        <v>2111</v>
      </c>
      <c r="F287" t="s">
        <v>2120</v>
      </c>
      <c r="G287" t="s">
        <v>2213</v>
      </c>
      <c r="H287">
        <v>10459</v>
      </c>
      <c r="I287" t="s">
        <v>2230</v>
      </c>
      <c r="J287">
        <v>1</v>
      </c>
      <c r="K287">
        <v>0</v>
      </c>
      <c r="L287" t="s">
        <v>2260</v>
      </c>
      <c r="M287" t="s">
        <v>2677</v>
      </c>
      <c r="P287" t="s">
        <v>2750</v>
      </c>
      <c r="Q287" t="s">
        <v>2113</v>
      </c>
      <c r="R287" t="s">
        <v>3259</v>
      </c>
      <c r="S287" t="s">
        <v>3268</v>
      </c>
      <c r="V287" t="s">
        <v>3352</v>
      </c>
      <c r="X287" t="s">
        <v>3354</v>
      </c>
      <c r="Y287" t="s">
        <v>2677</v>
      </c>
      <c r="Z287" t="s">
        <v>3368</v>
      </c>
      <c r="AA287" t="s">
        <v>3406</v>
      </c>
      <c r="AB287" t="s">
        <v>3416</v>
      </c>
      <c r="AC287">
        <f>HYPERLINK("https://lsnyc.legalserver.org/matter/dynamic-profile/view/1909966","19-1909966")</f>
        <v>0</v>
      </c>
      <c r="AD287" t="s">
        <v>3445</v>
      </c>
      <c r="AE287" t="s">
        <v>3455</v>
      </c>
      <c r="AF287" t="s">
        <v>3761</v>
      </c>
      <c r="AG287" t="s">
        <v>3368</v>
      </c>
      <c r="AH287" t="s">
        <v>4904</v>
      </c>
      <c r="AL287" t="s">
        <v>2120</v>
      </c>
      <c r="AN287" t="s">
        <v>3416</v>
      </c>
      <c r="AO287" t="s">
        <v>3352</v>
      </c>
    </row>
    <row r="288" spans="1:41">
      <c r="A288" s="1" t="s">
        <v>324</v>
      </c>
      <c r="B288" t="s">
        <v>2018</v>
      </c>
      <c r="C288" t="s">
        <v>2009</v>
      </c>
      <c r="D288" t="s">
        <v>2031</v>
      </c>
      <c r="E288" t="s">
        <v>2112</v>
      </c>
      <c r="F288" t="s">
        <v>2115</v>
      </c>
      <c r="G288" t="s">
        <v>2212</v>
      </c>
      <c r="H288">
        <v>11691</v>
      </c>
      <c r="I288" t="s">
        <v>2229</v>
      </c>
      <c r="J288">
        <v>1</v>
      </c>
      <c r="K288">
        <v>0</v>
      </c>
      <c r="L288" t="s">
        <v>2331</v>
      </c>
      <c r="M288" t="s">
        <v>2677</v>
      </c>
      <c r="P288" t="s">
        <v>2749</v>
      </c>
      <c r="Q288" t="s">
        <v>3255</v>
      </c>
      <c r="R288" t="s">
        <v>3259</v>
      </c>
      <c r="S288" t="s">
        <v>3264</v>
      </c>
      <c r="X288" t="s">
        <v>3354</v>
      </c>
      <c r="Y288" t="s">
        <v>2678</v>
      </c>
      <c r="Z288" t="s">
        <v>3357</v>
      </c>
      <c r="AA288" t="s">
        <v>3406</v>
      </c>
      <c r="AB288" t="s">
        <v>3412</v>
      </c>
      <c r="AC288">
        <f>HYPERLINK("https://lsnyc.legalserver.org/matter/dynamic-profile/view/1909826","19-1909826")</f>
        <v>0</v>
      </c>
      <c r="AD288" t="s">
        <v>3443</v>
      </c>
      <c r="AE288" t="s">
        <v>3457</v>
      </c>
      <c r="AF288" t="s">
        <v>3762</v>
      </c>
      <c r="AG288" t="s">
        <v>3357</v>
      </c>
      <c r="AH288" t="s">
        <v>4904</v>
      </c>
      <c r="AL288" t="s">
        <v>2115</v>
      </c>
      <c r="AN288" t="s">
        <v>3412</v>
      </c>
    </row>
    <row r="289" spans="1:41">
      <c r="A289" s="1" t="s">
        <v>325</v>
      </c>
      <c r="B289" t="s">
        <v>2017</v>
      </c>
      <c r="C289" t="s">
        <v>2017</v>
      </c>
      <c r="D289" t="s">
        <v>2079</v>
      </c>
      <c r="E289" t="s">
        <v>2111</v>
      </c>
      <c r="F289" t="s">
        <v>2144</v>
      </c>
      <c r="G289" t="s">
        <v>2216</v>
      </c>
      <c r="H289">
        <v>10310</v>
      </c>
      <c r="I289" t="s">
        <v>2230</v>
      </c>
      <c r="J289">
        <v>2</v>
      </c>
      <c r="K289">
        <v>0</v>
      </c>
      <c r="L289" t="s">
        <v>2360</v>
      </c>
      <c r="M289" t="s">
        <v>2677</v>
      </c>
      <c r="P289" t="s">
        <v>2756</v>
      </c>
      <c r="Q289" t="s">
        <v>2113</v>
      </c>
      <c r="R289" t="s">
        <v>3258</v>
      </c>
      <c r="S289" t="s">
        <v>3274</v>
      </c>
      <c r="X289" t="s">
        <v>3354</v>
      </c>
      <c r="Y289" t="s">
        <v>2678</v>
      </c>
      <c r="Z289" t="s">
        <v>3371</v>
      </c>
      <c r="AB289" t="s">
        <v>3422</v>
      </c>
      <c r="AC289">
        <f>HYPERLINK("https://lsnyc.legalserver.org/matter/dynamic-profile/view/1909309","19-1909309")</f>
        <v>0</v>
      </c>
      <c r="AD289" t="s">
        <v>3447</v>
      </c>
      <c r="AE289" t="s">
        <v>3478</v>
      </c>
      <c r="AF289" t="s">
        <v>3763</v>
      </c>
      <c r="AG289" t="s">
        <v>3371</v>
      </c>
      <c r="AI289" t="s">
        <v>4909</v>
      </c>
      <c r="AL289" t="s">
        <v>2144</v>
      </c>
      <c r="AN289" t="s">
        <v>3422</v>
      </c>
    </row>
    <row r="290" spans="1:41">
      <c r="A290" s="1" t="s">
        <v>326</v>
      </c>
      <c r="B290" t="s">
        <v>2004</v>
      </c>
      <c r="C290" t="s">
        <v>1998</v>
      </c>
      <c r="D290" t="s">
        <v>2068</v>
      </c>
      <c r="E290" t="s">
        <v>2111</v>
      </c>
      <c r="F290" t="s">
        <v>2120</v>
      </c>
      <c r="G290" t="s">
        <v>2211</v>
      </c>
      <c r="H290">
        <v>10032</v>
      </c>
      <c r="I290" t="s">
        <v>2230</v>
      </c>
      <c r="J290">
        <v>1</v>
      </c>
      <c r="K290">
        <v>0</v>
      </c>
      <c r="L290" t="s">
        <v>2276</v>
      </c>
      <c r="M290" t="s">
        <v>2677</v>
      </c>
      <c r="P290" t="s">
        <v>2757</v>
      </c>
      <c r="Q290" t="s">
        <v>2113</v>
      </c>
      <c r="R290" t="s">
        <v>3259</v>
      </c>
      <c r="S290" t="s">
        <v>3267</v>
      </c>
      <c r="X290" t="s">
        <v>3354</v>
      </c>
      <c r="Y290" t="s">
        <v>2677</v>
      </c>
      <c r="Z290" t="s">
        <v>3380</v>
      </c>
      <c r="AA290" t="s">
        <v>3406</v>
      </c>
      <c r="AB290" t="s">
        <v>3415</v>
      </c>
      <c r="AC290">
        <f>HYPERLINK("https://lsnyc.legalserver.org/matter/dynamic-profile/view/1909635","19-1909635")</f>
        <v>0</v>
      </c>
      <c r="AD290" t="s">
        <v>3445</v>
      </c>
      <c r="AE290" t="s">
        <v>3455</v>
      </c>
      <c r="AF290" t="s">
        <v>3764</v>
      </c>
      <c r="AG290" t="s">
        <v>3380</v>
      </c>
      <c r="AH290" t="s">
        <v>4904</v>
      </c>
      <c r="AI290" t="s">
        <v>4909</v>
      </c>
      <c r="AL290" t="s">
        <v>2120</v>
      </c>
      <c r="AN290" t="s">
        <v>3415</v>
      </c>
    </row>
    <row r="291" spans="1:41">
      <c r="A291" s="1" t="s">
        <v>327</v>
      </c>
      <c r="B291" t="s">
        <v>2001</v>
      </c>
      <c r="C291" t="s">
        <v>1998</v>
      </c>
      <c r="D291" t="s">
        <v>2076</v>
      </c>
      <c r="E291" t="s">
        <v>2112</v>
      </c>
      <c r="F291" t="s">
        <v>2120</v>
      </c>
      <c r="G291" t="s">
        <v>2213</v>
      </c>
      <c r="H291">
        <v>10451</v>
      </c>
      <c r="I291" t="s">
        <v>2230</v>
      </c>
      <c r="J291">
        <v>3</v>
      </c>
      <c r="K291">
        <v>2</v>
      </c>
      <c r="L291" t="s">
        <v>2281</v>
      </c>
      <c r="M291" t="s">
        <v>2677</v>
      </c>
      <c r="P291" t="s">
        <v>2758</v>
      </c>
      <c r="Q291" t="s">
        <v>2113</v>
      </c>
      <c r="R291" t="s">
        <v>3258</v>
      </c>
      <c r="S291" t="s">
        <v>3262</v>
      </c>
      <c r="T291" t="s">
        <v>3294</v>
      </c>
      <c r="V291" t="s">
        <v>3352</v>
      </c>
      <c r="X291" t="s">
        <v>3354</v>
      </c>
      <c r="Y291" t="s">
        <v>2678</v>
      </c>
      <c r="Z291" t="s">
        <v>3355</v>
      </c>
      <c r="AA291" t="s">
        <v>3406</v>
      </c>
      <c r="AB291" t="s">
        <v>3410</v>
      </c>
      <c r="AC291">
        <f>HYPERLINK("https://lsnyc.legalserver.org/matter/dynamic-profile/view/1909468","19-1909468")</f>
        <v>0</v>
      </c>
      <c r="AD291" t="s">
        <v>3444</v>
      </c>
      <c r="AE291" t="s">
        <v>3468</v>
      </c>
      <c r="AF291" t="s">
        <v>3765</v>
      </c>
      <c r="AG291" t="s">
        <v>3355</v>
      </c>
      <c r="AH291" t="s">
        <v>4904</v>
      </c>
      <c r="AL291" t="s">
        <v>2120</v>
      </c>
      <c r="AM291" t="s">
        <v>3294</v>
      </c>
      <c r="AN291" t="s">
        <v>3410</v>
      </c>
      <c r="AO291" t="s">
        <v>3352</v>
      </c>
    </row>
    <row r="292" spans="1:41">
      <c r="A292" s="1" t="s">
        <v>328</v>
      </c>
      <c r="B292" t="s">
        <v>2014</v>
      </c>
      <c r="C292" t="s">
        <v>2001</v>
      </c>
      <c r="D292" t="s">
        <v>2054</v>
      </c>
      <c r="E292" t="s">
        <v>2112</v>
      </c>
      <c r="F292" t="s">
        <v>2120</v>
      </c>
      <c r="G292" t="s">
        <v>2213</v>
      </c>
      <c r="H292">
        <v>10451</v>
      </c>
      <c r="I292" t="s">
        <v>2230</v>
      </c>
      <c r="J292">
        <v>3</v>
      </c>
      <c r="K292">
        <v>2</v>
      </c>
      <c r="L292" t="s">
        <v>2281</v>
      </c>
      <c r="M292" t="s">
        <v>2677</v>
      </c>
      <c r="P292" t="s">
        <v>2758</v>
      </c>
      <c r="Q292" t="s">
        <v>2113</v>
      </c>
      <c r="R292" t="s">
        <v>3258</v>
      </c>
      <c r="S292" t="s">
        <v>3262</v>
      </c>
      <c r="V292" t="s">
        <v>3352</v>
      </c>
      <c r="X292" t="s">
        <v>3354</v>
      </c>
      <c r="Y292" t="s">
        <v>2678</v>
      </c>
      <c r="Z292" t="s">
        <v>3355</v>
      </c>
      <c r="AA292" t="s">
        <v>3406</v>
      </c>
      <c r="AB292" t="s">
        <v>3410</v>
      </c>
      <c r="AC292">
        <f>HYPERLINK("https://lsnyc.legalserver.org/matter/dynamic-profile/view/1909486","19-1909486")</f>
        <v>0</v>
      </c>
      <c r="AD292" t="s">
        <v>3444</v>
      </c>
      <c r="AE292" t="s">
        <v>3468</v>
      </c>
      <c r="AF292" t="s">
        <v>3766</v>
      </c>
      <c r="AG292" t="s">
        <v>3355</v>
      </c>
      <c r="AH292" t="s">
        <v>4904</v>
      </c>
      <c r="AL292" t="s">
        <v>2120</v>
      </c>
      <c r="AN292" t="s">
        <v>3410</v>
      </c>
      <c r="AO292" t="s">
        <v>3352</v>
      </c>
    </row>
    <row r="293" spans="1:41">
      <c r="A293" s="1" t="s">
        <v>329</v>
      </c>
      <c r="B293" t="s">
        <v>1998</v>
      </c>
      <c r="C293" t="s">
        <v>2016</v>
      </c>
      <c r="D293" t="s">
        <v>2036</v>
      </c>
      <c r="E293" t="s">
        <v>2111</v>
      </c>
      <c r="G293" t="s">
        <v>2212</v>
      </c>
      <c r="H293">
        <v>11368</v>
      </c>
      <c r="I293" t="s">
        <v>2229</v>
      </c>
      <c r="J293">
        <v>2</v>
      </c>
      <c r="K293">
        <v>1</v>
      </c>
      <c r="L293" t="s">
        <v>2260</v>
      </c>
      <c r="M293" t="s">
        <v>2677</v>
      </c>
      <c r="P293" t="s">
        <v>2758</v>
      </c>
      <c r="Q293" t="s">
        <v>3255</v>
      </c>
      <c r="R293" t="s">
        <v>3261</v>
      </c>
      <c r="S293" t="s">
        <v>3283</v>
      </c>
      <c r="X293" t="s">
        <v>3354</v>
      </c>
      <c r="Y293" t="s">
        <v>2678</v>
      </c>
      <c r="Z293" t="s">
        <v>3364</v>
      </c>
      <c r="AA293" t="s">
        <v>3408</v>
      </c>
      <c r="AB293" t="s">
        <v>3431</v>
      </c>
      <c r="AC293">
        <f>HYPERLINK("https://lsnyc.legalserver.org/matter/dynamic-profile/view/1909564","19-1909564")</f>
        <v>0</v>
      </c>
      <c r="AD293" t="s">
        <v>3443</v>
      </c>
      <c r="AE293" t="s">
        <v>3479</v>
      </c>
      <c r="AF293" t="s">
        <v>3767</v>
      </c>
      <c r="AG293" t="s">
        <v>3364</v>
      </c>
      <c r="AH293" t="s">
        <v>3408</v>
      </c>
      <c r="AN293" t="s">
        <v>3431</v>
      </c>
    </row>
    <row r="294" spans="1:41">
      <c r="A294" s="1" t="s">
        <v>330</v>
      </c>
      <c r="B294" t="s">
        <v>1998</v>
      </c>
      <c r="C294" t="s">
        <v>1998</v>
      </c>
      <c r="D294" t="s">
        <v>2045</v>
      </c>
      <c r="E294" t="s">
        <v>2112</v>
      </c>
      <c r="G294" t="s">
        <v>2212</v>
      </c>
      <c r="H294">
        <v>11385</v>
      </c>
      <c r="I294" t="s">
        <v>2229</v>
      </c>
      <c r="J294">
        <v>5</v>
      </c>
      <c r="K294">
        <v>2</v>
      </c>
      <c r="L294" t="s">
        <v>2286</v>
      </c>
      <c r="M294" t="s">
        <v>2677</v>
      </c>
      <c r="P294" t="s">
        <v>2758</v>
      </c>
      <c r="Q294" t="s">
        <v>3255</v>
      </c>
      <c r="R294" t="s">
        <v>3258</v>
      </c>
      <c r="S294" t="s">
        <v>3274</v>
      </c>
      <c r="X294" t="s">
        <v>3354</v>
      </c>
      <c r="Y294" t="s">
        <v>2678</v>
      </c>
      <c r="Z294" t="s">
        <v>3371</v>
      </c>
      <c r="AB294" t="s">
        <v>3422</v>
      </c>
      <c r="AC294">
        <f>HYPERLINK("https://lsnyc.legalserver.org/matter/dynamic-profile/view/1909575","19-1909575")</f>
        <v>0</v>
      </c>
      <c r="AD294" t="s">
        <v>3443</v>
      </c>
      <c r="AE294" t="s">
        <v>3457</v>
      </c>
      <c r="AF294" t="s">
        <v>3768</v>
      </c>
      <c r="AG294" t="s">
        <v>3371</v>
      </c>
      <c r="AI294" t="s">
        <v>4909</v>
      </c>
      <c r="AN294" t="s">
        <v>3422</v>
      </c>
    </row>
    <row r="295" spans="1:41">
      <c r="A295" s="1" t="s">
        <v>331</v>
      </c>
      <c r="B295" t="s">
        <v>2004</v>
      </c>
      <c r="C295" t="s">
        <v>1999</v>
      </c>
      <c r="D295" t="s">
        <v>2083</v>
      </c>
      <c r="E295" t="s">
        <v>2112</v>
      </c>
      <c r="F295" t="s">
        <v>2116</v>
      </c>
      <c r="G295" t="s">
        <v>2212</v>
      </c>
      <c r="H295">
        <v>11418</v>
      </c>
      <c r="I295" t="s">
        <v>2229</v>
      </c>
      <c r="J295">
        <v>6</v>
      </c>
      <c r="K295">
        <v>2</v>
      </c>
      <c r="L295" t="s">
        <v>2260</v>
      </c>
      <c r="M295" t="s">
        <v>2677</v>
      </c>
      <c r="P295" t="s">
        <v>2759</v>
      </c>
      <c r="Q295" t="s">
        <v>2113</v>
      </c>
      <c r="R295" t="s">
        <v>3258</v>
      </c>
      <c r="S295" t="s">
        <v>3277</v>
      </c>
      <c r="T295" t="s">
        <v>3294</v>
      </c>
      <c r="U295" t="s">
        <v>2756</v>
      </c>
      <c r="X295" t="s">
        <v>3354</v>
      </c>
      <c r="Y295" t="s">
        <v>2678</v>
      </c>
      <c r="Z295" t="s">
        <v>3374</v>
      </c>
      <c r="AA295" t="s">
        <v>3406</v>
      </c>
      <c r="AB295" t="s">
        <v>3425</v>
      </c>
      <c r="AC295">
        <f>HYPERLINK("https://lsnyc.legalserver.org/matter/dynamic-profile/view/1909436","19-1909436")</f>
        <v>0</v>
      </c>
      <c r="AD295" t="s">
        <v>3443</v>
      </c>
      <c r="AE295" t="s">
        <v>3472</v>
      </c>
      <c r="AF295" t="s">
        <v>3769</v>
      </c>
      <c r="AG295" t="s">
        <v>3374</v>
      </c>
      <c r="AH295" t="s">
        <v>4904</v>
      </c>
      <c r="AL295" t="s">
        <v>2116</v>
      </c>
      <c r="AM295" t="s">
        <v>3294</v>
      </c>
      <c r="AN295" t="s">
        <v>3425</v>
      </c>
    </row>
    <row r="296" spans="1:41">
      <c r="A296" s="1" t="s">
        <v>332</v>
      </c>
      <c r="B296" t="s">
        <v>2020</v>
      </c>
      <c r="C296" t="s">
        <v>1998</v>
      </c>
      <c r="D296" t="s">
        <v>2067</v>
      </c>
      <c r="E296" t="s">
        <v>2112</v>
      </c>
      <c r="F296" t="s">
        <v>2115</v>
      </c>
      <c r="G296" t="s">
        <v>2212</v>
      </c>
      <c r="H296">
        <v>11373</v>
      </c>
      <c r="I296" t="s">
        <v>2229</v>
      </c>
      <c r="J296">
        <v>3</v>
      </c>
      <c r="K296">
        <v>1</v>
      </c>
      <c r="L296" t="s">
        <v>2361</v>
      </c>
      <c r="M296" t="s">
        <v>2677</v>
      </c>
      <c r="P296" t="s">
        <v>2748</v>
      </c>
      <c r="Q296" t="s">
        <v>3255</v>
      </c>
      <c r="R296" t="s">
        <v>3258</v>
      </c>
      <c r="S296" t="s">
        <v>3269</v>
      </c>
      <c r="X296" t="s">
        <v>3354</v>
      </c>
      <c r="Y296" t="s">
        <v>2678</v>
      </c>
      <c r="Z296" t="s">
        <v>3361</v>
      </c>
      <c r="AA296" t="s">
        <v>3406</v>
      </c>
      <c r="AB296" t="s">
        <v>3417</v>
      </c>
      <c r="AC296">
        <f>HYPERLINK("https://lsnyc.legalserver.org/matter/dynamic-profile/view/1909446","19-1909446")</f>
        <v>0</v>
      </c>
      <c r="AD296" t="s">
        <v>3443</v>
      </c>
      <c r="AE296" t="s">
        <v>3471</v>
      </c>
      <c r="AF296" t="s">
        <v>3770</v>
      </c>
      <c r="AG296" t="s">
        <v>3361</v>
      </c>
      <c r="AH296" t="s">
        <v>4904</v>
      </c>
      <c r="AL296" t="s">
        <v>2115</v>
      </c>
      <c r="AN296" t="s">
        <v>3417</v>
      </c>
    </row>
    <row r="297" spans="1:41">
      <c r="A297" s="1" t="s">
        <v>333</v>
      </c>
      <c r="B297" t="s">
        <v>2002</v>
      </c>
      <c r="C297" t="s">
        <v>2009</v>
      </c>
      <c r="D297" t="s">
        <v>2036</v>
      </c>
      <c r="E297" t="s">
        <v>2111</v>
      </c>
      <c r="F297" t="s">
        <v>2114</v>
      </c>
      <c r="G297" t="s">
        <v>2214</v>
      </c>
      <c r="H297">
        <v>11219</v>
      </c>
      <c r="I297" t="s">
        <v>2229</v>
      </c>
      <c r="J297">
        <v>2</v>
      </c>
      <c r="K297">
        <v>1</v>
      </c>
      <c r="L297" t="s">
        <v>2260</v>
      </c>
      <c r="M297" t="s">
        <v>2677</v>
      </c>
      <c r="P297" t="s">
        <v>2760</v>
      </c>
      <c r="Q297" t="s">
        <v>2113</v>
      </c>
      <c r="R297" t="s">
        <v>3259</v>
      </c>
      <c r="S297" t="s">
        <v>3272</v>
      </c>
      <c r="T297" t="s">
        <v>3294</v>
      </c>
      <c r="U297" t="s">
        <v>2760</v>
      </c>
      <c r="X297" t="s">
        <v>3354</v>
      </c>
      <c r="Y297" t="s">
        <v>2678</v>
      </c>
      <c r="Z297" t="s">
        <v>3383</v>
      </c>
      <c r="AA297" t="s">
        <v>3406</v>
      </c>
      <c r="AB297" t="s">
        <v>3420</v>
      </c>
      <c r="AC297">
        <f>HYPERLINK("https://lsnyc.legalserver.org/matter/dynamic-profile/view/1909305","19-1909305")</f>
        <v>0</v>
      </c>
      <c r="AD297" t="s">
        <v>3446</v>
      </c>
      <c r="AE297" t="s">
        <v>3454</v>
      </c>
      <c r="AF297" t="s">
        <v>3744</v>
      </c>
      <c r="AG297" t="s">
        <v>3383</v>
      </c>
      <c r="AH297" t="s">
        <v>4905</v>
      </c>
      <c r="AL297" t="s">
        <v>2114</v>
      </c>
      <c r="AM297" t="s">
        <v>3294</v>
      </c>
      <c r="AN297" t="s">
        <v>3420</v>
      </c>
    </row>
    <row r="298" spans="1:41">
      <c r="A298" s="1" t="s">
        <v>334</v>
      </c>
      <c r="B298" t="s">
        <v>2002</v>
      </c>
      <c r="C298" t="s">
        <v>2019</v>
      </c>
      <c r="D298" t="s">
        <v>2057</v>
      </c>
      <c r="E298" t="s">
        <v>2111</v>
      </c>
      <c r="F298" t="s">
        <v>2120</v>
      </c>
      <c r="G298" t="s">
        <v>2213</v>
      </c>
      <c r="H298">
        <v>10472</v>
      </c>
      <c r="I298" t="s">
        <v>2230</v>
      </c>
      <c r="J298">
        <v>1</v>
      </c>
      <c r="K298">
        <v>0</v>
      </c>
      <c r="L298" t="s">
        <v>2260</v>
      </c>
      <c r="M298" t="s">
        <v>2677</v>
      </c>
      <c r="P298" t="s">
        <v>2743</v>
      </c>
      <c r="Q298" t="s">
        <v>2113</v>
      </c>
      <c r="R298" t="s">
        <v>3259</v>
      </c>
      <c r="S298" t="s">
        <v>3268</v>
      </c>
      <c r="V298" t="s">
        <v>3352</v>
      </c>
      <c r="X298" t="s">
        <v>3354</v>
      </c>
      <c r="Y298" t="s">
        <v>2677</v>
      </c>
      <c r="Z298" t="s">
        <v>3368</v>
      </c>
      <c r="AA298" t="s">
        <v>3406</v>
      </c>
      <c r="AB298" t="s">
        <v>3416</v>
      </c>
      <c r="AC298">
        <f>HYPERLINK("https://lsnyc.legalserver.org/matter/dynamic-profile/view/1909154","19-1909154")</f>
        <v>0</v>
      </c>
      <c r="AD298" t="s">
        <v>3445</v>
      </c>
      <c r="AE298" t="s">
        <v>3455</v>
      </c>
      <c r="AF298" t="s">
        <v>3771</v>
      </c>
      <c r="AG298" t="s">
        <v>3368</v>
      </c>
      <c r="AH298" t="s">
        <v>4904</v>
      </c>
      <c r="AL298" t="s">
        <v>2120</v>
      </c>
      <c r="AN298" t="s">
        <v>3416</v>
      </c>
      <c r="AO298" t="s">
        <v>3352</v>
      </c>
    </row>
    <row r="299" spans="1:41">
      <c r="A299" s="1" t="s">
        <v>335</v>
      </c>
      <c r="B299" t="s">
        <v>1998</v>
      </c>
      <c r="C299" t="s">
        <v>1998</v>
      </c>
      <c r="D299" t="s">
        <v>2038</v>
      </c>
      <c r="E299" t="s">
        <v>2112</v>
      </c>
      <c r="F299" t="s">
        <v>2116</v>
      </c>
      <c r="G299" t="s">
        <v>2216</v>
      </c>
      <c r="H299">
        <v>10303</v>
      </c>
      <c r="I299" t="s">
        <v>2230</v>
      </c>
      <c r="J299">
        <v>3</v>
      </c>
      <c r="K299">
        <v>1</v>
      </c>
      <c r="L299" t="s">
        <v>2362</v>
      </c>
      <c r="M299" t="s">
        <v>2677</v>
      </c>
      <c r="P299" t="s">
        <v>2761</v>
      </c>
      <c r="Q299" t="s">
        <v>2113</v>
      </c>
      <c r="R299" t="s">
        <v>3258</v>
      </c>
      <c r="S299" t="s">
        <v>3271</v>
      </c>
      <c r="X299" t="s">
        <v>3354</v>
      </c>
      <c r="Y299" t="s">
        <v>2677</v>
      </c>
      <c r="Z299" t="s">
        <v>3362</v>
      </c>
      <c r="AA299" t="s">
        <v>3406</v>
      </c>
      <c r="AB299" t="s">
        <v>3419</v>
      </c>
      <c r="AC299">
        <f>HYPERLINK("https://lsnyc.legalserver.org/matter/dynamic-profile/view/1909178","19-1909178")</f>
        <v>0</v>
      </c>
      <c r="AD299" t="s">
        <v>3445</v>
      </c>
      <c r="AE299" t="s">
        <v>3455</v>
      </c>
      <c r="AF299" t="s">
        <v>3772</v>
      </c>
      <c r="AG299" t="s">
        <v>3362</v>
      </c>
      <c r="AH299" t="s">
        <v>4904</v>
      </c>
      <c r="AL299" t="s">
        <v>2116</v>
      </c>
      <c r="AN299" t="s">
        <v>3419</v>
      </c>
    </row>
    <row r="300" spans="1:41">
      <c r="A300" s="1" t="s">
        <v>336</v>
      </c>
      <c r="B300" t="s">
        <v>1998</v>
      </c>
      <c r="C300" t="s">
        <v>2001</v>
      </c>
      <c r="D300" t="s">
        <v>2029</v>
      </c>
      <c r="E300" t="s">
        <v>2111</v>
      </c>
      <c r="F300" t="s">
        <v>2120</v>
      </c>
      <c r="G300" t="s">
        <v>2212</v>
      </c>
      <c r="H300">
        <v>11434</v>
      </c>
      <c r="I300" t="s">
        <v>2230</v>
      </c>
      <c r="J300">
        <v>1</v>
      </c>
      <c r="K300">
        <v>0</v>
      </c>
      <c r="L300" t="s">
        <v>2260</v>
      </c>
      <c r="M300" t="s">
        <v>2677</v>
      </c>
      <c r="P300" t="s">
        <v>2761</v>
      </c>
      <c r="Q300" t="s">
        <v>3255</v>
      </c>
      <c r="R300" t="s">
        <v>3261</v>
      </c>
      <c r="S300" t="s">
        <v>3285</v>
      </c>
      <c r="T300" t="s">
        <v>3297</v>
      </c>
      <c r="U300" t="s">
        <v>2761</v>
      </c>
      <c r="V300" t="s">
        <v>3352</v>
      </c>
      <c r="X300" t="s">
        <v>3354</v>
      </c>
      <c r="Y300" t="s">
        <v>2678</v>
      </c>
      <c r="Z300" t="s">
        <v>3371</v>
      </c>
      <c r="AA300" t="s">
        <v>3409</v>
      </c>
      <c r="AB300" t="s">
        <v>3433</v>
      </c>
      <c r="AC300">
        <f>HYPERLINK("https://lsnyc.legalserver.org/matter/dynamic-profile/view/1909179","19-1909179")</f>
        <v>0</v>
      </c>
      <c r="AD300" t="s">
        <v>3446</v>
      </c>
      <c r="AE300" t="s">
        <v>3473</v>
      </c>
      <c r="AF300" t="s">
        <v>3773</v>
      </c>
      <c r="AG300" t="s">
        <v>3371</v>
      </c>
      <c r="AH300" t="s">
        <v>3409</v>
      </c>
      <c r="AL300" t="s">
        <v>2120</v>
      </c>
      <c r="AM300" t="s">
        <v>3297</v>
      </c>
      <c r="AN300" t="s">
        <v>3433</v>
      </c>
      <c r="AO300" t="s">
        <v>3352</v>
      </c>
    </row>
    <row r="301" spans="1:41">
      <c r="A301" s="1" t="s">
        <v>337</v>
      </c>
      <c r="B301" t="s">
        <v>2016</v>
      </c>
      <c r="C301" t="s">
        <v>2004</v>
      </c>
      <c r="D301" t="s">
        <v>2067</v>
      </c>
      <c r="E301" t="s">
        <v>2112</v>
      </c>
      <c r="F301" t="s">
        <v>2117</v>
      </c>
      <c r="G301" t="s">
        <v>2213</v>
      </c>
      <c r="H301">
        <v>10457</v>
      </c>
      <c r="I301" t="s">
        <v>2229</v>
      </c>
      <c r="J301">
        <v>2</v>
      </c>
      <c r="K301">
        <v>1</v>
      </c>
      <c r="L301" t="s">
        <v>2363</v>
      </c>
      <c r="M301" t="s">
        <v>2677</v>
      </c>
      <c r="P301" t="s">
        <v>2761</v>
      </c>
      <c r="Q301" t="s">
        <v>3255</v>
      </c>
      <c r="R301" t="s">
        <v>3258</v>
      </c>
      <c r="S301" t="s">
        <v>3262</v>
      </c>
      <c r="V301" t="s">
        <v>3353</v>
      </c>
      <c r="X301" t="s">
        <v>3354</v>
      </c>
      <c r="Y301" t="s">
        <v>2678</v>
      </c>
      <c r="Z301" t="s">
        <v>3355</v>
      </c>
      <c r="AA301" t="s">
        <v>3406</v>
      </c>
      <c r="AB301" t="s">
        <v>3410</v>
      </c>
      <c r="AC301">
        <f>HYPERLINK("https://lsnyc.legalserver.org/matter/dynamic-profile/view/1909218","19-1909218")</f>
        <v>0</v>
      </c>
      <c r="AD301" t="s">
        <v>3444</v>
      </c>
      <c r="AE301" t="s">
        <v>3466</v>
      </c>
      <c r="AF301" t="s">
        <v>3774</v>
      </c>
      <c r="AG301" t="s">
        <v>3355</v>
      </c>
      <c r="AH301" t="s">
        <v>4904</v>
      </c>
      <c r="AL301" t="s">
        <v>2117</v>
      </c>
      <c r="AN301" t="s">
        <v>3410</v>
      </c>
      <c r="AO301" t="s">
        <v>3353</v>
      </c>
    </row>
    <row r="302" spans="1:41">
      <c r="A302" s="1" t="s">
        <v>338</v>
      </c>
      <c r="B302" t="s">
        <v>1998</v>
      </c>
      <c r="C302" t="s">
        <v>1998</v>
      </c>
      <c r="D302" t="s">
        <v>2051</v>
      </c>
      <c r="E302" t="s">
        <v>2112</v>
      </c>
      <c r="F302" t="s">
        <v>2116</v>
      </c>
      <c r="G302" t="s">
        <v>2212</v>
      </c>
      <c r="H302">
        <v>11419</v>
      </c>
      <c r="I302" t="s">
        <v>2229</v>
      </c>
      <c r="J302">
        <v>1</v>
      </c>
      <c r="K302">
        <v>0</v>
      </c>
      <c r="L302" t="s">
        <v>2260</v>
      </c>
      <c r="M302" t="s">
        <v>2677</v>
      </c>
      <c r="P302" t="s">
        <v>2761</v>
      </c>
      <c r="Q302" t="s">
        <v>3255</v>
      </c>
      <c r="R302" t="s">
        <v>3259</v>
      </c>
      <c r="S302" t="s">
        <v>3270</v>
      </c>
      <c r="X302" t="s">
        <v>3354</v>
      </c>
      <c r="Y302" t="s">
        <v>2678</v>
      </c>
      <c r="Z302" t="s">
        <v>3355</v>
      </c>
      <c r="AA302" t="s">
        <v>3406</v>
      </c>
      <c r="AB302" t="s">
        <v>3418</v>
      </c>
      <c r="AC302">
        <f>HYPERLINK("https://lsnyc.legalserver.org/matter/dynamic-profile/view/1909239","19-1909239")</f>
        <v>0</v>
      </c>
      <c r="AD302" t="s">
        <v>3443</v>
      </c>
      <c r="AE302" t="s">
        <v>3471</v>
      </c>
      <c r="AF302" t="s">
        <v>3775</v>
      </c>
      <c r="AG302" t="s">
        <v>3355</v>
      </c>
      <c r="AH302" t="s">
        <v>4906</v>
      </c>
      <c r="AL302" t="s">
        <v>2116</v>
      </c>
      <c r="AN302" t="s">
        <v>3418</v>
      </c>
    </row>
    <row r="303" spans="1:41">
      <c r="A303" s="1" t="s">
        <v>339</v>
      </c>
      <c r="B303" t="s">
        <v>2002</v>
      </c>
      <c r="C303" t="s">
        <v>1998</v>
      </c>
      <c r="D303" t="s">
        <v>2027</v>
      </c>
      <c r="E303" t="s">
        <v>2111</v>
      </c>
      <c r="F303" t="s">
        <v>2117</v>
      </c>
      <c r="G303" t="s">
        <v>2214</v>
      </c>
      <c r="H303">
        <v>11232</v>
      </c>
      <c r="I303" t="s">
        <v>2229</v>
      </c>
      <c r="J303">
        <v>3</v>
      </c>
      <c r="K303">
        <v>2</v>
      </c>
      <c r="L303" t="s">
        <v>2260</v>
      </c>
      <c r="M303" t="s">
        <v>2677</v>
      </c>
      <c r="P303" t="s">
        <v>2761</v>
      </c>
      <c r="Q303" t="s">
        <v>2113</v>
      </c>
      <c r="R303" t="s">
        <v>3259</v>
      </c>
      <c r="S303" t="s">
        <v>3267</v>
      </c>
      <c r="V303" t="s">
        <v>3353</v>
      </c>
      <c r="X303" t="s">
        <v>3354</v>
      </c>
      <c r="Y303" t="s">
        <v>2678</v>
      </c>
      <c r="Z303" t="s">
        <v>3359</v>
      </c>
      <c r="AA303" t="s">
        <v>3406</v>
      </c>
      <c r="AB303" t="s">
        <v>3415</v>
      </c>
      <c r="AC303">
        <f>HYPERLINK("https://lsnyc.legalserver.org/matter/dynamic-profile/view/1909242","19-1909242")</f>
        <v>0</v>
      </c>
      <c r="AD303" t="s">
        <v>3446</v>
      </c>
      <c r="AE303" t="s">
        <v>3456</v>
      </c>
      <c r="AF303" t="s">
        <v>3698</v>
      </c>
      <c r="AG303" t="s">
        <v>3359</v>
      </c>
      <c r="AH303" t="s">
        <v>4906</v>
      </c>
      <c r="AL303" t="s">
        <v>2117</v>
      </c>
      <c r="AN303" t="s">
        <v>3415</v>
      </c>
      <c r="AO303" t="s">
        <v>3353</v>
      </c>
    </row>
    <row r="304" spans="1:41">
      <c r="A304" s="1" t="s">
        <v>340</v>
      </c>
      <c r="B304" t="s">
        <v>1998</v>
      </c>
      <c r="C304" t="s">
        <v>2021</v>
      </c>
      <c r="D304" t="s">
        <v>2031</v>
      </c>
      <c r="E304" t="s">
        <v>2112</v>
      </c>
      <c r="F304" t="s">
        <v>2160</v>
      </c>
      <c r="G304" t="s">
        <v>2213</v>
      </c>
      <c r="H304">
        <v>10467</v>
      </c>
      <c r="I304" t="s">
        <v>2230</v>
      </c>
      <c r="J304">
        <v>6</v>
      </c>
      <c r="K304">
        <v>4</v>
      </c>
      <c r="L304" t="s">
        <v>2364</v>
      </c>
      <c r="M304" t="s">
        <v>2677</v>
      </c>
      <c r="P304" t="s">
        <v>2762</v>
      </c>
      <c r="Q304" t="s">
        <v>2113</v>
      </c>
      <c r="X304" t="s">
        <v>3354</v>
      </c>
      <c r="Y304" t="s">
        <v>2677</v>
      </c>
      <c r="AA304" t="s">
        <v>3407</v>
      </c>
      <c r="AB304" t="s">
        <v>3407</v>
      </c>
      <c r="AC304">
        <f>HYPERLINK("https://lsnyc.legalserver.org/matter/dynamic-profile/view/1909018","19-1909018")</f>
        <v>0</v>
      </c>
      <c r="AD304" t="s">
        <v>3445</v>
      </c>
      <c r="AE304" t="s">
        <v>3461</v>
      </c>
      <c r="AF304" t="s">
        <v>3776</v>
      </c>
      <c r="AH304" t="s">
        <v>3407</v>
      </c>
      <c r="AL304" t="s">
        <v>2160</v>
      </c>
      <c r="AN304" t="s">
        <v>3407</v>
      </c>
    </row>
    <row r="305" spans="1:41">
      <c r="A305" s="1" t="s">
        <v>341</v>
      </c>
      <c r="B305" t="s">
        <v>2000</v>
      </c>
      <c r="C305" t="s">
        <v>2001</v>
      </c>
      <c r="D305" t="s">
        <v>2048</v>
      </c>
      <c r="E305" t="s">
        <v>2112</v>
      </c>
      <c r="F305" t="s">
        <v>2135</v>
      </c>
      <c r="G305" t="s">
        <v>2212</v>
      </c>
      <c r="H305">
        <v>11369</v>
      </c>
      <c r="I305" t="s">
        <v>2229</v>
      </c>
      <c r="J305">
        <v>3</v>
      </c>
      <c r="K305">
        <v>1</v>
      </c>
      <c r="L305" t="s">
        <v>2304</v>
      </c>
      <c r="M305" t="s">
        <v>2677</v>
      </c>
      <c r="P305" t="s">
        <v>2762</v>
      </c>
      <c r="Q305" t="s">
        <v>3255</v>
      </c>
      <c r="R305" t="s">
        <v>3258</v>
      </c>
      <c r="S305" t="s">
        <v>3286</v>
      </c>
      <c r="X305" t="s">
        <v>3354</v>
      </c>
      <c r="Y305" t="s">
        <v>2678</v>
      </c>
      <c r="Z305" t="s">
        <v>3388</v>
      </c>
      <c r="AB305" t="s">
        <v>3434</v>
      </c>
      <c r="AC305">
        <f>HYPERLINK("https://lsnyc.legalserver.org/matter/dynamic-profile/view/1909073","19-1909073")</f>
        <v>0</v>
      </c>
      <c r="AD305" t="s">
        <v>3443</v>
      </c>
      <c r="AE305" t="s">
        <v>3472</v>
      </c>
      <c r="AF305" t="s">
        <v>3777</v>
      </c>
      <c r="AG305" t="s">
        <v>3388</v>
      </c>
      <c r="AI305" t="s">
        <v>4909</v>
      </c>
      <c r="AL305" t="s">
        <v>2135</v>
      </c>
      <c r="AN305" t="s">
        <v>3434</v>
      </c>
    </row>
    <row r="306" spans="1:41">
      <c r="A306" s="1" t="s">
        <v>342</v>
      </c>
      <c r="B306" t="s">
        <v>2002</v>
      </c>
      <c r="C306" t="s">
        <v>2002</v>
      </c>
      <c r="D306" t="s">
        <v>2040</v>
      </c>
      <c r="E306" t="s">
        <v>2111</v>
      </c>
      <c r="F306" t="s">
        <v>2117</v>
      </c>
      <c r="G306" t="s">
        <v>2216</v>
      </c>
      <c r="H306">
        <v>10304</v>
      </c>
      <c r="I306" t="s">
        <v>2229</v>
      </c>
      <c r="J306">
        <v>4</v>
      </c>
      <c r="K306">
        <v>2</v>
      </c>
      <c r="L306" t="s">
        <v>2260</v>
      </c>
      <c r="M306" t="s">
        <v>2677</v>
      </c>
      <c r="P306" t="s">
        <v>2762</v>
      </c>
      <c r="Q306" t="s">
        <v>2113</v>
      </c>
      <c r="R306" t="s">
        <v>3259</v>
      </c>
      <c r="S306" t="s">
        <v>3267</v>
      </c>
      <c r="V306" t="s">
        <v>3353</v>
      </c>
      <c r="X306" t="s">
        <v>3354</v>
      </c>
      <c r="Y306" t="s">
        <v>2678</v>
      </c>
      <c r="Z306" t="s">
        <v>3359</v>
      </c>
      <c r="AA306" t="s">
        <v>3406</v>
      </c>
      <c r="AB306" t="s">
        <v>3415</v>
      </c>
      <c r="AC306">
        <f>HYPERLINK("https://lsnyc.legalserver.org/matter/dynamic-profile/view/1909094","19-1909094")</f>
        <v>0</v>
      </c>
      <c r="AD306" t="s">
        <v>3446</v>
      </c>
      <c r="AE306" t="s">
        <v>3456</v>
      </c>
      <c r="AF306" t="s">
        <v>3697</v>
      </c>
      <c r="AG306" t="s">
        <v>3359</v>
      </c>
      <c r="AH306" t="s">
        <v>4906</v>
      </c>
      <c r="AL306" t="s">
        <v>2117</v>
      </c>
      <c r="AN306" t="s">
        <v>3415</v>
      </c>
      <c r="AO306" t="s">
        <v>3353</v>
      </c>
    </row>
    <row r="307" spans="1:41">
      <c r="A307" s="1" t="s">
        <v>343</v>
      </c>
      <c r="B307" t="s">
        <v>2009</v>
      </c>
      <c r="C307" t="s">
        <v>1998</v>
      </c>
      <c r="D307" t="s">
        <v>2055</v>
      </c>
      <c r="E307" t="s">
        <v>2111</v>
      </c>
      <c r="G307" t="s">
        <v>2216</v>
      </c>
      <c r="H307">
        <v>10310</v>
      </c>
      <c r="I307" t="s">
        <v>2230</v>
      </c>
      <c r="J307">
        <v>2</v>
      </c>
      <c r="K307">
        <v>0</v>
      </c>
      <c r="L307" t="s">
        <v>2306</v>
      </c>
      <c r="M307" t="s">
        <v>2677</v>
      </c>
      <c r="P307" t="s">
        <v>2762</v>
      </c>
      <c r="Q307" t="s">
        <v>3255</v>
      </c>
      <c r="R307" t="s">
        <v>3258</v>
      </c>
      <c r="S307" t="s">
        <v>3262</v>
      </c>
      <c r="X307" t="s">
        <v>3354</v>
      </c>
      <c r="Y307" t="s">
        <v>2678</v>
      </c>
      <c r="Z307" t="s">
        <v>3355</v>
      </c>
      <c r="AA307" t="s">
        <v>3406</v>
      </c>
      <c r="AB307" t="s">
        <v>3410</v>
      </c>
      <c r="AC307">
        <f>HYPERLINK("https://lsnyc.legalserver.org/matter/dynamic-profile/view/1909101","19-1909101")</f>
        <v>0</v>
      </c>
      <c r="AD307" t="s">
        <v>3447</v>
      </c>
      <c r="AE307" t="s">
        <v>3458</v>
      </c>
      <c r="AF307" t="s">
        <v>3778</v>
      </c>
      <c r="AG307" t="s">
        <v>3355</v>
      </c>
      <c r="AH307" t="s">
        <v>4904</v>
      </c>
      <c r="AI307" t="s">
        <v>4909</v>
      </c>
      <c r="AN307" t="s">
        <v>3410</v>
      </c>
    </row>
    <row r="308" spans="1:41">
      <c r="A308" s="1" t="s">
        <v>344</v>
      </c>
      <c r="B308" t="s">
        <v>2004</v>
      </c>
      <c r="C308" t="s">
        <v>2014</v>
      </c>
      <c r="D308" t="s">
        <v>2048</v>
      </c>
      <c r="E308" t="s">
        <v>2111</v>
      </c>
      <c r="F308" t="s">
        <v>2162</v>
      </c>
      <c r="G308" t="s">
        <v>2213</v>
      </c>
      <c r="H308">
        <v>10455</v>
      </c>
      <c r="I308" t="s">
        <v>2234</v>
      </c>
      <c r="J308">
        <v>4</v>
      </c>
      <c r="K308">
        <v>0</v>
      </c>
      <c r="L308" t="s">
        <v>2306</v>
      </c>
      <c r="M308" t="s">
        <v>2677</v>
      </c>
      <c r="P308" t="s">
        <v>2763</v>
      </c>
      <c r="Q308" t="s">
        <v>2113</v>
      </c>
      <c r="R308" t="s">
        <v>3258</v>
      </c>
      <c r="S308" t="s">
        <v>3262</v>
      </c>
      <c r="T308" t="s">
        <v>3294</v>
      </c>
      <c r="V308" t="s">
        <v>3352</v>
      </c>
      <c r="X308" t="s">
        <v>3354</v>
      </c>
      <c r="Y308" t="s">
        <v>2678</v>
      </c>
      <c r="Z308" t="s">
        <v>3355</v>
      </c>
      <c r="AA308" t="s">
        <v>3406</v>
      </c>
      <c r="AB308" t="s">
        <v>3410</v>
      </c>
      <c r="AC308">
        <f>HYPERLINK("https://lsnyc.legalserver.org/matter/dynamic-profile/view/1908884","19-1908884")</f>
        <v>0</v>
      </c>
      <c r="AD308" t="s">
        <v>3444</v>
      </c>
      <c r="AE308" t="s">
        <v>3468</v>
      </c>
      <c r="AF308" t="s">
        <v>3779</v>
      </c>
      <c r="AG308" t="s">
        <v>3355</v>
      </c>
      <c r="AH308" t="s">
        <v>4904</v>
      </c>
      <c r="AI308" t="s">
        <v>4909</v>
      </c>
      <c r="AL308" t="s">
        <v>2162</v>
      </c>
      <c r="AM308" t="s">
        <v>3294</v>
      </c>
      <c r="AN308" t="s">
        <v>3410</v>
      </c>
      <c r="AO308" t="s">
        <v>3352</v>
      </c>
    </row>
    <row r="309" spans="1:41">
      <c r="A309" s="1" t="s">
        <v>345</v>
      </c>
      <c r="B309" t="s">
        <v>2001</v>
      </c>
      <c r="C309" t="s">
        <v>2012</v>
      </c>
      <c r="D309" t="s">
        <v>2057</v>
      </c>
      <c r="E309" t="s">
        <v>2111</v>
      </c>
      <c r="F309" t="s">
        <v>2120</v>
      </c>
      <c r="G309" t="s">
        <v>2214</v>
      </c>
      <c r="H309">
        <v>11203</v>
      </c>
      <c r="I309" t="s">
        <v>2230</v>
      </c>
      <c r="J309">
        <v>2</v>
      </c>
      <c r="K309">
        <v>0</v>
      </c>
      <c r="L309" t="s">
        <v>2260</v>
      </c>
      <c r="M309" t="s">
        <v>2677</v>
      </c>
      <c r="P309" t="s">
        <v>2700</v>
      </c>
      <c r="Q309" t="s">
        <v>2113</v>
      </c>
      <c r="R309" t="s">
        <v>3259</v>
      </c>
      <c r="S309" t="s">
        <v>3268</v>
      </c>
      <c r="X309" t="s">
        <v>3354</v>
      </c>
      <c r="Y309" t="s">
        <v>2677</v>
      </c>
      <c r="Z309" t="s">
        <v>3368</v>
      </c>
      <c r="AA309" t="s">
        <v>3406</v>
      </c>
      <c r="AB309" t="s">
        <v>3416</v>
      </c>
      <c r="AC309">
        <f>HYPERLINK("https://lsnyc.legalserver.org/matter/dynamic-profile/view/1908966","19-1908966")</f>
        <v>0</v>
      </c>
      <c r="AD309" t="s">
        <v>3445</v>
      </c>
      <c r="AE309" t="s">
        <v>3455</v>
      </c>
      <c r="AF309" t="s">
        <v>3780</v>
      </c>
      <c r="AG309" t="s">
        <v>3368</v>
      </c>
      <c r="AH309" t="s">
        <v>4904</v>
      </c>
      <c r="AL309" t="s">
        <v>2120</v>
      </c>
      <c r="AN309" t="s">
        <v>3416</v>
      </c>
    </row>
    <row r="310" spans="1:41">
      <c r="A310" s="1" t="s">
        <v>346</v>
      </c>
      <c r="B310" t="s">
        <v>2001</v>
      </c>
      <c r="C310" t="s">
        <v>2012</v>
      </c>
      <c r="D310" t="s">
        <v>2044</v>
      </c>
      <c r="E310" t="s">
        <v>2111</v>
      </c>
      <c r="F310" t="s">
        <v>2116</v>
      </c>
      <c r="G310" t="s">
        <v>2214</v>
      </c>
      <c r="H310">
        <v>11212</v>
      </c>
      <c r="I310" t="s">
        <v>2243</v>
      </c>
      <c r="J310">
        <v>4</v>
      </c>
      <c r="K310">
        <v>2</v>
      </c>
      <c r="L310" t="s">
        <v>2365</v>
      </c>
      <c r="M310" t="s">
        <v>2677</v>
      </c>
      <c r="P310" t="s">
        <v>2763</v>
      </c>
      <c r="Q310" t="s">
        <v>3255</v>
      </c>
      <c r="R310" t="s">
        <v>3258</v>
      </c>
      <c r="S310" t="s">
        <v>3271</v>
      </c>
      <c r="T310" t="s">
        <v>3294</v>
      </c>
      <c r="U310" t="s">
        <v>2705</v>
      </c>
      <c r="V310" t="s">
        <v>3352</v>
      </c>
      <c r="X310" t="s">
        <v>3354</v>
      </c>
      <c r="Y310" t="s">
        <v>2678</v>
      </c>
      <c r="Z310" t="s">
        <v>3362</v>
      </c>
      <c r="AA310" t="s">
        <v>3406</v>
      </c>
      <c r="AB310" t="s">
        <v>3419</v>
      </c>
      <c r="AC310">
        <f>HYPERLINK("https://lsnyc.legalserver.org/matter/dynamic-profile/view/1908981","19-1908981")</f>
        <v>0</v>
      </c>
      <c r="AD310" t="s">
        <v>3446</v>
      </c>
      <c r="AE310" t="s">
        <v>3473</v>
      </c>
      <c r="AF310" t="s">
        <v>3781</v>
      </c>
      <c r="AG310" t="s">
        <v>3362</v>
      </c>
      <c r="AH310" t="s">
        <v>4904</v>
      </c>
      <c r="AL310" t="s">
        <v>2116</v>
      </c>
      <c r="AM310" t="s">
        <v>3294</v>
      </c>
      <c r="AN310" t="s">
        <v>3419</v>
      </c>
      <c r="AO310" t="s">
        <v>3352</v>
      </c>
    </row>
    <row r="311" spans="1:41">
      <c r="A311" s="1" t="s">
        <v>347</v>
      </c>
      <c r="B311" t="s">
        <v>2002</v>
      </c>
      <c r="C311" t="s">
        <v>2001</v>
      </c>
      <c r="D311" t="s">
        <v>2096</v>
      </c>
      <c r="E311" t="s">
        <v>2113</v>
      </c>
      <c r="F311" t="s">
        <v>2117</v>
      </c>
      <c r="G311" t="s">
        <v>2214</v>
      </c>
      <c r="H311">
        <v>11232</v>
      </c>
      <c r="I311" t="s">
        <v>2229</v>
      </c>
      <c r="J311">
        <v>3</v>
      </c>
      <c r="K311">
        <v>2</v>
      </c>
      <c r="L311" t="s">
        <v>2260</v>
      </c>
      <c r="M311" t="s">
        <v>2677</v>
      </c>
      <c r="P311" t="s">
        <v>2763</v>
      </c>
      <c r="Q311" t="s">
        <v>2113</v>
      </c>
      <c r="R311" t="s">
        <v>3259</v>
      </c>
      <c r="S311" t="s">
        <v>3267</v>
      </c>
      <c r="V311" t="s">
        <v>3353</v>
      </c>
      <c r="X311" t="s">
        <v>3354</v>
      </c>
      <c r="Y311" t="s">
        <v>2678</v>
      </c>
      <c r="Z311" t="s">
        <v>3359</v>
      </c>
      <c r="AA311" t="s">
        <v>3406</v>
      </c>
      <c r="AB311" t="s">
        <v>3415</v>
      </c>
      <c r="AC311">
        <f>HYPERLINK("https://lsnyc.legalserver.org/matter/dynamic-profile/view/1909075","19-1909075")</f>
        <v>0</v>
      </c>
      <c r="AD311" t="s">
        <v>3446</v>
      </c>
      <c r="AE311" t="s">
        <v>3456</v>
      </c>
      <c r="AF311" t="s">
        <v>3782</v>
      </c>
      <c r="AG311" t="s">
        <v>3359</v>
      </c>
      <c r="AH311" t="s">
        <v>4906</v>
      </c>
      <c r="AL311" t="s">
        <v>2117</v>
      </c>
      <c r="AN311" t="s">
        <v>3415</v>
      </c>
      <c r="AO311" t="s">
        <v>3353</v>
      </c>
    </row>
    <row r="312" spans="1:41">
      <c r="A312" s="1" t="s">
        <v>348</v>
      </c>
      <c r="B312" t="s">
        <v>2001</v>
      </c>
      <c r="C312" t="s">
        <v>2001</v>
      </c>
      <c r="D312" t="s">
        <v>2031</v>
      </c>
      <c r="E312" t="s">
        <v>2112</v>
      </c>
      <c r="F312" t="s">
        <v>2120</v>
      </c>
      <c r="G312" t="s">
        <v>2212</v>
      </c>
      <c r="H312">
        <v>11422</v>
      </c>
      <c r="I312" t="s">
        <v>2230</v>
      </c>
      <c r="J312">
        <v>2</v>
      </c>
      <c r="K312">
        <v>1</v>
      </c>
      <c r="L312" t="s">
        <v>2259</v>
      </c>
      <c r="M312" t="s">
        <v>2677</v>
      </c>
      <c r="P312" t="s">
        <v>2764</v>
      </c>
      <c r="Q312" t="s">
        <v>3255</v>
      </c>
      <c r="R312" t="s">
        <v>3259</v>
      </c>
      <c r="S312" t="s">
        <v>3287</v>
      </c>
      <c r="X312" t="s">
        <v>3354</v>
      </c>
      <c r="Y312" t="s">
        <v>2678</v>
      </c>
      <c r="Z312" t="s">
        <v>3378</v>
      </c>
      <c r="AA312" t="s">
        <v>3406</v>
      </c>
      <c r="AB312" t="s">
        <v>3435</v>
      </c>
      <c r="AC312">
        <f>HYPERLINK("https://lsnyc.legalserver.org/matter/dynamic-profile/view/1908876","19-1908876")</f>
        <v>0</v>
      </c>
      <c r="AD312" t="s">
        <v>3443</v>
      </c>
      <c r="AE312" t="s">
        <v>3457</v>
      </c>
      <c r="AF312" t="s">
        <v>3783</v>
      </c>
      <c r="AG312" t="s">
        <v>3378</v>
      </c>
      <c r="AH312" t="s">
        <v>4904</v>
      </c>
      <c r="AL312" t="s">
        <v>2120</v>
      </c>
      <c r="AN312" t="s">
        <v>3435</v>
      </c>
    </row>
    <row r="313" spans="1:41">
      <c r="A313" s="1" t="s">
        <v>349</v>
      </c>
      <c r="B313" t="s">
        <v>2002</v>
      </c>
      <c r="C313" t="s">
        <v>2000</v>
      </c>
      <c r="D313" t="s">
        <v>2081</v>
      </c>
      <c r="E313" t="s">
        <v>2111</v>
      </c>
      <c r="F313" t="s">
        <v>2117</v>
      </c>
      <c r="G313" t="s">
        <v>2212</v>
      </c>
      <c r="H313">
        <v>11432</v>
      </c>
      <c r="I313" t="s">
        <v>2229</v>
      </c>
      <c r="J313">
        <v>5</v>
      </c>
      <c r="K313">
        <v>3</v>
      </c>
      <c r="L313" t="s">
        <v>2366</v>
      </c>
      <c r="M313" t="s">
        <v>2677</v>
      </c>
      <c r="P313" t="s">
        <v>2764</v>
      </c>
      <c r="Q313" t="s">
        <v>2113</v>
      </c>
      <c r="R313" t="s">
        <v>3259</v>
      </c>
      <c r="S313" t="s">
        <v>3267</v>
      </c>
      <c r="X313" t="s">
        <v>3354</v>
      </c>
      <c r="Y313" t="s">
        <v>2678</v>
      </c>
      <c r="Z313" t="s">
        <v>3359</v>
      </c>
      <c r="AA313" t="s">
        <v>3406</v>
      </c>
      <c r="AB313" t="s">
        <v>3415</v>
      </c>
      <c r="AC313">
        <f>HYPERLINK("https://lsnyc.legalserver.org/matter/dynamic-profile/view/1909797","19-1909797")</f>
        <v>0</v>
      </c>
      <c r="AD313" t="s">
        <v>3443</v>
      </c>
      <c r="AE313" t="s">
        <v>3450</v>
      </c>
      <c r="AF313" t="s">
        <v>3784</v>
      </c>
      <c r="AG313" t="s">
        <v>3359</v>
      </c>
      <c r="AH313" t="s">
        <v>4906</v>
      </c>
      <c r="AI313" t="s">
        <v>4909</v>
      </c>
      <c r="AL313" t="s">
        <v>2117</v>
      </c>
      <c r="AN313" t="s">
        <v>3415</v>
      </c>
    </row>
    <row r="314" spans="1:41">
      <c r="A314" s="1" t="s">
        <v>350</v>
      </c>
      <c r="B314" t="s">
        <v>2000</v>
      </c>
      <c r="C314" t="s">
        <v>2001</v>
      </c>
      <c r="D314" t="s">
        <v>2054</v>
      </c>
      <c r="E314" t="s">
        <v>2111</v>
      </c>
      <c r="F314" t="s">
        <v>2114</v>
      </c>
      <c r="G314" t="s">
        <v>2213</v>
      </c>
      <c r="H314">
        <v>10456</v>
      </c>
      <c r="I314" t="s">
        <v>2229</v>
      </c>
      <c r="J314">
        <v>3</v>
      </c>
      <c r="K314">
        <v>2</v>
      </c>
      <c r="L314" t="s">
        <v>2260</v>
      </c>
      <c r="M314" t="s">
        <v>2677</v>
      </c>
      <c r="P314" t="s">
        <v>2765</v>
      </c>
      <c r="Q314" t="s">
        <v>3255</v>
      </c>
      <c r="R314" t="s">
        <v>3258</v>
      </c>
      <c r="S314" t="s">
        <v>3262</v>
      </c>
      <c r="X314" t="s">
        <v>3354</v>
      </c>
      <c r="Y314" t="s">
        <v>2678</v>
      </c>
      <c r="Z314" t="s">
        <v>3355</v>
      </c>
      <c r="AA314" t="s">
        <v>3406</v>
      </c>
      <c r="AB314" t="s">
        <v>3410</v>
      </c>
      <c r="AC314">
        <f>HYPERLINK("https://lsnyc.legalserver.org/matter/dynamic-profile/view/1908694","19-1908694")</f>
        <v>0</v>
      </c>
      <c r="AD314" t="s">
        <v>3444</v>
      </c>
      <c r="AE314" t="s">
        <v>3466</v>
      </c>
      <c r="AF314" t="s">
        <v>3785</v>
      </c>
      <c r="AG314" t="s">
        <v>3355</v>
      </c>
      <c r="AH314" t="s">
        <v>4904</v>
      </c>
      <c r="AL314" t="s">
        <v>2114</v>
      </c>
      <c r="AN314" t="s">
        <v>3410</v>
      </c>
    </row>
    <row r="315" spans="1:41">
      <c r="A315" s="1" t="s">
        <v>351</v>
      </c>
      <c r="B315" t="s">
        <v>2019</v>
      </c>
      <c r="C315" t="s">
        <v>2001</v>
      </c>
      <c r="D315" t="s">
        <v>2094</v>
      </c>
      <c r="E315" t="s">
        <v>2111</v>
      </c>
      <c r="F315" t="s">
        <v>2125</v>
      </c>
      <c r="G315" t="s">
        <v>2213</v>
      </c>
      <c r="H315">
        <v>10452</v>
      </c>
      <c r="I315" t="s">
        <v>2230</v>
      </c>
      <c r="J315">
        <v>1</v>
      </c>
      <c r="K315">
        <v>0</v>
      </c>
      <c r="L315" t="s">
        <v>2260</v>
      </c>
      <c r="M315" t="s">
        <v>2677</v>
      </c>
      <c r="P315" t="s">
        <v>2765</v>
      </c>
      <c r="Q315" t="s">
        <v>2113</v>
      </c>
      <c r="R315" t="s">
        <v>3260</v>
      </c>
      <c r="S315" t="s">
        <v>3266</v>
      </c>
      <c r="X315" t="s">
        <v>3354</v>
      </c>
      <c r="Y315" t="s">
        <v>2677</v>
      </c>
      <c r="AA315" t="s">
        <v>3406</v>
      </c>
      <c r="AB315" t="s">
        <v>3414</v>
      </c>
      <c r="AC315">
        <f>HYPERLINK("https://lsnyc.legalserver.org/matter/dynamic-profile/view/1908701","19-1908701")</f>
        <v>0</v>
      </c>
      <c r="AD315" t="s">
        <v>3445</v>
      </c>
      <c r="AE315" t="s">
        <v>3452</v>
      </c>
      <c r="AF315" t="s">
        <v>3786</v>
      </c>
      <c r="AH315" t="s">
        <v>4904</v>
      </c>
      <c r="AL315" t="s">
        <v>2125</v>
      </c>
      <c r="AN315" t="s">
        <v>3414</v>
      </c>
    </row>
    <row r="316" spans="1:41">
      <c r="A316" s="1" t="s">
        <v>352</v>
      </c>
      <c r="B316" t="s">
        <v>2016</v>
      </c>
      <c r="C316" t="s">
        <v>2018</v>
      </c>
      <c r="D316" t="s">
        <v>2067</v>
      </c>
      <c r="E316" t="s">
        <v>2111</v>
      </c>
      <c r="F316" t="s">
        <v>2114</v>
      </c>
      <c r="G316" t="s">
        <v>2212</v>
      </c>
      <c r="H316">
        <v>11435</v>
      </c>
      <c r="I316" t="s">
        <v>2229</v>
      </c>
      <c r="J316">
        <v>8</v>
      </c>
      <c r="K316">
        <v>5</v>
      </c>
      <c r="L316" t="s">
        <v>2367</v>
      </c>
      <c r="M316" t="s">
        <v>2677</v>
      </c>
      <c r="P316" t="s">
        <v>2755</v>
      </c>
      <c r="Q316" t="s">
        <v>2113</v>
      </c>
      <c r="R316" t="s">
        <v>3259</v>
      </c>
      <c r="S316" t="s">
        <v>3270</v>
      </c>
      <c r="V316" t="s">
        <v>3353</v>
      </c>
      <c r="X316" t="s">
        <v>3354</v>
      </c>
      <c r="Y316" t="s">
        <v>2678</v>
      </c>
      <c r="Z316" t="s">
        <v>3359</v>
      </c>
      <c r="AA316" t="s">
        <v>3406</v>
      </c>
      <c r="AB316" t="s">
        <v>3418</v>
      </c>
      <c r="AC316">
        <f>HYPERLINK("https://lsnyc.legalserver.org/matter/dynamic-profile/view/1909694","19-1909694")</f>
        <v>0</v>
      </c>
      <c r="AD316" t="s">
        <v>3443</v>
      </c>
      <c r="AE316" t="s">
        <v>3450</v>
      </c>
      <c r="AF316" t="s">
        <v>3787</v>
      </c>
      <c r="AG316" t="s">
        <v>3359</v>
      </c>
      <c r="AH316" t="s">
        <v>4906</v>
      </c>
      <c r="AL316" t="s">
        <v>2114</v>
      </c>
      <c r="AN316" t="s">
        <v>3418</v>
      </c>
      <c r="AO316" t="s">
        <v>3353</v>
      </c>
    </row>
    <row r="317" spans="1:41">
      <c r="A317" s="1" t="s">
        <v>353</v>
      </c>
      <c r="B317" t="s">
        <v>2000</v>
      </c>
      <c r="C317" t="s">
        <v>2015</v>
      </c>
      <c r="D317" t="s">
        <v>2048</v>
      </c>
      <c r="E317" t="s">
        <v>2111</v>
      </c>
      <c r="F317" t="s">
        <v>2163</v>
      </c>
      <c r="G317" t="s">
        <v>2212</v>
      </c>
      <c r="H317">
        <v>11354</v>
      </c>
      <c r="I317" t="s">
        <v>2241</v>
      </c>
      <c r="J317">
        <v>3</v>
      </c>
      <c r="K317">
        <v>1</v>
      </c>
      <c r="L317" t="s">
        <v>2283</v>
      </c>
      <c r="M317" t="s">
        <v>2677</v>
      </c>
      <c r="P317" t="s">
        <v>2766</v>
      </c>
      <c r="Q317" t="s">
        <v>3255</v>
      </c>
      <c r="R317" t="s">
        <v>3258</v>
      </c>
      <c r="S317" t="s">
        <v>3262</v>
      </c>
      <c r="T317" t="s">
        <v>3294</v>
      </c>
      <c r="U317" t="s">
        <v>2743</v>
      </c>
      <c r="V317" t="s">
        <v>3352</v>
      </c>
      <c r="X317" t="s">
        <v>3354</v>
      </c>
      <c r="Y317" t="s">
        <v>2678</v>
      </c>
      <c r="Z317" t="s">
        <v>3355</v>
      </c>
      <c r="AA317" t="s">
        <v>3406</v>
      </c>
      <c r="AB317" t="s">
        <v>3410</v>
      </c>
      <c r="AC317">
        <f>HYPERLINK("https://lsnyc.legalserver.org/matter/dynamic-profile/view/1908628","19-1908628")</f>
        <v>0</v>
      </c>
      <c r="AD317" t="s">
        <v>3443</v>
      </c>
      <c r="AE317" t="s">
        <v>3449</v>
      </c>
      <c r="AF317" t="s">
        <v>3788</v>
      </c>
      <c r="AG317" t="s">
        <v>3355</v>
      </c>
      <c r="AH317" t="s">
        <v>4904</v>
      </c>
      <c r="AL317" t="s">
        <v>2163</v>
      </c>
      <c r="AM317" t="s">
        <v>3294</v>
      </c>
      <c r="AN317" t="s">
        <v>3410</v>
      </c>
      <c r="AO317" t="s">
        <v>3352</v>
      </c>
    </row>
    <row r="318" spans="1:41">
      <c r="A318" s="1" t="s">
        <v>354</v>
      </c>
      <c r="B318" t="s">
        <v>1998</v>
      </c>
      <c r="C318" t="s">
        <v>1998</v>
      </c>
      <c r="D318" t="s">
        <v>2063</v>
      </c>
      <c r="E318" t="s">
        <v>2112</v>
      </c>
      <c r="F318" t="s">
        <v>2164</v>
      </c>
      <c r="G318" t="s">
        <v>2213</v>
      </c>
      <c r="H318">
        <v>10452</v>
      </c>
      <c r="I318" t="s">
        <v>2230</v>
      </c>
      <c r="J318">
        <v>4</v>
      </c>
      <c r="K318">
        <v>3</v>
      </c>
      <c r="L318" t="s">
        <v>2285</v>
      </c>
      <c r="M318" t="s">
        <v>2677</v>
      </c>
      <c r="P318" t="s">
        <v>2740</v>
      </c>
      <c r="Q318" t="s">
        <v>2113</v>
      </c>
      <c r="R318" t="s">
        <v>3258</v>
      </c>
      <c r="S318" t="s">
        <v>3271</v>
      </c>
      <c r="X318" t="s">
        <v>3354</v>
      </c>
      <c r="Y318" t="s">
        <v>2677</v>
      </c>
      <c r="Z318" t="s">
        <v>3362</v>
      </c>
      <c r="AA318" t="s">
        <v>3406</v>
      </c>
      <c r="AB318" t="s">
        <v>3419</v>
      </c>
      <c r="AC318">
        <f>HYPERLINK("https://lsnyc.legalserver.org/matter/dynamic-profile/view/1908644","19-1908644")</f>
        <v>0</v>
      </c>
      <c r="AD318" t="s">
        <v>3445</v>
      </c>
      <c r="AE318" t="s">
        <v>3452</v>
      </c>
      <c r="AF318" t="s">
        <v>3789</v>
      </c>
      <c r="AG318" t="s">
        <v>3362</v>
      </c>
      <c r="AH318" t="s">
        <v>4904</v>
      </c>
      <c r="AL318" t="s">
        <v>2164</v>
      </c>
      <c r="AN318" t="s">
        <v>3419</v>
      </c>
    </row>
    <row r="319" spans="1:41">
      <c r="A319" s="1" t="s">
        <v>355</v>
      </c>
      <c r="B319" t="s">
        <v>1998</v>
      </c>
      <c r="C319" t="s">
        <v>1998</v>
      </c>
      <c r="D319" t="s">
        <v>2045</v>
      </c>
      <c r="E319" t="s">
        <v>2112</v>
      </c>
      <c r="F319" t="s">
        <v>2115</v>
      </c>
      <c r="G319" t="s">
        <v>2212</v>
      </c>
      <c r="H319">
        <v>11385</v>
      </c>
      <c r="I319" t="s">
        <v>2229</v>
      </c>
      <c r="J319">
        <v>5</v>
      </c>
      <c r="K319">
        <v>2</v>
      </c>
      <c r="L319" t="s">
        <v>2286</v>
      </c>
      <c r="M319" t="s">
        <v>2677</v>
      </c>
      <c r="P319" t="s">
        <v>2766</v>
      </c>
      <c r="Q319" t="s">
        <v>3255</v>
      </c>
      <c r="R319" t="s">
        <v>3261</v>
      </c>
      <c r="S319" t="s">
        <v>3283</v>
      </c>
      <c r="X319" t="s">
        <v>3354</v>
      </c>
      <c r="Y319" t="s">
        <v>2678</v>
      </c>
      <c r="Z319" t="s">
        <v>3359</v>
      </c>
      <c r="AA319" t="s">
        <v>3408</v>
      </c>
      <c r="AB319" t="s">
        <v>3431</v>
      </c>
      <c r="AC319">
        <f>HYPERLINK("https://lsnyc.legalserver.org/matter/dynamic-profile/view/1909558","19-1909558")</f>
        <v>0</v>
      </c>
      <c r="AD319" t="s">
        <v>3443</v>
      </c>
      <c r="AE319" t="s">
        <v>3457</v>
      </c>
      <c r="AF319" t="s">
        <v>3768</v>
      </c>
      <c r="AG319" t="s">
        <v>3359</v>
      </c>
      <c r="AH319" t="s">
        <v>3408</v>
      </c>
      <c r="AL319" t="s">
        <v>2115</v>
      </c>
      <c r="AN319" t="s">
        <v>3431</v>
      </c>
    </row>
    <row r="320" spans="1:41">
      <c r="A320" s="1" t="s">
        <v>356</v>
      </c>
      <c r="B320" t="s">
        <v>2000</v>
      </c>
      <c r="C320" t="s">
        <v>2005</v>
      </c>
      <c r="D320" t="s">
        <v>2094</v>
      </c>
      <c r="E320" t="s">
        <v>2112</v>
      </c>
      <c r="G320" t="s">
        <v>2213</v>
      </c>
      <c r="H320">
        <v>10466</v>
      </c>
      <c r="I320" t="s">
        <v>2229</v>
      </c>
      <c r="J320">
        <v>3</v>
      </c>
      <c r="K320">
        <v>0</v>
      </c>
      <c r="L320" t="s">
        <v>2260</v>
      </c>
      <c r="M320" t="s">
        <v>2677</v>
      </c>
      <c r="P320" t="s">
        <v>2767</v>
      </c>
      <c r="Q320" t="s">
        <v>3255</v>
      </c>
      <c r="R320" t="s">
        <v>3258</v>
      </c>
      <c r="S320" t="s">
        <v>3262</v>
      </c>
      <c r="X320" t="s">
        <v>3354</v>
      </c>
      <c r="Y320" t="s">
        <v>2678</v>
      </c>
      <c r="Z320" t="s">
        <v>3355</v>
      </c>
      <c r="AB320" t="s">
        <v>3410</v>
      </c>
      <c r="AC320">
        <f>HYPERLINK("https://lsnyc.legalserver.org/matter/dynamic-profile/view/1908494","19-1908494")</f>
        <v>0</v>
      </c>
      <c r="AD320" t="s">
        <v>3444</v>
      </c>
      <c r="AE320" t="s">
        <v>3468</v>
      </c>
      <c r="AF320" t="s">
        <v>3790</v>
      </c>
      <c r="AG320" t="s">
        <v>3355</v>
      </c>
      <c r="AI320" t="s">
        <v>4909</v>
      </c>
      <c r="AN320" t="s">
        <v>3410</v>
      </c>
    </row>
    <row r="321" spans="1:41">
      <c r="A321" s="1" t="s">
        <v>357</v>
      </c>
      <c r="B321" t="s">
        <v>2005</v>
      </c>
      <c r="C321" t="s">
        <v>2000</v>
      </c>
      <c r="D321" t="s">
        <v>2041</v>
      </c>
      <c r="E321" t="s">
        <v>2111</v>
      </c>
      <c r="F321" t="s">
        <v>2117</v>
      </c>
      <c r="G321" t="s">
        <v>2213</v>
      </c>
      <c r="H321">
        <v>10456</v>
      </c>
      <c r="I321" t="s">
        <v>2229</v>
      </c>
      <c r="J321">
        <v>1</v>
      </c>
      <c r="K321">
        <v>0</v>
      </c>
      <c r="L321" t="s">
        <v>2265</v>
      </c>
      <c r="M321" t="s">
        <v>2677</v>
      </c>
      <c r="P321" t="s">
        <v>2712</v>
      </c>
      <c r="Q321" t="s">
        <v>2113</v>
      </c>
      <c r="R321" t="s">
        <v>3258</v>
      </c>
      <c r="S321" t="s">
        <v>3271</v>
      </c>
      <c r="X321" t="s">
        <v>3354</v>
      </c>
      <c r="Y321" t="s">
        <v>2677</v>
      </c>
      <c r="Z321" t="s">
        <v>3362</v>
      </c>
      <c r="AA321" t="s">
        <v>3406</v>
      </c>
      <c r="AB321" t="s">
        <v>3419</v>
      </c>
      <c r="AC321">
        <f>HYPERLINK("https://lsnyc.legalserver.org/matter/dynamic-profile/view/1908500","19-1908500")</f>
        <v>0</v>
      </c>
      <c r="AD321" t="s">
        <v>3445</v>
      </c>
      <c r="AE321" t="s">
        <v>3452</v>
      </c>
      <c r="AF321" t="s">
        <v>3511</v>
      </c>
      <c r="AG321" t="s">
        <v>3362</v>
      </c>
      <c r="AH321" t="s">
        <v>4904</v>
      </c>
      <c r="AL321" t="s">
        <v>2117</v>
      </c>
      <c r="AN321" t="s">
        <v>3419</v>
      </c>
    </row>
    <row r="322" spans="1:41">
      <c r="A322" s="1" t="s">
        <v>358</v>
      </c>
      <c r="B322" t="s">
        <v>2002</v>
      </c>
      <c r="C322" t="s">
        <v>2001</v>
      </c>
      <c r="D322" t="s">
        <v>2047</v>
      </c>
      <c r="E322" t="s">
        <v>2112</v>
      </c>
      <c r="F322" t="s">
        <v>2131</v>
      </c>
      <c r="G322" t="s">
        <v>2213</v>
      </c>
      <c r="H322">
        <v>10463</v>
      </c>
      <c r="I322" t="s">
        <v>2229</v>
      </c>
      <c r="J322">
        <v>5</v>
      </c>
      <c r="K322">
        <v>2</v>
      </c>
      <c r="L322" t="s">
        <v>2256</v>
      </c>
      <c r="M322" t="s">
        <v>2677</v>
      </c>
      <c r="P322" t="s">
        <v>2767</v>
      </c>
      <c r="Q322" t="s">
        <v>2113</v>
      </c>
      <c r="R322" t="s">
        <v>3259</v>
      </c>
      <c r="S322" t="s">
        <v>3267</v>
      </c>
      <c r="T322" t="s">
        <v>3294</v>
      </c>
      <c r="V322" t="s">
        <v>3352</v>
      </c>
      <c r="X322" t="s">
        <v>3354</v>
      </c>
      <c r="Y322" t="s">
        <v>2678</v>
      </c>
      <c r="Z322" t="s">
        <v>3380</v>
      </c>
      <c r="AA322" t="s">
        <v>3406</v>
      </c>
      <c r="AB322" t="s">
        <v>3415</v>
      </c>
      <c r="AC322">
        <f>HYPERLINK("https://lsnyc.legalserver.org/matter/dynamic-profile/view/1908542","19-1908542")</f>
        <v>0</v>
      </c>
      <c r="AD322" t="s">
        <v>3444</v>
      </c>
      <c r="AE322" t="s">
        <v>3468</v>
      </c>
      <c r="AF322" t="s">
        <v>3581</v>
      </c>
      <c r="AG322" t="s">
        <v>3380</v>
      </c>
      <c r="AH322" t="s">
        <v>4906</v>
      </c>
      <c r="AI322" t="s">
        <v>4909</v>
      </c>
      <c r="AL322" t="s">
        <v>2131</v>
      </c>
      <c r="AM322" t="s">
        <v>3294</v>
      </c>
      <c r="AN322" t="s">
        <v>3415</v>
      </c>
      <c r="AO322" t="s">
        <v>3352</v>
      </c>
    </row>
    <row r="323" spans="1:41">
      <c r="A323" s="1" t="s">
        <v>359</v>
      </c>
      <c r="B323" t="s">
        <v>1998</v>
      </c>
      <c r="C323" t="s">
        <v>2005</v>
      </c>
      <c r="D323" t="s">
        <v>2064</v>
      </c>
      <c r="E323" t="s">
        <v>2112</v>
      </c>
      <c r="F323" t="s">
        <v>2117</v>
      </c>
      <c r="G323" t="s">
        <v>2212</v>
      </c>
      <c r="H323">
        <v>11432</v>
      </c>
      <c r="I323" t="s">
        <v>2229</v>
      </c>
      <c r="J323">
        <v>2</v>
      </c>
      <c r="K323">
        <v>1</v>
      </c>
      <c r="L323" t="s">
        <v>2285</v>
      </c>
      <c r="M323" t="s">
        <v>2677</v>
      </c>
      <c r="P323" t="s">
        <v>2767</v>
      </c>
      <c r="Q323" t="s">
        <v>3255</v>
      </c>
      <c r="R323" t="s">
        <v>3259</v>
      </c>
      <c r="S323" t="s">
        <v>3272</v>
      </c>
      <c r="X323" t="s">
        <v>3354</v>
      </c>
      <c r="Y323" t="s">
        <v>2678</v>
      </c>
      <c r="Z323" t="s">
        <v>3364</v>
      </c>
      <c r="AA323" t="s">
        <v>3406</v>
      </c>
      <c r="AB323" t="s">
        <v>3420</v>
      </c>
      <c r="AC323">
        <f>HYPERLINK("https://lsnyc.legalserver.org/matter/dynamic-profile/view/1908581","19-1908581")</f>
        <v>0</v>
      </c>
      <c r="AD323" t="s">
        <v>3443</v>
      </c>
      <c r="AE323" t="s">
        <v>3457</v>
      </c>
      <c r="AF323" t="s">
        <v>3791</v>
      </c>
      <c r="AG323" t="s">
        <v>3364</v>
      </c>
      <c r="AH323" t="s">
        <v>4904</v>
      </c>
      <c r="AL323" t="s">
        <v>2117</v>
      </c>
      <c r="AN323" t="s">
        <v>3420</v>
      </c>
    </row>
    <row r="324" spans="1:41">
      <c r="A324" s="1" t="s">
        <v>360</v>
      </c>
      <c r="B324" t="s">
        <v>1998</v>
      </c>
      <c r="C324" t="s">
        <v>2005</v>
      </c>
      <c r="D324" t="s">
        <v>2064</v>
      </c>
      <c r="E324" t="s">
        <v>2112</v>
      </c>
      <c r="F324" t="s">
        <v>2117</v>
      </c>
      <c r="G324" t="s">
        <v>2212</v>
      </c>
      <c r="H324">
        <v>11432</v>
      </c>
      <c r="I324" t="s">
        <v>2229</v>
      </c>
      <c r="J324">
        <v>2</v>
      </c>
      <c r="K324">
        <v>1</v>
      </c>
      <c r="L324" t="s">
        <v>2285</v>
      </c>
      <c r="M324" t="s">
        <v>2677</v>
      </c>
      <c r="P324" t="s">
        <v>2767</v>
      </c>
      <c r="Q324" t="s">
        <v>3255</v>
      </c>
      <c r="R324" t="s">
        <v>3259</v>
      </c>
      <c r="S324" t="s">
        <v>3288</v>
      </c>
      <c r="V324" t="s">
        <v>3353</v>
      </c>
      <c r="X324" t="s">
        <v>3354</v>
      </c>
      <c r="Y324" t="s">
        <v>2678</v>
      </c>
      <c r="Z324" t="s">
        <v>3389</v>
      </c>
      <c r="AA324" t="s">
        <v>3406</v>
      </c>
      <c r="AB324" t="s">
        <v>3436</v>
      </c>
      <c r="AC324">
        <f>HYPERLINK("https://lsnyc.legalserver.org/matter/dynamic-profile/view/1908582","19-1908582")</f>
        <v>0</v>
      </c>
      <c r="AD324" t="s">
        <v>3443</v>
      </c>
      <c r="AE324" t="s">
        <v>3457</v>
      </c>
      <c r="AF324" t="s">
        <v>3791</v>
      </c>
      <c r="AG324" t="s">
        <v>3389</v>
      </c>
      <c r="AH324" t="s">
        <v>4905</v>
      </c>
      <c r="AL324" t="s">
        <v>2117</v>
      </c>
      <c r="AN324" t="s">
        <v>3436</v>
      </c>
      <c r="AO324" t="s">
        <v>3353</v>
      </c>
    </row>
    <row r="325" spans="1:41">
      <c r="A325" s="1" t="s">
        <v>361</v>
      </c>
      <c r="B325" t="s">
        <v>2002</v>
      </c>
      <c r="C325" t="s">
        <v>1998</v>
      </c>
      <c r="D325" t="s">
        <v>2086</v>
      </c>
      <c r="E325" t="s">
        <v>2112</v>
      </c>
      <c r="F325" t="s">
        <v>2120</v>
      </c>
      <c r="G325" t="s">
        <v>2214</v>
      </c>
      <c r="H325">
        <v>11226</v>
      </c>
      <c r="I325" t="s">
        <v>2230</v>
      </c>
      <c r="J325">
        <v>2</v>
      </c>
      <c r="K325">
        <v>0</v>
      </c>
      <c r="L325" t="s">
        <v>2288</v>
      </c>
      <c r="M325" t="s">
        <v>2677</v>
      </c>
      <c r="P325" t="s">
        <v>2768</v>
      </c>
      <c r="Q325" t="s">
        <v>2113</v>
      </c>
      <c r="R325" t="s">
        <v>3258</v>
      </c>
      <c r="S325" t="s">
        <v>3271</v>
      </c>
      <c r="X325" t="s">
        <v>3354</v>
      </c>
      <c r="Y325" t="s">
        <v>2677</v>
      </c>
      <c r="Z325" t="s">
        <v>3362</v>
      </c>
      <c r="AA325" t="s">
        <v>3406</v>
      </c>
      <c r="AB325" t="s">
        <v>3419</v>
      </c>
      <c r="AC325">
        <f>HYPERLINK("https://lsnyc.legalserver.org/matter/dynamic-profile/view/1908230","19-1908230")</f>
        <v>0</v>
      </c>
      <c r="AD325" t="s">
        <v>3445</v>
      </c>
      <c r="AE325" t="s">
        <v>3455</v>
      </c>
      <c r="AF325" t="s">
        <v>3792</v>
      </c>
      <c r="AG325" t="s">
        <v>3362</v>
      </c>
      <c r="AH325" t="s">
        <v>4904</v>
      </c>
      <c r="AL325" t="s">
        <v>2120</v>
      </c>
      <c r="AN325" t="s">
        <v>3419</v>
      </c>
    </row>
    <row r="326" spans="1:41">
      <c r="A326" s="1" t="s">
        <v>362</v>
      </c>
      <c r="B326" t="s">
        <v>1998</v>
      </c>
      <c r="C326" t="s">
        <v>1998</v>
      </c>
      <c r="D326" t="s">
        <v>2037</v>
      </c>
      <c r="E326" t="s">
        <v>2111</v>
      </c>
      <c r="F326" t="s">
        <v>2117</v>
      </c>
      <c r="G326" t="s">
        <v>2213</v>
      </c>
      <c r="H326">
        <v>10455</v>
      </c>
      <c r="I326" t="s">
        <v>2229</v>
      </c>
      <c r="J326">
        <v>4</v>
      </c>
      <c r="K326">
        <v>3</v>
      </c>
      <c r="L326" t="s">
        <v>2260</v>
      </c>
      <c r="M326" t="s">
        <v>2677</v>
      </c>
      <c r="P326" t="s">
        <v>2769</v>
      </c>
      <c r="Q326" t="s">
        <v>3255</v>
      </c>
      <c r="R326" t="s">
        <v>3258</v>
      </c>
      <c r="S326" t="s">
        <v>3262</v>
      </c>
      <c r="V326" t="s">
        <v>3353</v>
      </c>
      <c r="X326" t="s">
        <v>3354</v>
      </c>
      <c r="Y326" t="s">
        <v>2678</v>
      </c>
      <c r="Z326" t="s">
        <v>3355</v>
      </c>
      <c r="AA326" t="s">
        <v>3406</v>
      </c>
      <c r="AB326" t="s">
        <v>3410</v>
      </c>
      <c r="AC326">
        <f>HYPERLINK("https://lsnyc.legalserver.org/matter/dynamic-profile/view/1908315","19-1908315")</f>
        <v>0</v>
      </c>
      <c r="AD326" t="s">
        <v>3444</v>
      </c>
      <c r="AE326" t="s">
        <v>3466</v>
      </c>
      <c r="AF326" t="s">
        <v>3793</v>
      </c>
      <c r="AG326" t="s">
        <v>3355</v>
      </c>
      <c r="AH326" t="s">
        <v>4904</v>
      </c>
      <c r="AL326" t="s">
        <v>2117</v>
      </c>
      <c r="AN326" t="s">
        <v>3410</v>
      </c>
      <c r="AO326" t="s">
        <v>3353</v>
      </c>
    </row>
    <row r="327" spans="1:41">
      <c r="A327" s="1" t="s">
        <v>363</v>
      </c>
      <c r="B327" t="s">
        <v>2001</v>
      </c>
      <c r="C327" t="s">
        <v>2005</v>
      </c>
      <c r="D327" t="s">
        <v>2066</v>
      </c>
      <c r="E327" t="s">
        <v>2112</v>
      </c>
      <c r="F327" t="s">
        <v>2116</v>
      </c>
      <c r="G327" t="s">
        <v>2212</v>
      </c>
      <c r="H327">
        <v>11373</v>
      </c>
      <c r="I327" t="s">
        <v>2229</v>
      </c>
      <c r="J327">
        <v>2</v>
      </c>
      <c r="K327">
        <v>1</v>
      </c>
      <c r="L327" t="s">
        <v>2285</v>
      </c>
      <c r="M327" t="s">
        <v>2677</v>
      </c>
      <c r="P327" t="s">
        <v>2769</v>
      </c>
      <c r="Q327" t="s">
        <v>3255</v>
      </c>
      <c r="R327" t="s">
        <v>3259</v>
      </c>
      <c r="S327" t="s">
        <v>3267</v>
      </c>
      <c r="X327" t="s">
        <v>3354</v>
      </c>
      <c r="Y327" t="s">
        <v>2678</v>
      </c>
      <c r="Z327" t="s">
        <v>3359</v>
      </c>
      <c r="AA327" t="s">
        <v>3406</v>
      </c>
      <c r="AB327" t="s">
        <v>3415</v>
      </c>
      <c r="AC327">
        <f>HYPERLINK("https://lsnyc.legalserver.org/matter/dynamic-profile/view/1908381","19-1908381")</f>
        <v>0</v>
      </c>
      <c r="AD327" t="s">
        <v>3443</v>
      </c>
      <c r="AE327" t="s">
        <v>3457</v>
      </c>
      <c r="AF327" t="s">
        <v>3794</v>
      </c>
      <c r="AG327" t="s">
        <v>3359</v>
      </c>
      <c r="AH327" t="s">
        <v>4906</v>
      </c>
      <c r="AL327" t="s">
        <v>2116</v>
      </c>
      <c r="AN327" t="s">
        <v>3415</v>
      </c>
    </row>
    <row r="328" spans="1:41">
      <c r="A328" s="1" t="s">
        <v>364</v>
      </c>
      <c r="B328" t="s">
        <v>1998</v>
      </c>
      <c r="C328" t="s">
        <v>1998</v>
      </c>
      <c r="D328" t="s">
        <v>2030</v>
      </c>
      <c r="E328" t="s">
        <v>2111</v>
      </c>
      <c r="F328" t="s">
        <v>2165</v>
      </c>
      <c r="G328" t="s">
        <v>2212</v>
      </c>
      <c r="H328">
        <v>11420</v>
      </c>
      <c r="I328" t="s">
        <v>2230</v>
      </c>
      <c r="J328">
        <v>1</v>
      </c>
      <c r="K328">
        <v>0</v>
      </c>
      <c r="L328" t="s">
        <v>2368</v>
      </c>
      <c r="M328" t="s">
        <v>2677</v>
      </c>
      <c r="P328" t="s">
        <v>2754</v>
      </c>
      <c r="Q328" t="s">
        <v>2113</v>
      </c>
      <c r="R328" t="s">
        <v>3258</v>
      </c>
      <c r="S328" t="s">
        <v>3271</v>
      </c>
      <c r="V328" t="s">
        <v>3352</v>
      </c>
      <c r="X328" t="s">
        <v>3354</v>
      </c>
      <c r="Y328" t="s">
        <v>2677</v>
      </c>
      <c r="Z328" t="s">
        <v>3362</v>
      </c>
      <c r="AA328" t="s">
        <v>3406</v>
      </c>
      <c r="AB328" t="s">
        <v>3419</v>
      </c>
      <c r="AC328">
        <f>HYPERLINK("https://lsnyc.legalserver.org/matter/dynamic-profile/view/1908257","19-1908257")</f>
        <v>0</v>
      </c>
      <c r="AD328" t="s">
        <v>3445</v>
      </c>
      <c r="AE328" t="s">
        <v>3455</v>
      </c>
      <c r="AF328" t="s">
        <v>3795</v>
      </c>
      <c r="AG328" t="s">
        <v>3362</v>
      </c>
      <c r="AH328" t="s">
        <v>4904</v>
      </c>
      <c r="AL328" t="s">
        <v>2165</v>
      </c>
      <c r="AN328" t="s">
        <v>3419</v>
      </c>
      <c r="AO328" t="s">
        <v>3352</v>
      </c>
    </row>
    <row r="329" spans="1:41">
      <c r="A329" s="1" t="s">
        <v>365</v>
      </c>
      <c r="B329" t="s">
        <v>2002</v>
      </c>
      <c r="C329" t="s">
        <v>2001</v>
      </c>
      <c r="D329" t="s">
        <v>2029</v>
      </c>
      <c r="E329" t="s">
        <v>2112</v>
      </c>
      <c r="F329" t="s">
        <v>2117</v>
      </c>
      <c r="G329" t="s">
        <v>2213</v>
      </c>
      <c r="H329">
        <v>10457</v>
      </c>
      <c r="I329" t="s">
        <v>2229</v>
      </c>
      <c r="J329">
        <v>3</v>
      </c>
      <c r="K329">
        <v>1</v>
      </c>
      <c r="L329" t="s">
        <v>2306</v>
      </c>
      <c r="M329" t="s">
        <v>2677</v>
      </c>
      <c r="P329" t="s">
        <v>2770</v>
      </c>
      <c r="Q329" t="s">
        <v>2113</v>
      </c>
      <c r="R329" t="s">
        <v>3259</v>
      </c>
      <c r="S329" t="s">
        <v>3264</v>
      </c>
      <c r="V329" t="s">
        <v>3352</v>
      </c>
      <c r="X329" t="s">
        <v>3354</v>
      </c>
      <c r="Y329" t="s">
        <v>2678</v>
      </c>
      <c r="Z329" t="s">
        <v>3357</v>
      </c>
      <c r="AA329" t="s">
        <v>3406</v>
      </c>
      <c r="AB329" t="s">
        <v>3412</v>
      </c>
      <c r="AC329">
        <f>HYPERLINK("https://lsnyc.legalserver.org/matter/dynamic-profile/view/1908268","19-1908268")</f>
        <v>0</v>
      </c>
      <c r="AD329" t="s">
        <v>3444</v>
      </c>
      <c r="AE329" t="s">
        <v>3451</v>
      </c>
      <c r="AF329" t="s">
        <v>3796</v>
      </c>
      <c r="AG329" t="s">
        <v>3357</v>
      </c>
      <c r="AH329" t="s">
        <v>4904</v>
      </c>
      <c r="AI329" t="s">
        <v>4909</v>
      </c>
      <c r="AL329" t="s">
        <v>2117</v>
      </c>
      <c r="AN329" t="s">
        <v>3412</v>
      </c>
      <c r="AO329" t="s">
        <v>3352</v>
      </c>
    </row>
    <row r="330" spans="1:41">
      <c r="A330" s="1" t="s">
        <v>366</v>
      </c>
      <c r="B330" t="s">
        <v>2000</v>
      </c>
      <c r="C330" t="s">
        <v>1998</v>
      </c>
      <c r="D330" t="s">
        <v>2093</v>
      </c>
      <c r="E330" t="s">
        <v>2111</v>
      </c>
      <c r="F330" t="s">
        <v>2123</v>
      </c>
      <c r="G330" t="s">
        <v>2213</v>
      </c>
      <c r="H330">
        <v>10456</v>
      </c>
      <c r="I330" t="s">
        <v>2230</v>
      </c>
      <c r="J330">
        <v>1</v>
      </c>
      <c r="K330">
        <v>0</v>
      </c>
      <c r="L330" t="s">
        <v>2285</v>
      </c>
      <c r="M330" t="s">
        <v>2677</v>
      </c>
      <c r="P330" t="s">
        <v>2709</v>
      </c>
      <c r="Q330" t="s">
        <v>2113</v>
      </c>
      <c r="R330" t="s">
        <v>3259</v>
      </c>
      <c r="S330" t="s">
        <v>3270</v>
      </c>
      <c r="X330" t="s">
        <v>3354</v>
      </c>
      <c r="Y330" t="s">
        <v>2677</v>
      </c>
      <c r="Z330" t="s">
        <v>3369</v>
      </c>
      <c r="AA330" t="s">
        <v>3406</v>
      </c>
      <c r="AB330" t="s">
        <v>3418</v>
      </c>
      <c r="AC330">
        <f>HYPERLINK("https://lsnyc.legalserver.org/matter/dynamic-profile/view/1908304","19-1908304")</f>
        <v>0</v>
      </c>
      <c r="AD330" t="s">
        <v>3445</v>
      </c>
      <c r="AE330" t="s">
        <v>3455</v>
      </c>
      <c r="AF330" t="s">
        <v>3797</v>
      </c>
      <c r="AG330" t="s">
        <v>3369</v>
      </c>
      <c r="AH330" t="s">
        <v>4904</v>
      </c>
      <c r="AL330" t="s">
        <v>2123</v>
      </c>
      <c r="AN330" t="s">
        <v>3418</v>
      </c>
    </row>
    <row r="331" spans="1:41">
      <c r="A331" s="1" t="s">
        <v>367</v>
      </c>
      <c r="B331" t="s">
        <v>2016</v>
      </c>
      <c r="C331" t="s">
        <v>2005</v>
      </c>
      <c r="D331" t="s">
        <v>2059</v>
      </c>
      <c r="E331" t="s">
        <v>2112</v>
      </c>
      <c r="F331" t="s">
        <v>2123</v>
      </c>
      <c r="G331" t="s">
        <v>2219</v>
      </c>
      <c r="H331">
        <v>10701</v>
      </c>
      <c r="I331" t="s">
        <v>2229</v>
      </c>
      <c r="J331">
        <v>1</v>
      </c>
      <c r="K331">
        <v>0</v>
      </c>
      <c r="L331" t="s">
        <v>2369</v>
      </c>
      <c r="M331" t="s">
        <v>2677</v>
      </c>
      <c r="P331" t="s">
        <v>2770</v>
      </c>
      <c r="Q331" t="s">
        <v>2113</v>
      </c>
      <c r="X331" t="s">
        <v>3354</v>
      </c>
      <c r="Y331" t="s">
        <v>2677</v>
      </c>
      <c r="AA331" t="s">
        <v>3407</v>
      </c>
      <c r="AB331" t="s">
        <v>3407</v>
      </c>
      <c r="AC331">
        <f>HYPERLINK("https://lsnyc.legalserver.org/matter/dynamic-profile/view/1908310","19-1908310")</f>
        <v>0</v>
      </c>
      <c r="AD331" t="s">
        <v>3445</v>
      </c>
      <c r="AE331" t="s">
        <v>3461</v>
      </c>
      <c r="AF331" t="s">
        <v>3798</v>
      </c>
      <c r="AH331" t="s">
        <v>3407</v>
      </c>
      <c r="AL331" t="s">
        <v>2123</v>
      </c>
      <c r="AN331" t="s">
        <v>3407</v>
      </c>
    </row>
    <row r="332" spans="1:41">
      <c r="A332" s="1" t="s">
        <v>368</v>
      </c>
      <c r="B332" t="s">
        <v>2000</v>
      </c>
      <c r="C332" t="s">
        <v>2001</v>
      </c>
      <c r="D332" t="s">
        <v>2069</v>
      </c>
      <c r="E332" t="s">
        <v>2112</v>
      </c>
      <c r="F332" t="s">
        <v>2123</v>
      </c>
      <c r="G332" t="s">
        <v>2213</v>
      </c>
      <c r="H332">
        <v>10458</v>
      </c>
      <c r="I332" t="s">
        <v>2229</v>
      </c>
      <c r="J332">
        <v>1</v>
      </c>
      <c r="K332">
        <v>0</v>
      </c>
      <c r="L332" t="s">
        <v>2315</v>
      </c>
      <c r="M332" t="s">
        <v>2677</v>
      </c>
      <c r="P332" t="s">
        <v>2770</v>
      </c>
      <c r="Q332" t="s">
        <v>2113</v>
      </c>
      <c r="R332" t="s">
        <v>3258</v>
      </c>
      <c r="S332" t="s">
        <v>3271</v>
      </c>
      <c r="X332" t="s">
        <v>3354</v>
      </c>
      <c r="Y332" t="s">
        <v>2677</v>
      </c>
      <c r="Z332" t="s">
        <v>3362</v>
      </c>
      <c r="AA332" t="s">
        <v>3406</v>
      </c>
      <c r="AB332" t="s">
        <v>3419</v>
      </c>
      <c r="AC332">
        <f>HYPERLINK("https://lsnyc.legalserver.org/matter/dynamic-profile/view/1908320","19-1908320")</f>
        <v>0</v>
      </c>
      <c r="AD332" t="s">
        <v>3445</v>
      </c>
      <c r="AE332" t="s">
        <v>3452</v>
      </c>
      <c r="AF332" t="s">
        <v>3799</v>
      </c>
      <c r="AG332" t="s">
        <v>3362</v>
      </c>
      <c r="AH332" t="s">
        <v>4904</v>
      </c>
      <c r="AL332" t="s">
        <v>2123</v>
      </c>
      <c r="AN332" t="s">
        <v>3419</v>
      </c>
    </row>
    <row r="333" spans="1:41">
      <c r="A333" s="1" t="s">
        <v>369</v>
      </c>
      <c r="B333" t="s">
        <v>2000</v>
      </c>
      <c r="C333" t="s">
        <v>1998</v>
      </c>
      <c r="D333" t="s">
        <v>2069</v>
      </c>
      <c r="E333" t="s">
        <v>2111</v>
      </c>
      <c r="F333" t="s">
        <v>2123</v>
      </c>
      <c r="G333" t="s">
        <v>2213</v>
      </c>
      <c r="H333">
        <v>10458</v>
      </c>
      <c r="I333" t="s">
        <v>2229</v>
      </c>
      <c r="J333">
        <v>1</v>
      </c>
      <c r="K333">
        <v>0</v>
      </c>
      <c r="L333" t="s">
        <v>2315</v>
      </c>
      <c r="M333" t="s">
        <v>2677</v>
      </c>
      <c r="P333" t="s">
        <v>2770</v>
      </c>
      <c r="Q333" t="s">
        <v>2113</v>
      </c>
      <c r="R333" t="s">
        <v>3260</v>
      </c>
      <c r="S333" t="s">
        <v>3266</v>
      </c>
      <c r="X333" t="s">
        <v>3354</v>
      </c>
      <c r="Y333" t="s">
        <v>2677</v>
      </c>
      <c r="AA333" t="s">
        <v>3406</v>
      </c>
      <c r="AB333" t="s">
        <v>3414</v>
      </c>
      <c r="AC333">
        <f>HYPERLINK("https://lsnyc.legalserver.org/matter/dynamic-profile/view/1908327","19-1908327")</f>
        <v>0</v>
      </c>
      <c r="AD333" t="s">
        <v>3445</v>
      </c>
      <c r="AE333" t="s">
        <v>3452</v>
      </c>
      <c r="AF333" t="s">
        <v>3800</v>
      </c>
      <c r="AH333" t="s">
        <v>4904</v>
      </c>
      <c r="AL333" t="s">
        <v>2123</v>
      </c>
      <c r="AN333" t="s">
        <v>3414</v>
      </c>
    </row>
    <row r="334" spans="1:41">
      <c r="A334" s="1" t="s">
        <v>370</v>
      </c>
      <c r="B334" t="s">
        <v>2012</v>
      </c>
      <c r="C334" t="s">
        <v>2001</v>
      </c>
      <c r="D334" t="s">
        <v>2029</v>
      </c>
      <c r="E334" t="s">
        <v>2111</v>
      </c>
      <c r="F334" t="s">
        <v>2120</v>
      </c>
      <c r="G334" t="s">
        <v>2211</v>
      </c>
      <c r="H334">
        <v>10039</v>
      </c>
      <c r="I334" t="s">
        <v>2230</v>
      </c>
      <c r="J334">
        <v>3</v>
      </c>
      <c r="K334">
        <v>2</v>
      </c>
      <c r="L334" t="s">
        <v>2269</v>
      </c>
      <c r="M334" t="s">
        <v>2677</v>
      </c>
      <c r="P334" t="s">
        <v>2770</v>
      </c>
      <c r="Q334" t="s">
        <v>2113</v>
      </c>
      <c r="R334" t="s">
        <v>3258</v>
      </c>
      <c r="S334" t="s">
        <v>3289</v>
      </c>
      <c r="X334" t="s">
        <v>3354</v>
      </c>
      <c r="Y334" t="s">
        <v>2678</v>
      </c>
      <c r="Z334" t="s">
        <v>3390</v>
      </c>
      <c r="AA334" t="s">
        <v>3406</v>
      </c>
      <c r="AB334" t="s">
        <v>3437</v>
      </c>
      <c r="AC334">
        <f>HYPERLINK("https://lsnyc.legalserver.org/matter/dynamic-profile/view/1908332","19-1908332")</f>
        <v>0</v>
      </c>
      <c r="AD334" t="s">
        <v>3442</v>
      </c>
      <c r="AE334" t="s">
        <v>3460</v>
      </c>
      <c r="AF334" t="s">
        <v>3801</v>
      </c>
      <c r="AG334" t="s">
        <v>3390</v>
      </c>
      <c r="AH334" t="s">
        <v>4905</v>
      </c>
      <c r="AL334" t="s">
        <v>2120</v>
      </c>
      <c r="AN334" t="s">
        <v>3437</v>
      </c>
    </row>
    <row r="335" spans="1:41">
      <c r="A335" s="1" t="s">
        <v>371</v>
      </c>
      <c r="B335" t="s">
        <v>2000</v>
      </c>
      <c r="C335" t="s">
        <v>1998</v>
      </c>
      <c r="D335" t="s">
        <v>2071</v>
      </c>
      <c r="E335" t="s">
        <v>2112</v>
      </c>
      <c r="F335" t="s">
        <v>2166</v>
      </c>
      <c r="G335" t="s">
        <v>2212</v>
      </c>
      <c r="H335">
        <v>11413</v>
      </c>
      <c r="I335" t="s">
        <v>2230</v>
      </c>
      <c r="J335">
        <v>1</v>
      </c>
      <c r="K335">
        <v>0</v>
      </c>
      <c r="L335" t="s">
        <v>2370</v>
      </c>
      <c r="M335" t="s">
        <v>2677</v>
      </c>
      <c r="P335" t="s">
        <v>2768</v>
      </c>
      <c r="Q335" t="s">
        <v>2113</v>
      </c>
      <c r="R335" t="s">
        <v>3258</v>
      </c>
      <c r="S335" t="s">
        <v>3271</v>
      </c>
      <c r="X335" t="s">
        <v>3354</v>
      </c>
      <c r="Y335" t="s">
        <v>2678</v>
      </c>
      <c r="Z335" t="s">
        <v>3362</v>
      </c>
      <c r="AA335" t="s">
        <v>3406</v>
      </c>
      <c r="AB335" t="s">
        <v>3419</v>
      </c>
      <c r="AC335">
        <f>HYPERLINK("https://lsnyc.legalserver.org/matter/dynamic-profile/view/1908124","19-1908124")</f>
        <v>0</v>
      </c>
      <c r="AD335" t="s">
        <v>3443</v>
      </c>
      <c r="AE335" t="s">
        <v>3477</v>
      </c>
      <c r="AF335" t="s">
        <v>3802</v>
      </c>
      <c r="AG335" t="s">
        <v>3362</v>
      </c>
      <c r="AH335" t="s">
        <v>4904</v>
      </c>
      <c r="AL335" t="s">
        <v>2166</v>
      </c>
      <c r="AN335" t="s">
        <v>3419</v>
      </c>
    </row>
    <row r="336" spans="1:41">
      <c r="A336" s="1" t="s">
        <v>372</v>
      </c>
      <c r="B336" t="s">
        <v>1998</v>
      </c>
      <c r="C336" t="s">
        <v>2018</v>
      </c>
      <c r="D336" t="s">
        <v>2049</v>
      </c>
      <c r="E336" t="s">
        <v>2112</v>
      </c>
      <c r="F336" t="s">
        <v>2134</v>
      </c>
      <c r="G336" t="s">
        <v>2212</v>
      </c>
      <c r="H336">
        <v>11375</v>
      </c>
      <c r="I336" t="s">
        <v>2232</v>
      </c>
      <c r="J336">
        <v>2</v>
      </c>
      <c r="K336">
        <v>0</v>
      </c>
      <c r="L336" t="s">
        <v>2260</v>
      </c>
      <c r="M336" t="s">
        <v>2677</v>
      </c>
      <c r="P336" t="s">
        <v>2700</v>
      </c>
      <c r="Q336" t="s">
        <v>2113</v>
      </c>
      <c r="R336" t="s">
        <v>3259</v>
      </c>
      <c r="S336" t="s">
        <v>3268</v>
      </c>
      <c r="X336" t="s">
        <v>3354</v>
      </c>
      <c r="Y336" t="s">
        <v>2677</v>
      </c>
      <c r="Z336" t="s">
        <v>3368</v>
      </c>
      <c r="AA336" t="s">
        <v>3406</v>
      </c>
      <c r="AB336" t="s">
        <v>3416</v>
      </c>
      <c r="AC336">
        <f>HYPERLINK("https://lsnyc.legalserver.org/matter/dynamic-profile/view/1908139","19-1908139")</f>
        <v>0</v>
      </c>
      <c r="AD336" t="s">
        <v>3445</v>
      </c>
      <c r="AE336" t="s">
        <v>3452</v>
      </c>
      <c r="AF336" t="s">
        <v>3549</v>
      </c>
      <c r="AG336" t="s">
        <v>3368</v>
      </c>
      <c r="AH336" t="s">
        <v>4904</v>
      </c>
      <c r="AL336" t="s">
        <v>2134</v>
      </c>
      <c r="AN336" t="s">
        <v>3416</v>
      </c>
    </row>
    <row r="337" spans="1:41">
      <c r="A337" s="1" t="s">
        <v>373</v>
      </c>
      <c r="B337" t="s">
        <v>2009</v>
      </c>
      <c r="C337" t="s">
        <v>1998</v>
      </c>
      <c r="D337" t="s">
        <v>2060</v>
      </c>
      <c r="E337" t="s">
        <v>2112</v>
      </c>
      <c r="F337" t="s">
        <v>2117</v>
      </c>
      <c r="G337" t="s">
        <v>2211</v>
      </c>
      <c r="H337">
        <v>10039</v>
      </c>
      <c r="I337" t="s">
        <v>2229</v>
      </c>
      <c r="J337">
        <v>3</v>
      </c>
      <c r="K337">
        <v>1</v>
      </c>
      <c r="L337" t="s">
        <v>2361</v>
      </c>
      <c r="M337" t="s">
        <v>2677</v>
      </c>
      <c r="P337" t="s">
        <v>2768</v>
      </c>
      <c r="Q337" t="s">
        <v>3255</v>
      </c>
      <c r="R337" t="s">
        <v>3259</v>
      </c>
      <c r="S337" t="s">
        <v>3267</v>
      </c>
      <c r="X337" t="s">
        <v>3354</v>
      </c>
      <c r="Y337" t="s">
        <v>2678</v>
      </c>
      <c r="Z337" t="s">
        <v>3359</v>
      </c>
      <c r="AB337" t="s">
        <v>3415</v>
      </c>
      <c r="AC337">
        <f>HYPERLINK("https://lsnyc.legalserver.org/matter/dynamic-profile/view/1908155","19-1908155")</f>
        <v>0</v>
      </c>
      <c r="AD337" t="s">
        <v>3442</v>
      </c>
      <c r="AE337" t="s">
        <v>3480</v>
      </c>
      <c r="AF337" t="s">
        <v>3803</v>
      </c>
      <c r="AG337" t="s">
        <v>3359</v>
      </c>
      <c r="AL337" t="s">
        <v>2117</v>
      </c>
      <c r="AN337" t="s">
        <v>3415</v>
      </c>
    </row>
    <row r="338" spans="1:41">
      <c r="A338" s="1" t="s">
        <v>374</v>
      </c>
      <c r="B338" t="s">
        <v>2016</v>
      </c>
      <c r="C338" t="s">
        <v>1998</v>
      </c>
      <c r="D338" t="s">
        <v>2094</v>
      </c>
      <c r="E338" t="s">
        <v>2112</v>
      </c>
      <c r="F338" t="s">
        <v>2134</v>
      </c>
      <c r="G338" t="s">
        <v>2212</v>
      </c>
      <c r="H338">
        <v>11375</v>
      </c>
      <c r="I338" t="s">
        <v>2232</v>
      </c>
      <c r="J338">
        <v>2</v>
      </c>
      <c r="K338">
        <v>0</v>
      </c>
      <c r="L338" t="s">
        <v>2260</v>
      </c>
      <c r="M338" t="s">
        <v>2677</v>
      </c>
      <c r="P338" t="s">
        <v>2768</v>
      </c>
      <c r="Q338" t="s">
        <v>2113</v>
      </c>
      <c r="R338" t="s">
        <v>3259</v>
      </c>
      <c r="S338" t="s">
        <v>3268</v>
      </c>
      <c r="X338" t="s">
        <v>3354</v>
      </c>
      <c r="Y338" t="s">
        <v>2677</v>
      </c>
      <c r="Z338" t="s">
        <v>3368</v>
      </c>
      <c r="AA338" t="s">
        <v>3406</v>
      </c>
      <c r="AB338" t="s">
        <v>3416</v>
      </c>
      <c r="AC338">
        <f>HYPERLINK("https://lsnyc.legalserver.org/matter/dynamic-profile/view/1908167","19-1908167")</f>
        <v>0</v>
      </c>
      <c r="AD338" t="s">
        <v>3445</v>
      </c>
      <c r="AE338" t="s">
        <v>3452</v>
      </c>
      <c r="AF338" t="s">
        <v>3804</v>
      </c>
      <c r="AG338" t="s">
        <v>3368</v>
      </c>
      <c r="AH338" t="s">
        <v>4904</v>
      </c>
      <c r="AL338" t="s">
        <v>2134</v>
      </c>
      <c r="AN338" t="s">
        <v>3416</v>
      </c>
    </row>
    <row r="339" spans="1:41">
      <c r="A339" s="1" t="s">
        <v>375</v>
      </c>
      <c r="B339" t="s">
        <v>2015</v>
      </c>
      <c r="C339" t="s">
        <v>2012</v>
      </c>
      <c r="D339" t="s">
        <v>2059</v>
      </c>
      <c r="E339" t="s">
        <v>2112</v>
      </c>
      <c r="F339" t="s">
        <v>2117</v>
      </c>
      <c r="G339" t="s">
        <v>2212</v>
      </c>
      <c r="H339">
        <v>11418</v>
      </c>
      <c r="I339" t="s">
        <v>2229</v>
      </c>
      <c r="J339">
        <v>1</v>
      </c>
      <c r="K339">
        <v>0</v>
      </c>
      <c r="L339" t="s">
        <v>2281</v>
      </c>
      <c r="M339" t="s">
        <v>2677</v>
      </c>
      <c r="P339" t="s">
        <v>2754</v>
      </c>
      <c r="Q339" t="s">
        <v>2113</v>
      </c>
      <c r="R339" t="s">
        <v>3258</v>
      </c>
      <c r="S339" t="s">
        <v>3271</v>
      </c>
      <c r="X339" t="s">
        <v>3354</v>
      </c>
      <c r="Y339" t="s">
        <v>2677</v>
      </c>
      <c r="Z339" t="s">
        <v>3362</v>
      </c>
      <c r="AA339" t="s">
        <v>3406</v>
      </c>
      <c r="AB339" t="s">
        <v>3419</v>
      </c>
      <c r="AC339">
        <f>HYPERLINK("https://lsnyc.legalserver.org/matter/dynamic-profile/view/1908180","19-1908180")</f>
        <v>0</v>
      </c>
      <c r="AD339" t="s">
        <v>3445</v>
      </c>
      <c r="AE339" t="s">
        <v>3455</v>
      </c>
      <c r="AF339" t="s">
        <v>3538</v>
      </c>
      <c r="AG339" t="s">
        <v>3362</v>
      </c>
      <c r="AH339" t="s">
        <v>4904</v>
      </c>
      <c r="AL339" t="s">
        <v>2117</v>
      </c>
      <c r="AN339" t="s">
        <v>3419</v>
      </c>
    </row>
    <row r="340" spans="1:41">
      <c r="A340" s="1" t="s">
        <v>376</v>
      </c>
      <c r="B340" t="s">
        <v>1998</v>
      </c>
      <c r="C340" t="s">
        <v>1998</v>
      </c>
      <c r="D340" t="s">
        <v>2062</v>
      </c>
      <c r="E340" t="s">
        <v>2112</v>
      </c>
      <c r="F340" t="s">
        <v>2165</v>
      </c>
      <c r="G340" t="s">
        <v>2214</v>
      </c>
      <c r="H340">
        <v>11238</v>
      </c>
      <c r="I340" t="s">
        <v>2230</v>
      </c>
      <c r="J340">
        <v>1</v>
      </c>
      <c r="K340">
        <v>0</v>
      </c>
      <c r="L340" t="s">
        <v>2371</v>
      </c>
      <c r="M340" t="s">
        <v>2677</v>
      </c>
      <c r="P340" t="s">
        <v>2768</v>
      </c>
      <c r="Q340" t="s">
        <v>2113</v>
      </c>
      <c r="R340" t="s">
        <v>3259</v>
      </c>
      <c r="S340" t="s">
        <v>3270</v>
      </c>
      <c r="X340" t="s">
        <v>3354</v>
      </c>
      <c r="Y340" t="s">
        <v>2677</v>
      </c>
      <c r="Z340" t="s">
        <v>3362</v>
      </c>
      <c r="AA340" t="s">
        <v>3406</v>
      </c>
      <c r="AB340" t="s">
        <v>3418</v>
      </c>
      <c r="AC340">
        <f>HYPERLINK("https://lsnyc.legalserver.org/matter/dynamic-profile/view/1908221","19-1908221")</f>
        <v>0</v>
      </c>
      <c r="AD340" t="s">
        <v>3445</v>
      </c>
      <c r="AE340" t="s">
        <v>3452</v>
      </c>
      <c r="AF340" t="s">
        <v>3805</v>
      </c>
      <c r="AG340" t="s">
        <v>3362</v>
      </c>
      <c r="AH340" t="s">
        <v>4904</v>
      </c>
      <c r="AL340" t="s">
        <v>2165</v>
      </c>
      <c r="AN340" t="s">
        <v>3418</v>
      </c>
    </row>
    <row r="341" spans="1:41">
      <c r="A341" s="1" t="s">
        <v>377</v>
      </c>
      <c r="B341" t="s">
        <v>2013</v>
      </c>
      <c r="C341" t="s">
        <v>2016</v>
      </c>
      <c r="D341" t="s">
        <v>2056</v>
      </c>
      <c r="E341" t="s">
        <v>2112</v>
      </c>
      <c r="F341" t="s">
        <v>2167</v>
      </c>
      <c r="G341" t="s">
        <v>2211</v>
      </c>
      <c r="H341">
        <v>10035</v>
      </c>
      <c r="I341" t="s">
        <v>2230</v>
      </c>
      <c r="J341">
        <v>1</v>
      </c>
      <c r="K341">
        <v>0</v>
      </c>
      <c r="L341" t="s">
        <v>2264</v>
      </c>
      <c r="M341" t="s">
        <v>2677</v>
      </c>
      <c r="P341" t="s">
        <v>2771</v>
      </c>
      <c r="Q341" t="s">
        <v>2113</v>
      </c>
      <c r="R341" t="s">
        <v>3259</v>
      </c>
      <c r="S341" t="s">
        <v>3267</v>
      </c>
      <c r="V341" t="s">
        <v>3352</v>
      </c>
      <c r="X341" t="s">
        <v>3354</v>
      </c>
      <c r="Y341" t="s">
        <v>2678</v>
      </c>
      <c r="Z341" t="s">
        <v>3359</v>
      </c>
      <c r="AA341" t="s">
        <v>3406</v>
      </c>
      <c r="AB341" t="s">
        <v>3415</v>
      </c>
      <c r="AC341">
        <f>HYPERLINK("https://lsnyc.legalserver.org/matter/dynamic-profile/view/1906968","19-1906968")</f>
        <v>0</v>
      </c>
      <c r="AD341" t="s">
        <v>3442</v>
      </c>
      <c r="AE341" t="s">
        <v>3460</v>
      </c>
      <c r="AF341" t="s">
        <v>3532</v>
      </c>
      <c r="AG341" t="s">
        <v>3359</v>
      </c>
      <c r="AH341" t="s">
        <v>4906</v>
      </c>
      <c r="AL341" t="s">
        <v>2167</v>
      </c>
      <c r="AN341" t="s">
        <v>3415</v>
      </c>
      <c r="AO341" t="s">
        <v>3352</v>
      </c>
    </row>
    <row r="342" spans="1:41">
      <c r="A342" s="1" t="s">
        <v>378</v>
      </c>
      <c r="B342" t="s">
        <v>2000</v>
      </c>
      <c r="C342" t="s">
        <v>2019</v>
      </c>
      <c r="D342" t="s">
        <v>2053</v>
      </c>
      <c r="E342" t="s">
        <v>2111</v>
      </c>
      <c r="F342" t="s">
        <v>2114</v>
      </c>
      <c r="G342" t="s">
        <v>2213</v>
      </c>
      <c r="H342">
        <v>10456</v>
      </c>
      <c r="I342" t="s">
        <v>2229</v>
      </c>
      <c r="J342">
        <v>3</v>
      </c>
      <c r="K342">
        <v>2</v>
      </c>
      <c r="L342" t="s">
        <v>2260</v>
      </c>
      <c r="M342" t="s">
        <v>2677</v>
      </c>
      <c r="P342" t="s">
        <v>2771</v>
      </c>
      <c r="Q342" t="s">
        <v>3255</v>
      </c>
      <c r="R342" t="s">
        <v>3258</v>
      </c>
      <c r="S342" t="s">
        <v>3262</v>
      </c>
      <c r="V342" t="s">
        <v>3353</v>
      </c>
      <c r="X342" t="s">
        <v>3354</v>
      </c>
      <c r="Y342" t="s">
        <v>2678</v>
      </c>
      <c r="Z342" t="s">
        <v>3355</v>
      </c>
      <c r="AA342" t="s">
        <v>3406</v>
      </c>
      <c r="AB342" t="s">
        <v>3410</v>
      </c>
      <c r="AC342">
        <f>HYPERLINK("https://lsnyc.legalserver.org/matter/dynamic-profile/view/1907940","19-1907940")</f>
        <v>0</v>
      </c>
      <c r="AD342" t="s">
        <v>3444</v>
      </c>
      <c r="AE342" t="s">
        <v>3466</v>
      </c>
      <c r="AF342" t="s">
        <v>3806</v>
      </c>
      <c r="AG342" t="s">
        <v>3355</v>
      </c>
      <c r="AH342" t="s">
        <v>4904</v>
      </c>
      <c r="AL342" t="s">
        <v>2114</v>
      </c>
      <c r="AN342" t="s">
        <v>3410</v>
      </c>
      <c r="AO342" t="s">
        <v>3353</v>
      </c>
    </row>
    <row r="343" spans="1:41">
      <c r="A343" s="1" t="s">
        <v>379</v>
      </c>
      <c r="B343" t="s">
        <v>1998</v>
      </c>
      <c r="C343" t="s">
        <v>2004</v>
      </c>
      <c r="D343" t="s">
        <v>2066</v>
      </c>
      <c r="E343" t="s">
        <v>2112</v>
      </c>
      <c r="F343" t="s">
        <v>2118</v>
      </c>
      <c r="G343" t="s">
        <v>2212</v>
      </c>
      <c r="H343">
        <v>11432</v>
      </c>
      <c r="I343" t="s">
        <v>2231</v>
      </c>
      <c r="J343">
        <v>2</v>
      </c>
      <c r="K343">
        <v>0</v>
      </c>
      <c r="L343" t="s">
        <v>2266</v>
      </c>
      <c r="M343" t="s">
        <v>2677</v>
      </c>
      <c r="P343" t="s">
        <v>2771</v>
      </c>
      <c r="Q343" t="s">
        <v>3255</v>
      </c>
      <c r="R343" t="s">
        <v>3259</v>
      </c>
      <c r="S343" t="s">
        <v>3267</v>
      </c>
      <c r="X343" t="s">
        <v>3354</v>
      </c>
      <c r="Y343" t="s">
        <v>2678</v>
      </c>
      <c r="Z343" t="s">
        <v>3359</v>
      </c>
      <c r="AA343" t="s">
        <v>3406</v>
      </c>
      <c r="AB343" t="s">
        <v>3415</v>
      </c>
      <c r="AC343">
        <f>HYPERLINK("https://lsnyc.legalserver.org/matter/dynamic-profile/view/1908062","19-1908062")</f>
        <v>0</v>
      </c>
      <c r="AD343" t="s">
        <v>3443</v>
      </c>
      <c r="AE343" t="s">
        <v>3457</v>
      </c>
      <c r="AF343" t="s">
        <v>3737</v>
      </c>
      <c r="AG343" t="s">
        <v>3359</v>
      </c>
      <c r="AH343" t="s">
        <v>4906</v>
      </c>
      <c r="AL343" t="s">
        <v>2118</v>
      </c>
      <c r="AN343" t="s">
        <v>3415</v>
      </c>
    </row>
    <row r="344" spans="1:41">
      <c r="A344" s="1" t="s">
        <v>380</v>
      </c>
      <c r="B344" t="s">
        <v>2000</v>
      </c>
      <c r="C344" t="s">
        <v>2001</v>
      </c>
      <c r="D344" t="s">
        <v>2096</v>
      </c>
      <c r="E344" t="s">
        <v>2112</v>
      </c>
      <c r="F344" t="s">
        <v>2131</v>
      </c>
      <c r="G344" t="s">
        <v>2212</v>
      </c>
      <c r="H344">
        <v>11368</v>
      </c>
      <c r="I344" t="s">
        <v>2229</v>
      </c>
      <c r="J344">
        <v>5</v>
      </c>
      <c r="K344">
        <v>3</v>
      </c>
      <c r="L344" t="s">
        <v>2372</v>
      </c>
      <c r="M344" t="s">
        <v>2677</v>
      </c>
      <c r="P344" t="s">
        <v>2748</v>
      </c>
      <c r="Q344" t="s">
        <v>3255</v>
      </c>
      <c r="R344" t="s">
        <v>3258</v>
      </c>
      <c r="S344" t="s">
        <v>3273</v>
      </c>
      <c r="X344" t="s">
        <v>3354</v>
      </c>
      <c r="Y344" t="s">
        <v>2678</v>
      </c>
      <c r="Z344" t="s">
        <v>3370</v>
      </c>
      <c r="AA344" t="s">
        <v>3406</v>
      </c>
      <c r="AB344" t="s">
        <v>3421</v>
      </c>
      <c r="AC344">
        <f>HYPERLINK("https://lsnyc.legalserver.org/matter/dynamic-profile/view/1908584","19-1908584")</f>
        <v>0</v>
      </c>
      <c r="AD344" t="s">
        <v>3443</v>
      </c>
      <c r="AE344" t="s">
        <v>3471</v>
      </c>
      <c r="AF344" t="s">
        <v>3807</v>
      </c>
      <c r="AG344" t="s">
        <v>3370</v>
      </c>
      <c r="AH344" t="s">
        <v>4904</v>
      </c>
      <c r="AL344" t="s">
        <v>2131</v>
      </c>
      <c r="AN344" t="s">
        <v>3421</v>
      </c>
    </row>
    <row r="345" spans="1:41">
      <c r="A345" s="1" t="s">
        <v>381</v>
      </c>
      <c r="B345" t="s">
        <v>2000</v>
      </c>
      <c r="C345" t="s">
        <v>1998</v>
      </c>
      <c r="D345" t="s">
        <v>2069</v>
      </c>
      <c r="E345" t="s">
        <v>2111</v>
      </c>
      <c r="F345" t="s">
        <v>2120</v>
      </c>
      <c r="G345" t="s">
        <v>2214</v>
      </c>
      <c r="H345">
        <v>11233</v>
      </c>
      <c r="J345">
        <v>2</v>
      </c>
      <c r="K345">
        <v>1</v>
      </c>
      <c r="L345" t="s">
        <v>2271</v>
      </c>
      <c r="M345" t="s">
        <v>2677</v>
      </c>
      <c r="P345" t="s">
        <v>2772</v>
      </c>
      <c r="Q345" t="s">
        <v>3255</v>
      </c>
      <c r="R345" t="s">
        <v>3258</v>
      </c>
      <c r="S345" t="s">
        <v>3273</v>
      </c>
      <c r="T345" t="s">
        <v>3294</v>
      </c>
      <c r="U345" t="s">
        <v>2765</v>
      </c>
      <c r="V345" t="s">
        <v>3352</v>
      </c>
      <c r="X345" t="s">
        <v>3354</v>
      </c>
      <c r="Y345" t="s">
        <v>2678</v>
      </c>
      <c r="Z345" t="s">
        <v>3370</v>
      </c>
      <c r="AA345" t="s">
        <v>3406</v>
      </c>
      <c r="AB345" t="s">
        <v>3421</v>
      </c>
      <c r="AC345">
        <f>HYPERLINK("https://lsnyc.legalserver.org/matter/dynamic-profile/view/1907941","19-1907941")</f>
        <v>0</v>
      </c>
      <c r="AD345" t="s">
        <v>3446</v>
      </c>
      <c r="AE345" t="s">
        <v>3473</v>
      </c>
      <c r="AF345" t="s">
        <v>3808</v>
      </c>
      <c r="AG345" t="s">
        <v>3370</v>
      </c>
      <c r="AH345" t="s">
        <v>4904</v>
      </c>
      <c r="AL345" t="s">
        <v>2120</v>
      </c>
      <c r="AM345" t="s">
        <v>3294</v>
      </c>
      <c r="AN345" t="s">
        <v>3421</v>
      </c>
      <c r="AO345" t="s">
        <v>3352</v>
      </c>
    </row>
    <row r="346" spans="1:41">
      <c r="A346" s="1" t="s">
        <v>382</v>
      </c>
      <c r="B346" t="s">
        <v>2008</v>
      </c>
      <c r="C346" t="s">
        <v>2001</v>
      </c>
      <c r="D346" t="s">
        <v>2047</v>
      </c>
      <c r="E346" t="s">
        <v>2111</v>
      </c>
      <c r="F346" t="s">
        <v>2122</v>
      </c>
      <c r="G346" t="s">
        <v>2214</v>
      </c>
      <c r="H346">
        <v>11207</v>
      </c>
      <c r="I346" t="s">
        <v>2230</v>
      </c>
      <c r="J346">
        <v>1</v>
      </c>
      <c r="K346">
        <v>0</v>
      </c>
      <c r="L346" t="s">
        <v>2289</v>
      </c>
      <c r="M346" t="s">
        <v>2677</v>
      </c>
      <c r="P346" t="s">
        <v>2740</v>
      </c>
      <c r="Q346" t="s">
        <v>2113</v>
      </c>
      <c r="R346" t="s">
        <v>3259</v>
      </c>
      <c r="S346" t="s">
        <v>3270</v>
      </c>
      <c r="V346" t="s">
        <v>3352</v>
      </c>
      <c r="X346" t="s">
        <v>3354</v>
      </c>
      <c r="Y346" t="s">
        <v>2677</v>
      </c>
      <c r="Z346" t="s">
        <v>3362</v>
      </c>
      <c r="AA346" t="s">
        <v>3406</v>
      </c>
      <c r="AB346" t="s">
        <v>3418</v>
      </c>
      <c r="AC346">
        <f>HYPERLINK("https://lsnyc.legalserver.org/matter/dynamic-profile/view/1907971","19-1907971")</f>
        <v>0</v>
      </c>
      <c r="AD346" t="s">
        <v>3445</v>
      </c>
      <c r="AE346" t="s">
        <v>3455</v>
      </c>
      <c r="AF346" t="s">
        <v>3550</v>
      </c>
      <c r="AG346" t="s">
        <v>3362</v>
      </c>
      <c r="AH346" t="s">
        <v>4904</v>
      </c>
      <c r="AL346" t="s">
        <v>2122</v>
      </c>
      <c r="AN346" t="s">
        <v>3418</v>
      </c>
      <c r="AO346" t="s">
        <v>3352</v>
      </c>
    </row>
    <row r="347" spans="1:41">
      <c r="A347" s="1" t="s">
        <v>383</v>
      </c>
      <c r="B347" t="s">
        <v>1998</v>
      </c>
      <c r="C347" t="s">
        <v>2001</v>
      </c>
      <c r="D347" t="s">
        <v>2072</v>
      </c>
      <c r="E347" t="s">
        <v>2111</v>
      </c>
      <c r="F347" t="s">
        <v>2117</v>
      </c>
      <c r="G347" t="s">
        <v>2211</v>
      </c>
      <c r="H347">
        <v>10027</v>
      </c>
      <c r="I347" t="s">
        <v>2229</v>
      </c>
      <c r="J347">
        <v>1</v>
      </c>
      <c r="K347">
        <v>0</v>
      </c>
      <c r="L347" t="s">
        <v>2260</v>
      </c>
      <c r="M347" t="s">
        <v>2677</v>
      </c>
      <c r="P347" t="s">
        <v>2739</v>
      </c>
      <c r="Q347" t="s">
        <v>2113</v>
      </c>
      <c r="R347" t="s">
        <v>3259</v>
      </c>
      <c r="S347" t="s">
        <v>3267</v>
      </c>
      <c r="X347" t="s">
        <v>3354</v>
      </c>
      <c r="Y347" t="s">
        <v>2678</v>
      </c>
      <c r="Z347" t="s">
        <v>3380</v>
      </c>
      <c r="AA347" t="s">
        <v>3406</v>
      </c>
      <c r="AB347" t="s">
        <v>3415</v>
      </c>
      <c r="AC347">
        <f>HYPERLINK("https://lsnyc.legalserver.org/matter/dynamic-profile/view/1907998","19-1907998")</f>
        <v>0</v>
      </c>
      <c r="AD347" t="s">
        <v>3443</v>
      </c>
      <c r="AE347" t="s">
        <v>3471</v>
      </c>
      <c r="AF347" t="s">
        <v>3809</v>
      </c>
      <c r="AG347" t="s">
        <v>3380</v>
      </c>
      <c r="AH347" t="s">
        <v>4906</v>
      </c>
      <c r="AL347" t="s">
        <v>2117</v>
      </c>
      <c r="AN347" t="s">
        <v>3415</v>
      </c>
    </row>
    <row r="348" spans="1:41">
      <c r="A348" s="1" t="s">
        <v>384</v>
      </c>
      <c r="B348" t="s">
        <v>2001</v>
      </c>
      <c r="C348" t="s">
        <v>2000</v>
      </c>
      <c r="D348" t="s">
        <v>2097</v>
      </c>
      <c r="E348" t="s">
        <v>2111</v>
      </c>
      <c r="F348" t="s">
        <v>2120</v>
      </c>
      <c r="G348" t="s">
        <v>2214</v>
      </c>
      <c r="H348">
        <v>11236</v>
      </c>
      <c r="I348" t="s">
        <v>2230</v>
      </c>
      <c r="J348">
        <v>3</v>
      </c>
      <c r="K348">
        <v>1</v>
      </c>
      <c r="L348" t="s">
        <v>2373</v>
      </c>
      <c r="M348" t="s">
        <v>2677</v>
      </c>
      <c r="P348" t="s">
        <v>2772</v>
      </c>
      <c r="Q348" t="s">
        <v>2113</v>
      </c>
      <c r="R348" t="s">
        <v>3258</v>
      </c>
      <c r="S348" t="s">
        <v>3271</v>
      </c>
      <c r="X348" t="s">
        <v>3354</v>
      </c>
      <c r="Y348" t="s">
        <v>2677</v>
      </c>
      <c r="Z348" t="s">
        <v>3362</v>
      </c>
      <c r="AA348" t="s">
        <v>3406</v>
      </c>
      <c r="AB348" t="s">
        <v>3419</v>
      </c>
      <c r="AC348">
        <f>HYPERLINK("https://lsnyc.legalserver.org/matter/dynamic-profile/view/1908000","19-1908000")</f>
        <v>0</v>
      </c>
      <c r="AD348" t="s">
        <v>3445</v>
      </c>
      <c r="AE348" t="s">
        <v>3452</v>
      </c>
      <c r="AF348" t="s">
        <v>3810</v>
      </c>
      <c r="AG348" t="s">
        <v>3362</v>
      </c>
      <c r="AH348" t="s">
        <v>4904</v>
      </c>
      <c r="AL348" t="s">
        <v>2120</v>
      </c>
      <c r="AN348" t="s">
        <v>3419</v>
      </c>
    </row>
    <row r="349" spans="1:41">
      <c r="A349" s="1" t="s">
        <v>385</v>
      </c>
      <c r="B349" t="s">
        <v>2012</v>
      </c>
      <c r="C349" t="s">
        <v>1998</v>
      </c>
      <c r="D349" t="s">
        <v>2046</v>
      </c>
      <c r="E349" t="s">
        <v>2112</v>
      </c>
      <c r="F349" t="s">
        <v>2168</v>
      </c>
      <c r="G349" t="s">
        <v>2214</v>
      </c>
      <c r="H349">
        <v>11233</v>
      </c>
      <c r="I349" t="s">
        <v>2244</v>
      </c>
      <c r="J349">
        <v>1</v>
      </c>
      <c r="K349">
        <v>0</v>
      </c>
      <c r="L349" t="s">
        <v>2260</v>
      </c>
      <c r="M349" t="s">
        <v>2677</v>
      </c>
      <c r="P349" t="s">
        <v>2772</v>
      </c>
      <c r="Q349" t="s">
        <v>2113</v>
      </c>
      <c r="R349" t="s">
        <v>3259</v>
      </c>
      <c r="S349" t="s">
        <v>3267</v>
      </c>
      <c r="V349" t="s">
        <v>3352</v>
      </c>
      <c r="X349" t="s">
        <v>3354</v>
      </c>
      <c r="Y349" t="s">
        <v>2678</v>
      </c>
      <c r="Z349" t="s">
        <v>3359</v>
      </c>
      <c r="AA349" t="s">
        <v>3406</v>
      </c>
      <c r="AB349" t="s">
        <v>3415</v>
      </c>
      <c r="AC349">
        <f>HYPERLINK("https://lsnyc.legalserver.org/matter/dynamic-profile/view/1908009","19-1908009")</f>
        <v>0</v>
      </c>
      <c r="AD349" t="s">
        <v>3446</v>
      </c>
      <c r="AE349" t="s">
        <v>3481</v>
      </c>
      <c r="AF349" t="s">
        <v>3811</v>
      </c>
      <c r="AG349" t="s">
        <v>3359</v>
      </c>
      <c r="AH349" t="s">
        <v>4906</v>
      </c>
      <c r="AL349" t="s">
        <v>2168</v>
      </c>
      <c r="AN349" t="s">
        <v>3415</v>
      </c>
      <c r="AO349" t="s">
        <v>3352</v>
      </c>
    </row>
    <row r="350" spans="1:41">
      <c r="A350" s="1" t="s">
        <v>386</v>
      </c>
      <c r="B350" t="s">
        <v>1998</v>
      </c>
      <c r="C350" t="s">
        <v>2000</v>
      </c>
      <c r="D350" t="s">
        <v>2065</v>
      </c>
      <c r="E350" t="s">
        <v>2111</v>
      </c>
      <c r="F350" t="s">
        <v>2117</v>
      </c>
      <c r="G350" t="s">
        <v>2212</v>
      </c>
      <c r="H350">
        <v>11691</v>
      </c>
      <c r="I350" t="s">
        <v>2229</v>
      </c>
      <c r="J350">
        <v>3</v>
      </c>
      <c r="K350">
        <v>2</v>
      </c>
      <c r="L350" t="s">
        <v>2260</v>
      </c>
      <c r="M350" t="s">
        <v>2677</v>
      </c>
      <c r="P350" t="s">
        <v>2773</v>
      </c>
      <c r="Q350" t="s">
        <v>3255</v>
      </c>
      <c r="R350" t="s">
        <v>3258</v>
      </c>
      <c r="S350" t="s">
        <v>3269</v>
      </c>
      <c r="X350" t="s">
        <v>3354</v>
      </c>
      <c r="Y350" t="s">
        <v>2678</v>
      </c>
      <c r="Z350" t="s">
        <v>3361</v>
      </c>
      <c r="AA350" t="s">
        <v>3406</v>
      </c>
      <c r="AB350" t="s">
        <v>3417</v>
      </c>
      <c r="AC350">
        <f>HYPERLINK("https://lsnyc.legalserver.org/matter/dynamic-profile/view/1907817","19-1907817")</f>
        <v>0</v>
      </c>
      <c r="AD350" t="s">
        <v>3443</v>
      </c>
      <c r="AE350" t="s">
        <v>3472</v>
      </c>
      <c r="AF350" t="s">
        <v>3812</v>
      </c>
      <c r="AG350" t="s">
        <v>3361</v>
      </c>
      <c r="AH350" t="s">
        <v>4904</v>
      </c>
      <c r="AL350" t="s">
        <v>2117</v>
      </c>
      <c r="AN350" t="s">
        <v>3417</v>
      </c>
    </row>
    <row r="351" spans="1:41">
      <c r="A351" s="1" t="s">
        <v>387</v>
      </c>
      <c r="B351" t="s">
        <v>2001</v>
      </c>
      <c r="C351" t="s">
        <v>2021</v>
      </c>
      <c r="D351" t="s">
        <v>2080</v>
      </c>
      <c r="E351" t="s">
        <v>2111</v>
      </c>
      <c r="F351" t="s">
        <v>2123</v>
      </c>
      <c r="G351" t="s">
        <v>2213</v>
      </c>
      <c r="H351">
        <v>10457</v>
      </c>
      <c r="I351" t="s">
        <v>2229</v>
      </c>
      <c r="J351">
        <v>1</v>
      </c>
      <c r="K351">
        <v>0</v>
      </c>
      <c r="L351" t="s">
        <v>2258</v>
      </c>
      <c r="M351" t="s">
        <v>2677</v>
      </c>
      <c r="P351" t="s">
        <v>2773</v>
      </c>
      <c r="Q351" t="s">
        <v>2113</v>
      </c>
      <c r="R351" t="s">
        <v>3259</v>
      </c>
      <c r="S351" t="s">
        <v>3287</v>
      </c>
      <c r="V351" t="s">
        <v>3352</v>
      </c>
      <c r="X351" t="s">
        <v>3354</v>
      </c>
      <c r="Y351" t="s">
        <v>2678</v>
      </c>
      <c r="Z351" t="s">
        <v>3378</v>
      </c>
      <c r="AA351" t="s">
        <v>3406</v>
      </c>
      <c r="AB351" t="s">
        <v>3435</v>
      </c>
      <c r="AC351">
        <f>HYPERLINK("https://lsnyc.legalserver.org/matter/dynamic-profile/view/1907827","19-1907827")</f>
        <v>0</v>
      </c>
      <c r="AD351" t="s">
        <v>3444</v>
      </c>
      <c r="AE351" t="s">
        <v>3466</v>
      </c>
      <c r="AF351" t="s">
        <v>3813</v>
      </c>
      <c r="AG351" t="s">
        <v>3378</v>
      </c>
      <c r="AH351" t="s">
        <v>4904</v>
      </c>
      <c r="AL351" t="s">
        <v>2123</v>
      </c>
      <c r="AN351" t="s">
        <v>3435</v>
      </c>
      <c r="AO351" t="s">
        <v>3352</v>
      </c>
    </row>
    <row r="352" spans="1:41">
      <c r="A352" s="1" t="s">
        <v>388</v>
      </c>
      <c r="B352" t="s">
        <v>1998</v>
      </c>
      <c r="C352" t="s">
        <v>1998</v>
      </c>
      <c r="D352" t="s">
        <v>2031</v>
      </c>
      <c r="E352" t="s">
        <v>2112</v>
      </c>
      <c r="F352" t="s">
        <v>2169</v>
      </c>
      <c r="G352" t="s">
        <v>2211</v>
      </c>
      <c r="H352">
        <v>10037</v>
      </c>
      <c r="I352" t="s">
        <v>2230</v>
      </c>
      <c r="J352">
        <v>5</v>
      </c>
      <c r="K352">
        <v>3</v>
      </c>
      <c r="L352" t="s">
        <v>2285</v>
      </c>
      <c r="M352" t="s">
        <v>2677</v>
      </c>
      <c r="P352" t="s">
        <v>2773</v>
      </c>
      <c r="Q352" t="s">
        <v>2113</v>
      </c>
      <c r="R352" t="s">
        <v>3258</v>
      </c>
      <c r="S352" t="s">
        <v>3271</v>
      </c>
      <c r="X352" t="s">
        <v>3354</v>
      </c>
      <c r="Y352" t="s">
        <v>2677</v>
      </c>
      <c r="Z352" t="s">
        <v>3362</v>
      </c>
      <c r="AA352" t="s">
        <v>3406</v>
      </c>
      <c r="AB352" t="s">
        <v>3419</v>
      </c>
      <c r="AC352">
        <f>HYPERLINK("https://lsnyc.legalserver.org/matter/dynamic-profile/view/1907830","19-1907830")</f>
        <v>0</v>
      </c>
      <c r="AD352" t="s">
        <v>3445</v>
      </c>
      <c r="AE352" t="s">
        <v>3452</v>
      </c>
      <c r="AF352" t="s">
        <v>3814</v>
      </c>
      <c r="AG352" t="s">
        <v>3362</v>
      </c>
      <c r="AH352" t="s">
        <v>4904</v>
      </c>
      <c r="AL352" t="s">
        <v>2169</v>
      </c>
      <c r="AN352" t="s">
        <v>3419</v>
      </c>
    </row>
    <row r="353" spans="1:41">
      <c r="A353" s="1" t="s">
        <v>389</v>
      </c>
      <c r="B353" t="s">
        <v>2000</v>
      </c>
      <c r="C353" t="s">
        <v>2016</v>
      </c>
      <c r="D353" t="s">
        <v>2069</v>
      </c>
      <c r="E353" t="s">
        <v>2111</v>
      </c>
      <c r="F353" t="s">
        <v>2117</v>
      </c>
      <c r="G353" t="s">
        <v>2220</v>
      </c>
      <c r="H353">
        <v>7111</v>
      </c>
      <c r="J353">
        <v>1</v>
      </c>
      <c r="K353">
        <v>0</v>
      </c>
      <c r="L353" t="s">
        <v>2260</v>
      </c>
      <c r="M353" t="s">
        <v>2677</v>
      </c>
      <c r="P353" t="s">
        <v>2774</v>
      </c>
      <c r="Q353" t="s">
        <v>3255</v>
      </c>
      <c r="R353" t="s">
        <v>3259</v>
      </c>
      <c r="S353" t="s">
        <v>3267</v>
      </c>
      <c r="X353" t="s">
        <v>3354</v>
      </c>
      <c r="Y353" t="s">
        <v>2678</v>
      </c>
      <c r="Z353" t="s">
        <v>3359</v>
      </c>
      <c r="AA353" t="s">
        <v>3406</v>
      </c>
      <c r="AB353" t="s">
        <v>3415</v>
      </c>
      <c r="AC353">
        <f>HYPERLINK("https://lsnyc.legalserver.org/matter/dynamic-profile/view/1907904","19-1907904")</f>
        <v>0</v>
      </c>
      <c r="AD353" t="s">
        <v>3446</v>
      </c>
      <c r="AE353" t="s">
        <v>3465</v>
      </c>
      <c r="AF353" t="s">
        <v>3815</v>
      </c>
      <c r="AG353" t="s">
        <v>3359</v>
      </c>
      <c r="AH353" t="s">
        <v>4906</v>
      </c>
      <c r="AL353" t="s">
        <v>2117</v>
      </c>
      <c r="AN353" t="s">
        <v>3415</v>
      </c>
    </row>
    <row r="354" spans="1:41">
      <c r="A354" s="1" t="s">
        <v>390</v>
      </c>
      <c r="B354" t="s">
        <v>2012</v>
      </c>
      <c r="C354" t="s">
        <v>2001</v>
      </c>
      <c r="D354" t="s">
        <v>2062</v>
      </c>
      <c r="E354" t="s">
        <v>2112</v>
      </c>
      <c r="F354" t="s">
        <v>2120</v>
      </c>
      <c r="G354" t="s">
        <v>2214</v>
      </c>
      <c r="H354">
        <v>11233</v>
      </c>
      <c r="J354">
        <v>2</v>
      </c>
      <c r="K354">
        <v>1</v>
      </c>
      <c r="L354" t="s">
        <v>2271</v>
      </c>
      <c r="M354" t="s">
        <v>2677</v>
      </c>
      <c r="P354" t="s">
        <v>2775</v>
      </c>
      <c r="Q354" t="s">
        <v>3255</v>
      </c>
      <c r="R354" t="s">
        <v>3258</v>
      </c>
      <c r="S354" t="s">
        <v>3262</v>
      </c>
      <c r="T354" t="s">
        <v>3294</v>
      </c>
      <c r="U354" t="s">
        <v>2775</v>
      </c>
      <c r="V354" t="s">
        <v>3352</v>
      </c>
      <c r="X354" t="s">
        <v>3354</v>
      </c>
      <c r="Y354" t="s">
        <v>2678</v>
      </c>
      <c r="Z354" t="s">
        <v>3355</v>
      </c>
      <c r="AA354" t="s">
        <v>3406</v>
      </c>
      <c r="AB354" t="s">
        <v>3410</v>
      </c>
      <c r="AC354">
        <f>HYPERLINK("https://lsnyc.legalserver.org/matter/dynamic-profile/view/1907753","19-1907753")</f>
        <v>0</v>
      </c>
      <c r="AD354" t="s">
        <v>3446</v>
      </c>
      <c r="AE354" t="s">
        <v>3473</v>
      </c>
      <c r="AF354" t="s">
        <v>3816</v>
      </c>
      <c r="AG354" t="s">
        <v>3355</v>
      </c>
      <c r="AH354" t="s">
        <v>4904</v>
      </c>
      <c r="AL354" t="s">
        <v>2120</v>
      </c>
      <c r="AM354" t="s">
        <v>3294</v>
      </c>
      <c r="AN354" t="s">
        <v>3410</v>
      </c>
      <c r="AO354" t="s">
        <v>3352</v>
      </c>
    </row>
    <row r="355" spans="1:41">
      <c r="A355" s="1" t="s">
        <v>391</v>
      </c>
      <c r="B355" t="s">
        <v>2016</v>
      </c>
      <c r="C355" t="s">
        <v>2018</v>
      </c>
      <c r="D355" t="s">
        <v>2032</v>
      </c>
      <c r="E355" t="s">
        <v>2111</v>
      </c>
      <c r="F355" t="s">
        <v>2116</v>
      </c>
      <c r="G355" t="s">
        <v>2211</v>
      </c>
      <c r="H355">
        <v>10029</v>
      </c>
      <c r="I355" t="s">
        <v>2229</v>
      </c>
      <c r="J355">
        <v>2</v>
      </c>
      <c r="K355">
        <v>0</v>
      </c>
      <c r="L355" t="s">
        <v>2275</v>
      </c>
      <c r="M355" t="s">
        <v>2677</v>
      </c>
      <c r="P355" t="s">
        <v>2775</v>
      </c>
      <c r="Q355" t="s">
        <v>2113</v>
      </c>
      <c r="R355" t="s">
        <v>3258</v>
      </c>
      <c r="S355" t="s">
        <v>3273</v>
      </c>
      <c r="T355" t="s">
        <v>3294</v>
      </c>
      <c r="U355" t="s">
        <v>2761</v>
      </c>
      <c r="X355" t="s">
        <v>3354</v>
      </c>
      <c r="Y355" t="s">
        <v>2678</v>
      </c>
      <c r="Z355" t="s">
        <v>3365</v>
      </c>
      <c r="AA355" t="s">
        <v>3406</v>
      </c>
      <c r="AB355" t="s">
        <v>3421</v>
      </c>
      <c r="AC355">
        <f>HYPERLINK("https://lsnyc.legalserver.org/matter/dynamic-profile/view/1907788","19-1907788")</f>
        <v>0</v>
      </c>
      <c r="AD355" t="s">
        <v>3442</v>
      </c>
      <c r="AE355" t="s">
        <v>3460</v>
      </c>
      <c r="AF355" t="s">
        <v>3817</v>
      </c>
      <c r="AG355" t="s">
        <v>3365</v>
      </c>
      <c r="AH355" t="s">
        <v>4904</v>
      </c>
      <c r="AL355" t="s">
        <v>2116</v>
      </c>
      <c r="AM355" t="s">
        <v>3294</v>
      </c>
      <c r="AN355" t="s">
        <v>3421</v>
      </c>
    </row>
    <row r="356" spans="1:41">
      <c r="A356" s="1" t="s">
        <v>392</v>
      </c>
      <c r="B356" t="s">
        <v>2001</v>
      </c>
      <c r="C356" t="s">
        <v>2017</v>
      </c>
      <c r="E356" t="s">
        <v>2112</v>
      </c>
      <c r="G356" t="s">
        <v>2212</v>
      </c>
      <c r="H356">
        <v>11433</v>
      </c>
      <c r="I356" t="s">
        <v>2229</v>
      </c>
      <c r="J356">
        <v>4</v>
      </c>
      <c r="K356">
        <v>2</v>
      </c>
      <c r="L356" t="s">
        <v>2260</v>
      </c>
      <c r="M356" t="s">
        <v>2677</v>
      </c>
      <c r="P356" t="s">
        <v>2776</v>
      </c>
      <c r="Q356" t="s">
        <v>3255</v>
      </c>
      <c r="R356" t="s">
        <v>3261</v>
      </c>
      <c r="S356" t="s">
        <v>3283</v>
      </c>
      <c r="X356" t="s">
        <v>3354</v>
      </c>
      <c r="Y356" t="s">
        <v>2678</v>
      </c>
      <c r="Z356" t="s">
        <v>3359</v>
      </c>
      <c r="AA356" t="s">
        <v>3408</v>
      </c>
      <c r="AB356" t="s">
        <v>3431</v>
      </c>
      <c r="AC356">
        <f>HYPERLINK("https://lsnyc.legalserver.org/matter/dynamic-profile/view/1907427","19-1907427")</f>
        <v>0</v>
      </c>
      <c r="AD356" t="s">
        <v>3443</v>
      </c>
      <c r="AE356" t="s">
        <v>3479</v>
      </c>
      <c r="AF356" t="s">
        <v>3818</v>
      </c>
      <c r="AG356" t="s">
        <v>3359</v>
      </c>
      <c r="AH356" t="s">
        <v>3408</v>
      </c>
      <c r="AN356" t="s">
        <v>3431</v>
      </c>
    </row>
    <row r="357" spans="1:41">
      <c r="A357" s="1" t="s">
        <v>393</v>
      </c>
      <c r="B357" t="s">
        <v>2021</v>
      </c>
      <c r="C357" t="s">
        <v>2009</v>
      </c>
      <c r="D357" t="s">
        <v>2071</v>
      </c>
      <c r="E357" t="s">
        <v>2111</v>
      </c>
      <c r="F357" t="s">
        <v>2170</v>
      </c>
      <c r="G357" t="s">
        <v>2216</v>
      </c>
      <c r="H357">
        <v>10305</v>
      </c>
      <c r="I357" t="s">
        <v>2232</v>
      </c>
      <c r="J357">
        <v>2</v>
      </c>
      <c r="K357">
        <v>0</v>
      </c>
      <c r="L357" t="s">
        <v>2374</v>
      </c>
      <c r="M357" t="s">
        <v>2677</v>
      </c>
      <c r="P357" t="s">
        <v>2776</v>
      </c>
      <c r="Q357" t="s">
        <v>2113</v>
      </c>
      <c r="X357" t="s">
        <v>3354</v>
      </c>
      <c r="Y357" t="s">
        <v>2677</v>
      </c>
      <c r="AA357" t="s">
        <v>3407</v>
      </c>
      <c r="AB357" t="s">
        <v>3407</v>
      </c>
      <c r="AC357">
        <f>HYPERLINK("https://lsnyc.legalserver.org/matter/dynamic-profile/view/1907653","19-1907653")</f>
        <v>0</v>
      </c>
      <c r="AD357" t="s">
        <v>3445</v>
      </c>
      <c r="AE357" t="s">
        <v>3461</v>
      </c>
      <c r="AF357" t="s">
        <v>3819</v>
      </c>
      <c r="AH357" t="s">
        <v>3407</v>
      </c>
      <c r="AL357" t="s">
        <v>2170</v>
      </c>
      <c r="AN357" t="s">
        <v>3407</v>
      </c>
    </row>
    <row r="358" spans="1:41">
      <c r="A358" s="1" t="s">
        <v>394</v>
      </c>
      <c r="B358" t="s">
        <v>2012</v>
      </c>
      <c r="C358" t="s">
        <v>2001</v>
      </c>
      <c r="D358" t="s">
        <v>2062</v>
      </c>
      <c r="E358" t="s">
        <v>2112</v>
      </c>
      <c r="F358" t="s">
        <v>2120</v>
      </c>
      <c r="G358" t="s">
        <v>2214</v>
      </c>
      <c r="H358">
        <v>11233</v>
      </c>
      <c r="J358">
        <v>2</v>
      </c>
      <c r="K358">
        <v>1</v>
      </c>
      <c r="L358" t="s">
        <v>2375</v>
      </c>
      <c r="M358" t="s">
        <v>2677</v>
      </c>
      <c r="P358" t="s">
        <v>2776</v>
      </c>
      <c r="Q358" t="s">
        <v>3255</v>
      </c>
      <c r="R358" t="s">
        <v>3258</v>
      </c>
      <c r="S358" t="s">
        <v>3273</v>
      </c>
      <c r="T358" t="s">
        <v>3294</v>
      </c>
      <c r="U358" t="s">
        <v>2775</v>
      </c>
      <c r="X358" t="s">
        <v>3354</v>
      </c>
      <c r="Y358" t="s">
        <v>2678</v>
      </c>
      <c r="Z358" t="s">
        <v>3370</v>
      </c>
      <c r="AA358" t="s">
        <v>3406</v>
      </c>
      <c r="AB358" t="s">
        <v>3421</v>
      </c>
      <c r="AC358">
        <f>HYPERLINK("https://lsnyc.legalserver.org/matter/dynamic-profile/view/1907704","19-1907704")</f>
        <v>0</v>
      </c>
      <c r="AD358" t="s">
        <v>3446</v>
      </c>
      <c r="AE358" t="s">
        <v>3473</v>
      </c>
      <c r="AF358" t="s">
        <v>3816</v>
      </c>
      <c r="AG358" t="s">
        <v>3370</v>
      </c>
      <c r="AH358" t="s">
        <v>4904</v>
      </c>
      <c r="AL358" t="s">
        <v>2120</v>
      </c>
      <c r="AM358" t="s">
        <v>3294</v>
      </c>
      <c r="AN358" t="s">
        <v>3421</v>
      </c>
    </row>
    <row r="359" spans="1:41">
      <c r="A359" s="1" t="s">
        <v>395</v>
      </c>
      <c r="B359" t="s">
        <v>2012</v>
      </c>
      <c r="C359" t="s">
        <v>2001</v>
      </c>
      <c r="D359" t="s">
        <v>2062</v>
      </c>
      <c r="E359" t="s">
        <v>2112</v>
      </c>
      <c r="F359" t="s">
        <v>2120</v>
      </c>
      <c r="G359" t="s">
        <v>2214</v>
      </c>
      <c r="H359">
        <v>11233</v>
      </c>
      <c r="J359">
        <v>2</v>
      </c>
      <c r="K359">
        <v>1</v>
      </c>
      <c r="L359" t="s">
        <v>2271</v>
      </c>
      <c r="M359" t="s">
        <v>2677</v>
      </c>
      <c r="P359" t="s">
        <v>2776</v>
      </c>
      <c r="Q359" t="s">
        <v>3255</v>
      </c>
      <c r="R359" t="s">
        <v>3258</v>
      </c>
      <c r="S359" t="s">
        <v>3269</v>
      </c>
      <c r="T359" t="s">
        <v>3294</v>
      </c>
      <c r="U359" t="s">
        <v>2775</v>
      </c>
      <c r="X359" t="s">
        <v>3354</v>
      </c>
      <c r="Y359" t="s">
        <v>2678</v>
      </c>
      <c r="Z359" t="s">
        <v>3361</v>
      </c>
      <c r="AA359" t="s">
        <v>3406</v>
      </c>
      <c r="AB359" t="s">
        <v>3417</v>
      </c>
      <c r="AC359">
        <f>HYPERLINK("https://lsnyc.legalserver.org/matter/dynamic-profile/view/1907713","19-1907713")</f>
        <v>0</v>
      </c>
      <c r="AD359" t="s">
        <v>3446</v>
      </c>
      <c r="AE359" t="s">
        <v>3473</v>
      </c>
      <c r="AF359" t="s">
        <v>3816</v>
      </c>
      <c r="AG359" t="s">
        <v>3361</v>
      </c>
      <c r="AH359" t="s">
        <v>4904</v>
      </c>
      <c r="AL359" t="s">
        <v>2120</v>
      </c>
      <c r="AM359" t="s">
        <v>3294</v>
      </c>
      <c r="AN359" t="s">
        <v>3417</v>
      </c>
    </row>
    <row r="360" spans="1:41">
      <c r="A360" s="1" t="s">
        <v>396</v>
      </c>
      <c r="B360" t="s">
        <v>1998</v>
      </c>
      <c r="C360" t="s">
        <v>2001</v>
      </c>
      <c r="D360" t="s">
        <v>2076</v>
      </c>
      <c r="E360" t="s">
        <v>2111</v>
      </c>
      <c r="F360" t="s">
        <v>2161</v>
      </c>
      <c r="G360" t="s">
        <v>2214</v>
      </c>
      <c r="H360">
        <v>11221</v>
      </c>
      <c r="I360" t="s">
        <v>2230</v>
      </c>
      <c r="J360">
        <v>2</v>
      </c>
      <c r="K360">
        <v>0</v>
      </c>
      <c r="L360" t="s">
        <v>2277</v>
      </c>
      <c r="M360" t="s">
        <v>2677</v>
      </c>
      <c r="P360" t="s">
        <v>2777</v>
      </c>
      <c r="Q360" t="s">
        <v>2113</v>
      </c>
      <c r="R360" t="s">
        <v>3259</v>
      </c>
      <c r="S360" t="s">
        <v>3268</v>
      </c>
      <c r="X360" t="s">
        <v>3354</v>
      </c>
      <c r="Y360" t="s">
        <v>2677</v>
      </c>
      <c r="Z360" t="s">
        <v>3368</v>
      </c>
      <c r="AA360" t="s">
        <v>3406</v>
      </c>
      <c r="AB360" t="s">
        <v>3416</v>
      </c>
      <c r="AC360">
        <f>HYPERLINK("https://lsnyc.legalserver.org/matter/dynamic-profile/view/1907431","19-1907431")</f>
        <v>0</v>
      </c>
      <c r="AD360" t="s">
        <v>3445</v>
      </c>
      <c r="AE360" t="s">
        <v>3452</v>
      </c>
      <c r="AF360" t="s">
        <v>3820</v>
      </c>
      <c r="AG360" t="s">
        <v>3368</v>
      </c>
      <c r="AH360" t="s">
        <v>4904</v>
      </c>
      <c r="AL360" t="s">
        <v>2161</v>
      </c>
      <c r="AN360" t="s">
        <v>3416</v>
      </c>
    </row>
    <row r="361" spans="1:41">
      <c r="A361" s="1" t="s">
        <v>397</v>
      </c>
      <c r="B361" t="s">
        <v>2016</v>
      </c>
      <c r="C361" t="s">
        <v>1998</v>
      </c>
      <c r="D361" t="s">
        <v>2049</v>
      </c>
      <c r="E361" t="s">
        <v>2111</v>
      </c>
      <c r="F361" t="s">
        <v>2117</v>
      </c>
      <c r="G361" t="s">
        <v>2213</v>
      </c>
      <c r="H361">
        <v>10456</v>
      </c>
      <c r="I361" t="s">
        <v>2229</v>
      </c>
      <c r="J361">
        <v>1</v>
      </c>
      <c r="K361">
        <v>0</v>
      </c>
      <c r="L361" t="s">
        <v>2260</v>
      </c>
      <c r="M361" t="s">
        <v>2677</v>
      </c>
      <c r="P361" t="s">
        <v>2777</v>
      </c>
      <c r="Q361" t="s">
        <v>2113</v>
      </c>
      <c r="R361" t="s">
        <v>3258</v>
      </c>
      <c r="S361" t="s">
        <v>3262</v>
      </c>
      <c r="T361" t="s">
        <v>3296</v>
      </c>
      <c r="V361" t="s">
        <v>3353</v>
      </c>
      <c r="X361" t="s">
        <v>3354</v>
      </c>
      <c r="Y361" t="s">
        <v>2678</v>
      </c>
      <c r="Z361" t="s">
        <v>3355</v>
      </c>
      <c r="AA361" t="s">
        <v>3406</v>
      </c>
      <c r="AB361" t="s">
        <v>3410</v>
      </c>
      <c r="AC361">
        <f>HYPERLINK("https://lsnyc.legalserver.org/matter/dynamic-profile/view/1907441","19-1907441")</f>
        <v>0</v>
      </c>
      <c r="AD361" t="s">
        <v>3444</v>
      </c>
      <c r="AE361" t="s">
        <v>3468</v>
      </c>
      <c r="AF361" t="s">
        <v>3821</v>
      </c>
      <c r="AG361" t="s">
        <v>3355</v>
      </c>
      <c r="AH361" t="s">
        <v>4904</v>
      </c>
      <c r="AL361" t="s">
        <v>2117</v>
      </c>
      <c r="AM361" t="s">
        <v>3296</v>
      </c>
      <c r="AN361" t="s">
        <v>3410</v>
      </c>
      <c r="AO361" t="s">
        <v>3353</v>
      </c>
    </row>
    <row r="362" spans="1:41">
      <c r="A362" s="1" t="s">
        <v>398</v>
      </c>
      <c r="B362" t="s">
        <v>2004</v>
      </c>
      <c r="C362" t="s">
        <v>2001</v>
      </c>
      <c r="D362" t="s">
        <v>2044</v>
      </c>
      <c r="E362" t="s">
        <v>2111</v>
      </c>
      <c r="F362" t="s">
        <v>2161</v>
      </c>
      <c r="G362" t="s">
        <v>2214</v>
      </c>
      <c r="H362">
        <v>11221</v>
      </c>
      <c r="I362" t="s">
        <v>2230</v>
      </c>
      <c r="J362">
        <v>2</v>
      </c>
      <c r="K362">
        <v>0</v>
      </c>
      <c r="L362" t="s">
        <v>2277</v>
      </c>
      <c r="M362" t="s">
        <v>2677</v>
      </c>
      <c r="P362" t="s">
        <v>2777</v>
      </c>
      <c r="Q362" t="s">
        <v>2113</v>
      </c>
      <c r="R362" t="s">
        <v>3259</v>
      </c>
      <c r="S362" t="s">
        <v>3268</v>
      </c>
      <c r="X362" t="s">
        <v>3354</v>
      </c>
      <c r="Y362" t="s">
        <v>2677</v>
      </c>
      <c r="Z362" t="s">
        <v>3368</v>
      </c>
      <c r="AA362" t="s">
        <v>3406</v>
      </c>
      <c r="AB362" t="s">
        <v>3416</v>
      </c>
      <c r="AC362">
        <f>HYPERLINK("https://lsnyc.legalserver.org/matter/dynamic-profile/view/1907448","19-1907448")</f>
        <v>0</v>
      </c>
      <c r="AD362" t="s">
        <v>3445</v>
      </c>
      <c r="AE362" t="s">
        <v>3452</v>
      </c>
      <c r="AF362" t="s">
        <v>3822</v>
      </c>
      <c r="AG362" t="s">
        <v>3368</v>
      </c>
      <c r="AH362" t="s">
        <v>4904</v>
      </c>
      <c r="AL362" t="s">
        <v>2161</v>
      </c>
      <c r="AN362" t="s">
        <v>3416</v>
      </c>
    </row>
    <row r="363" spans="1:41">
      <c r="A363" s="1" t="s">
        <v>399</v>
      </c>
      <c r="B363" t="s">
        <v>2002</v>
      </c>
      <c r="C363" t="s">
        <v>1999</v>
      </c>
      <c r="D363" t="s">
        <v>2045</v>
      </c>
      <c r="E363" t="s">
        <v>2111</v>
      </c>
      <c r="F363" t="s">
        <v>2162</v>
      </c>
      <c r="G363" t="s">
        <v>2213</v>
      </c>
      <c r="H363">
        <v>10466</v>
      </c>
      <c r="I363" t="s">
        <v>2230</v>
      </c>
      <c r="J363">
        <v>1</v>
      </c>
      <c r="K363">
        <v>0</v>
      </c>
      <c r="L363" t="s">
        <v>2260</v>
      </c>
      <c r="M363" t="s">
        <v>2677</v>
      </c>
      <c r="P363" t="s">
        <v>2777</v>
      </c>
      <c r="Q363" t="s">
        <v>2113</v>
      </c>
      <c r="X363" t="s">
        <v>3354</v>
      </c>
      <c r="Y363" t="s">
        <v>2677</v>
      </c>
      <c r="AA363" t="s">
        <v>3407</v>
      </c>
      <c r="AB363" t="s">
        <v>3407</v>
      </c>
      <c r="AC363">
        <f>HYPERLINK("https://lsnyc.legalserver.org/matter/dynamic-profile/view/1907461","19-1907461")</f>
        <v>0</v>
      </c>
      <c r="AD363" t="s">
        <v>3445</v>
      </c>
      <c r="AE363" t="s">
        <v>3455</v>
      </c>
      <c r="AF363" t="s">
        <v>3823</v>
      </c>
      <c r="AH363" t="s">
        <v>3407</v>
      </c>
      <c r="AL363" t="s">
        <v>2162</v>
      </c>
      <c r="AN363" t="s">
        <v>3407</v>
      </c>
    </row>
    <row r="364" spans="1:41">
      <c r="A364" s="1" t="s">
        <v>400</v>
      </c>
      <c r="B364" t="s">
        <v>1998</v>
      </c>
      <c r="C364" t="s">
        <v>2007</v>
      </c>
      <c r="D364" t="s">
        <v>2054</v>
      </c>
      <c r="E364" t="s">
        <v>2112</v>
      </c>
      <c r="F364" t="s">
        <v>2117</v>
      </c>
      <c r="G364" t="s">
        <v>2213</v>
      </c>
      <c r="H364">
        <v>10454</v>
      </c>
      <c r="I364" t="s">
        <v>2229</v>
      </c>
      <c r="J364">
        <v>5</v>
      </c>
      <c r="K364">
        <v>2</v>
      </c>
      <c r="L364" t="s">
        <v>2260</v>
      </c>
      <c r="M364" t="s">
        <v>2677</v>
      </c>
      <c r="P364" t="s">
        <v>2777</v>
      </c>
      <c r="Q364" t="s">
        <v>2113</v>
      </c>
      <c r="R364" t="s">
        <v>3258</v>
      </c>
      <c r="S364" t="s">
        <v>3262</v>
      </c>
      <c r="T364" t="s">
        <v>3294</v>
      </c>
      <c r="V364" t="s">
        <v>3353</v>
      </c>
      <c r="X364" t="s">
        <v>3354</v>
      </c>
      <c r="Y364" t="s">
        <v>2678</v>
      </c>
      <c r="Z364" t="s">
        <v>3355</v>
      </c>
      <c r="AA364" t="s">
        <v>3406</v>
      </c>
      <c r="AB364" t="s">
        <v>3410</v>
      </c>
      <c r="AC364">
        <f>HYPERLINK("https://lsnyc.legalserver.org/matter/dynamic-profile/view/1907465","19-1907465")</f>
        <v>0</v>
      </c>
      <c r="AD364" t="s">
        <v>3444</v>
      </c>
      <c r="AE364" t="s">
        <v>3468</v>
      </c>
      <c r="AF364" t="s">
        <v>3824</v>
      </c>
      <c r="AG364" t="s">
        <v>3355</v>
      </c>
      <c r="AH364" t="s">
        <v>4904</v>
      </c>
      <c r="AL364" t="s">
        <v>2117</v>
      </c>
      <c r="AM364" t="s">
        <v>3294</v>
      </c>
      <c r="AN364" t="s">
        <v>3410</v>
      </c>
      <c r="AO364" t="s">
        <v>3353</v>
      </c>
    </row>
    <row r="365" spans="1:41">
      <c r="A365" s="1" t="s">
        <v>401</v>
      </c>
      <c r="B365" t="s">
        <v>2015</v>
      </c>
      <c r="C365" t="s">
        <v>1998</v>
      </c>
      <c r="D365" t="s">
        <v>2077</v>
      </c>
      <c r="E365" t="s">
        <v>2112</v>
      </c>
      <c r="F365" t="s">
        <v>2124</v>
      </c>
      <c r="G365" t="s">
        <v>2212</v>
      </c>
      <c r="H365">
        <v>11434</v>
      </c>
      <c r="I365" t="s">
        <v>2230</v>
      </c>
      <c r="J365">
        <v>6</v>
      </c>
      <c r="K365">
        <v>4</v>
      </c>
      <c r="L365" t="s">
        <v>2376</v>
      </c>
      <c r="M365" t="s">
        <v>2677</v>
      </c>
      <c r="P365" t="s">
        <v>2748</v>
      </c>
      <c r="Q365" t="s">
        <v>3255</v>
      </c>
      <c r="R365" t="s">
        <v>3261</v>
      </c>
      <c r="S365" t="s">
        <v>3290</v>
      </c>
      <c r="X365" t="s">
        <v>3354</v>
      </c>
      <c r="Y365" t="s">
        <v>2678</v>
      </c>
      <c r="Z365" t="s">
        <v>3357</v>
      </c>
      <c r="AA365" t="s">
        <v>3409</v>
      </c>
      <c r="AB365" t="s">
        <v>3438</v>
      </c>
      <c r="AC365">
        <f>HYPERLINK("https://lsnyc.legalserver.org/matter/dynamic-profile/view/1907501","19-1907501")</f>
        <v>0</v>
      </c>
      <c r="AD365" t="s">
        <v>3443</v>
      </c>
      <c r="AE365" t="s">
        <v>3471</v>
      </c>
      <c r="AF365" t="s">
        <v>3825</v>
      </c>
      <c r="AG365" t="s">
        <v>3357</v>
      </c>
      <c r="AH365" t="s">
        <v>3409</v>
      </c>
      <c r="AL365" t="s">
        <v>2124</v>
      </c>
      <c r="AN365" t="s">
        <v>3438</v>
      </c>
    </row>
    <row r="366" spans="1:41">
      <c r="A366" s="1" t="s">
        <v>402</v>
      </c>
      <c r="B366" t="s">
        <v>2011</v>
      </c>
      <c r="C366" t="s">
        <v>1998</v>
      </c>
      <c r="D366" t="s">
        <v>2063</v>
      </c>
      <c r="E366" t="s">
        <v>2112</v>
      </c>
      <c r="F366" t="s">
        <v>2115</v>
      </c>
      <c r="G366" t="s">
        <v>2214</v>
      </c>
      <c r="H366">
        <v>11214</v>
      </c>
      <c r="I366" t="s">
        <v>2229</v>
      </c>
      <c r="J366">
        <v>2</v>
      </c>
      <c r="K366">
        <v>1</v>
      </c>
      <c r="L366" t="s">
        <v>2304</v>
      </c>
      <c r="M366" t="s">
        <v>2677</v>
      </c>
      <c r="P366" t="s">
        <v>2777</v>
      </c>
      <c r="Q366" t="s">
        <v>2113</v>
      </c>
      <c r="R366" t="s">
        <v>3258</v>
      </c>
      <c r="S366" t="s">
        <v>3262</v>
      </c>
      <c r="V366" t="s">
        <v>3353</v>
      </c>
      <c r="X366" t="s">
        <v>3354</v>
      </c>
      <c r="Y366" t="s">
        <v>2678</v>
      </c>
      <c r="Z366" t="s">
        <v>3355</v>
      </c>
      <c r="AA366" t="s">
        <v>3406</v>
      </c>
      <c r="AB366" t="s">
        <v>3410</v>
      </c>
      <c r="AC366">
        <f>HYPERLINK("https://lsnyc.legalserver.org/matter/dynamic-profile/view/1907518","19-1907518")</f>
        <v>0</v>
      </c>
      <c r="AD366" t="s">
        <v>3446</v>
      </c>
      <c r="AE366" t="s">
        <v>3456</v>
      </c>
      <c r="AF366" t="s">
        <v>3826</v>
      </c>
      <c r="AG366" t="s">
        <v>3355</v>
      </c>
      <c r="AH366" t="s">
        <v>4904</v>
      </c>
      <c r="AL366" t="s">
        <v>2115</v>
      </c>
      <c r="AN366" t="s">
        <v>3410</v>
      </c>
      <c r="AO366" t="s">
        <v>3353</v>
      </c>
    </row>
    <row r="367" spans="1:41">
      <c r="A367" s="1" t="s">
        <v>403</v>
      </c>
      <c r="B367" t="s">
        <v>2012</v>
      </c>
      <c r="C367" t="s">
        <v>2002</v>
      </c>
      <c r="D367" t="s">
        <v>2068</v>
      </c>
      <c r="E367" t="s">
        <v>2112</v>
      </c>
      <c r="F367" t="s">
        <v>2121</v>
      </c>
      <c r="G367" t="s">
        <v>2212</v>
      </c>
      <c r="H367">
        <v>11372</v>
      </c>
      <c r="I367" t="s">
        <v>2229</v>
      </c>
      <c r="J367">
        <v>3</v>
      </c>
      <c r="K367">
        <v>2</v>
      </c>
      <c r="L367" t="s">
        <v>2262</v>
      </c>
      <c r="M367" t="s">
        <v>2677</v>
      </c>
      <c r="P367" t="s">
        <v>2724</v>
      </c>
      <c r="Q367" t="s">
        <v>3255</v>
      </c>
      <c r="R367" t="s">
        <v>3258</v>
      </c>
      <c r="S367" t="s">
        <v>3273</v>
      </c>
      <c r="X367" t="s">
        <v>3354</v>
      </c>
      <c r="Y367" t="s">
        <v>2678</v>
      </c>
      <c r="Z367" t="s">
        <v>3365</v>
      </c>
      <c r="AA367" t="s">
        <v>3406</v>
      </c>
      <c r="AB367" t="s">
        <v>3421</v>
      </c>
      <c r="AC367">
        <f>HYPERLINK("https://lsnyc.legalserver.org/matter/dynamic-profile/view/1907381","19-1907381")</f>
        <v>0</v>
      </c>
      <c r="AD367" t="s">
        <v>3443</v>
      </c>
      <c r="AE367" t="s">
        <v>3471</v>
      </c>
      <c r="AF367" t="s">
        <v>3827</v>
      </c>
      <c r="AG367" t="s">
        <v>3365</v>
      </c>
      <c r="AH367" t="s">
        <v>4904</v>
      </c>
      <c r="AL367" t="s">
        <v>2121</v>
      </c>
      <c r="AN367" t="s">
        <v>3421</v>
      </c>
    </row>
    <row r="368" spans="1:41">
      <c r="A368" s="1" t="s">
        <v>404</v>
      </c>
      <c r="B368" t="s">
        <v>2009</v>
      </c>
      <c r="C368" t="s">
        <v>2001</v>
      </c>
      <c r="D368" t="s">
        <v>2068</v>
      </c>
      <c r="E368" t="s">
        <v>2111</v>
      </c>
      <c r="F368" t="s">
        <v>2129</v>
      </c>
      <c r="G368" t="s">
        <v>2211</v>
      </c>
      <c r="H368">
        <v>10025</v>
      </c>
      <c r="I368" t="s">
        <v>2230</v>
      </c>
      <c r="J368">
        <v>1</v>
      </c>
      <c r="K368">
        <v>0</v>
      </c>
      <c r="L368" t="s">
        <v>2260</v>
      </c>
      <c r="M368" t="s">
        <v>2677</v>
      </c>
      <c r="P368" t="s">
        <v>2778</v>
      </c>
      <c r="Q368" t="s">
        <v>2113</v>
      </c>
      <c r="R368" t="s">
        <v>3259</v>
      </c>
      <c r="S368" t="s">
        <v>3268</v>
      </c>
      <c r="X368" t="s">
        <v>3354</v>
      </c>
      <c r="Y368" t="s">
        <v>2677</v>
      </c>
      <c r="Z368" t="s">
        <v>3368</v>
      </c>
      <c r="AA368" t="s">
        <v>3406</v>
      </c>
      <c r="AB368" t="s">
        <v>3416</v>
      </c>
      <c r="AC368">
        <f>HYPERLINK("https://lsnyc.legalserver.org/matter/dynamic-profile/view/1907393","19-1907393")</f>
        <v>0</v>
      </c>
      <c r="AD368" t="s">
        <v>3445</v>
      </c>
      <c r="AE368" t="s">
        <v>3455</v>
      </c>
      <c r="AF368" t="s">
        <v>3828</v>
      </c>
      <c r="AG368" t="s">
        <v>3368</v>
      </c>
      <c r="AH368" t="s">
        <v>4904</v>
      </c>
      <c r="AL368" t="s">
        <v>2129</v>
      </c>
      <c r="AN368" t="s">
        <v>3416</v>
      </c>
    </row>
    <row r="369" spans="1:41">
      <c r="A369" s="1" t="s">
        <v>405</v>
      </c>
      <c r="B369" t="s">
        <v>2001</v>
      </c>
      <c r="C369" t="s">
        <v>2001</v>
      </c>
      <c r="D369" t="s">
        <v>2080</v>
      </c>
      <c r="E369" t="s">
        <v>2112</v>
      </c>
      <c r="F369" t="s">
        <v>2117</v>
      </c>
      <c r="G369" t="s">
        <v>2211</v>
      </c>
      <c r="H369">
        <v>10019</v>
      </c>
      <c r="I369" t="s">
        <v>2229</v>
      </c>
      <c r="J369">
        <v>4</v>
      </c>
      <c r="K369">
        <v>2</v>
      </c>
      <c r="L369" t="s">
        <v>2316</v>
      </c>
      <c r="M369" t="s">
        <v>2677</v>
      </c>
      <c r="P369" t="s">
        <v>2779</v>
      </c>
      <c r="Q369" t="s">
        <v>3257</v>
      </c>
      <c r="R369" t="s">
        <v>3259</v>
      </c>
      <c r="S369" t="s">
        <v>3267</v>
      </c>
      <c r="V369" t="s">
        <v>3353</v>
      </c>
      <c r="X369" t="s">
        <v>3354</v>
      </c>
      <c r="Y369" t="s">
        <v>2678</v>
      </c>
      <c r="Z369" t="s">
        <v>3359</v>
      </c>
      <c r="AA369" t="s">
        <v>3406</v>
      </c>
      <c r="AB369" t="s">
        <v>3415</v>
      </c>
      <c r="AC369">
        <f>HYPERLINK("https://lsnyc.legalserver.org/matter/dynamic-profile/view/1907257","19-1907257")</f>
        <v>0</v>
      </c>
      <c r="AD369" t="s">
        <v>3442</v>
      </c>
      <c r="AE369" t="s">
        <v>3470</v>
      </c>
      <c r="AF369" t="s">
        <v>3624</v>
      </c>
      <c r="AG369" t="s">
        <v>3359</v>
      </c>
      <c r="AH369" t="s">
        <v>4906</v>
      </c>
      <c r="AL369" t="s">
        <v>2117</v>
      </c>
      <c r="AN369" t="s">
        <v>3415</v>
      </c>
      <c r="AO369" t="s">
        <v>3353</v>
      </c>
    </row>
    <row r="370" spans="1:41">
      <c r="A370" s="1" t="s">
        <v>406</v>
      </c>
      <c r="B370" t="s">
        <v>1998</v>
      </c>
      <c r="C370" t="s">
        <v>2004</v>
      </c>
      <c r="D370" t="s">
        <v>2068</v>
      </c>
      <c r="E370" t="s">
        <v>2111</v>
      </c>
      <c r="F370" t="s">
        <v>2117</v>
      </c>
      <c r="G370" t="s">
        <v>2211</v>
      </c>
      <c r="H370">
        <v>10019</v>
      </c>
      <c r="I370" t="s">
        <v>2229</v>
      </c>
      <c r="J370">
        <v>4</v>
      </c>
      <c r="K370">
        <v>2</v>
      </c>
      <c r="L370" t="s">
        <v>2316</v>
      </c>
      <c r="M370" t="s">
        <v>2677</v>
      </c>
      <c r="P370" t="s">
        <v>2779</v>
      </c>
      <c r="Q370" t="s">
        <v>3257</v>
      </c>
      <c r="R370" t="s">
        <v>3259</v>
      </c>
      <c r="S370" t="s">
        <v>3267</v>
      </c>
      <c r="V370" t="s">
        <v>3353</v>
      </c>
      <c r="X370" t="s">
        <v>3354</v>
      </c>
      <c r="Y370" t="s">
        <v>2678</v>
      </c>
      <c r="Z370" t="s">
        <v>3359</v>
      </c>
      <c r="AA370" t="s">
        <v>3406</v>
      </c>
      <c r="AB370" t="s">
        <v>3415</v>
      </c>
      <c r="AC370">
        <f>HYPERLINK("https://lsnyc.legalserver.org/matter/dynamic-profile/view/1907261","19-1907261")</f>
        <v>0</v>
      </c>
      <c r="AD370" t="s">
        <v>3442</v>
      </c>
      <c r="AE370" t="s">
        <v>3470</v>
      </c>
      <c r="AF370" t="s">
        <v>3623</v>
      </c>
      <c r="AG370" t="s">
        <v>3359</v>
      </c>
      <c r="AH370" t="s">
        <v>4906</v>
      </c>
      <c r="AL370" t="s">
        <v>2117</v>
      </c>
      <c r="AN370" t="s">
        <v>3415</v>
      </c>
      <c r="AO370" t="s">
        <v>3353</v>
      </c>
    </row>
    <row r="371" spans="1:41">
      <c r="A371" s="1" t="s">
        <v>407</v>
      </c>
      <c r="B371" t="s">
        <v>1998</v>
      </c>
      <c r="C371" t="s">
        <v>2001</v>
      </c>
      <c r="D371" t="s">
        <v>2037</v>
      </c>
      <c r="E371" t="s">
        <v>2112</v>
      </c>
      <c r="F371" t="s">
        <v>2117</v>
      </c>
      <c r="G371" t="s">
        <v>2211</v>
      </c>
      <c r="H371">
        <v>10022</v>
      </c>
      <c r="I371" t="s">
        <v>2229</v>
      </c>
      <c r="J371">
        <v>4</v>
      </c>
      <c r="K371">
        <v>2</v>
      </c>
      <c r="L371" t="s">
        <v>2316</v>
      </c>
      <c r="M371" t="s">
        <v>2677</v>
      </c>
      <c r="P371" t="s">
        <v>2779</v>
      </c>
      <c r="Q371" t="s">
        <v>3257</v>
      </c>
      <c r="R371" t="s">
        <v>3259</v>
      </c>
      <c r="S371" t="s">
        <v>3267</v>
      </c>
      <c r="V371" t="s">
        <v>3353</v>
      </c>
      <c r="X371" t="s">
        <v>3354</v>
      </c>
      <c r="Y371" t="s">
        <v>2678</v>
      </c>
      <c r="Z371" t="s">
        <v>3359</v>
      </c>
      <c r="AA371" t="s">
        <v>3406</v>
      </c>
      <c r="AB371" t="s">
        <v>3415</v>
      </c>
      <c r="AC371">
        <f>HYPERLINK("https://lsnyc.legalserver.org/matter/dynamic-profile/view/1907270","19-1907270")</f>
        <v>0</v>
      </c>
      <c r="AD371" t="s">
        <v>3442</v>
      </c>
      <c r="AE371" t="s">
        <v>3470</v>
      </c>
      <c r="AF371" t="s">
        <v>3626</v>
      </c>
      <c r="AG371" t="s">
        <v>3359</v>
      </c>
      <c r="AH371" t="s">
        <v>4906</v>
      </c>
      <c r="AL371" t="s">
        <v>2117</v>
      </c>
      <c r="AN371" t="s">
        <v>3415</v>
      </c>
      <c r="AO371" t="s">
        <v>3353</v>
      </c>
    </row>
    <row r="372" spans="1:41">
      <c r="A372" s="1" t="s">
        <v>408</v>
      </c>
      <c r="B372" t="s">
        <v>1998</v>
      </c>
      <c r="C372" t="s">
        <v>2001</v>
      </c>
      <c r="D372" t="s">
        <v>2065</v>
      </c>
      <c r="E372" t="s">
        <v>2112</v>
      </c>
      <c r="F372" t="s">
        <v>2117</v>
      </c>
      <c r="G372" t="s">
        <v>2211</v>
      </c>
      <c r="H372">
        <v>10019</v>
      </c>
      <c r="I372" t="s">
        <v>2229</v>
      </c>
      <c r="J372">
        <v>4</v>
      </c>
      <c r="K372">
        <v>2</v>
      </c>
      <c r="L372" t="s">
        <v>2316</v>
      </c>
      <c r="M372" t="s">
        <v>2677</v>
      </c>
      <c r="P372" t="s">
        <v>2779</v>
      </c>
      <c r="Q372" t="s">
        <v>3257</v>
      </c>
      <c r="R372" t="s">
        <v>3259</v>
      </c>
      <c r="S372" t="s">
        <v>3267</v>
      </c>
      <c r="V372" t="s">
        <v>3353</v>
      </c>
      <c r="X372" t="s">
        <v>3354</v>
      </c>
      <c r="Y372" t="s">
        <v>2678</v>
      </c>
      <c r="Z372" t="s">
        <v>3359</v>
      </c>
      <c r="AA372" t="s">
        <v>3406</v>
      </c>
      <c r="AB372" t="s">
        <v>3415</v>
      </c>
      <c r="AC372">
        <f>HYPERLINK("https://lsnyc.legalserver.org/matter/dynamic-profile/view/1907274","19-1907274")</f>
        <v>0</v>
      </c>
      <c r="AD372" t="s">
        <v>3442</v>
      </c>
      <c r="AE372" t="s">
        <v>3470</v>
      </c>
      <c r="AF372" t="s">
        <v>3625</v>
      </c>
      <c r="AG372" t="s">
        <v>3359</v>
      </c>
      <c r="AH372" t="s">
        <v>4906</v>
      </c>
      <c r="AL372" t="s">
        <v>2117</v>
      </c>
      <c r="AN372" t="s">
        <v>3415</v>
      </c>
      <c r="AO372" t="s">
        <v>3353</v>
      </c>
    </row>
    <row r="373" spans="1:41">
      <c r="A373" s="1" t="s">
        <v>409</v>
      </c>
      <c r="B373" t="s">
        <v>1998</v>
      </c>
      <c r="C373" t="s">
        <v>2009</v>
      </c>
      <c r="D373" t="s">
        <v>2083</v>
      </c>
      <c r="E373" t="s">
        <v>2112</v>
      </c>
      <c r="F373" t="s">
        <v>2116</v>
      </c>
      <c r="G373" t="s">
        <v>2212</v>
      </c>
      <c r="H373">
        <v>11377</v>
      </c>
      <c r="I373" t="s">
        <v>2229</v>
      </c>
      <c r="J373">
        <v>2</v>
      </c>
      <c r="K373">
        <v>1</v>
      </c>
      <c r="L373" t="s">
        <v>2264</v>
      </c>
      <c r="M373" t="s">
        <v>2677</v>
      </c>
      <c r="P373" t="s">
        <v>2748</v>
      </c>
      <c r="Q373" t="s">
        <v>3255</v>
      </c>
      <c r="R373" t="s">
        <v>3259</v>
      </c>
      <c r="S373" t="s">
        <v>3276</v>
      </c>
      <c r="X373" t="s">
        <v>3354</v>
      </c>
      <c r="Y373" t="s">
        <v>2678</v>
      </c>
      <c r="Z373" t="s">
        <v>3373</v>
      </c>
      <c r="AA373" t="s">
        <v>3406</v>
      </c>
      <c r="AB373" t="s">
        <v>3424</v>
      </c>
      <c r="AC373">
        <f>HYPERLINK("https://lsnyc.legalserver.org/matter/dynamic-profile/view/1907299","19-1907299")</f>
        <v>0</v>
      </c>
      <c r="AD373" t="s">
        <v>3443</v>
      </c>
      <c r="AE373" t="s">
        <v>3471</v>
      </c>
      <c r="AF373" t="s">
        <v>3829</v>
      </c>
      <c r="AG373" t="s">
        <v>3373</v>
      </c>
      <c r="AH373" t="s">
        <v>4904</v>
      </c>
      <c r="AL373" t="s">
        <v>2116</v>
      </c>
      <c r="AN373" t="s">
        <v>3424</v>
      </c>
    </row>
    <row r="374" spans="1:41">
      <c r="A374" s="1" t="s">
        <v>410</v>
      </c>
      <c r="B374" t="s">
        <v>2001</v>
      </c>
      <c r="C374" t="s">
        <v>2012</v>
      </c>
      <c r="D374" t="s">
        <v>2027</v>
      </c>
      <c r="E374" t="s">
        <v>2112</v>
      </c>
      <c r="F374" t="s">
        <v>2117</v>
      </c>
      <c r="G374" t="s">
        <v>2213</v>
      </c>
      <c r="H374">
        <v>10454</v>
      </c>
      <c r="J374">
        <v>5</v>
      </c>
      <c r="K374">
        <v>2</v>
      </c>
      <c r="L374" t="s">
        <v>2260</v>
      </c>
      <c r="M374" t="s">
        <v>2677</v>
      </c>
      <c r="P374" t="s">
        <v>2780</v>
      </c>
      <c r="Q374" t="s">
        <v>2113</v>
      </c>
      <c r="R374" t="s">
        <v>3258</v>
      </c>
      <c r="S374" t="s">
        <v>3262</v>
      </c>
      <c r="T374" t="s">
        <v>3294</v>
      </c>
      <c r="V374" t="s">
        <v>3353</v>
      </c>
      <c r="X374" t="s">
        <v>3354</v>
      </c>
      <c r="Y374" t="s">
        <v>2678</v>
      </c>
      <c r="Z374" t="s">
        <v>3355</v>
      </c>
      <c r="AA374" t="s">
        <v>3406</v>
      </c>
      <c r="AB374" t="s">
        <v>3410</v>
      </c>
      <c r="AC374">
        <f>HYPERLINK("https://lsnyc.legalserver.org/matter/dynamic-profile/view/1907141","19-1907141")</f>
        <v>0</v>
      </c>
      <c r="AD374" t="s">
        <v>3444</v>
      </c>
      <c r="AE374" t="s">
        <v>3468</v>
      </c>
      <c r="AF374" t="s">
        <v>3830</v>
      </c>
      <c r="AG374" t="s">
        <v>3355</v>
      </c>
      <c r="AH374" t="s">
        <v>4904</v>
      </c>
      <c r="AL374" t="s">
        <v>2117</v>
      </c>
      <c r="AM374" t="s">
        <v>3294</v>
      </c>
      <c r="AN374" t="s">
        <v>3410</v>
      </c>
      <c r="AO374" t="s">
        <v>3353</v>
      </c>
    </row>
    <row r="375" spans="1:41">
      <c r="A375" s="1" t="s">
        <v>411</v>
      </c>
      <c r="B375" t="s">
        <v>2001</v>
      </c>
      <c r="C375" t="s">
        <v>2016</v>
      </c>
      <c r="D375" t="s">
        <v>2040</v>
      </c>
      <c r="E375" t="s">
        <v>2112</v>
      </c>
      <c r="F375" t="s">
        <v>2117</v>
      </c>
      <c r="G375" t="s">
        <v>2213</v>
      </c>
      <c r="H375">
        <v>10454</v>
      </c>
      <c r="J375">
        <v>5</v>
      </c>
      <c r="K375">
        <v>2</v>
      </c>
      <c r="L375" t="s">
        <v>2260</v>
      </c>
      <c r="M375" t="s">
        <v>2677</v>
      </c>
      <c r="P375" t="s">
        <v>2780</v>
      </c>
      <c r="Q375" t="s">
        <v>2113</v>
      </c>
      <c r="R375" t="s">
        <v>3258</v>
      </c>
      <c r="S375" t="s">
        <v>3262</v>
      </c>
      <c r="T375" t="s">
        <v>3294</v>
      </c>
      <c r="V375" t="s">
        <v>3353</v>
      </c>
      <c r="X375" t="s">
        <v>3354</v>
      </c>
      <c r="Y375" t="s">
        <v>2678</v>
      </c>
      <c r="Z375" t="s">
        <v>3355</v>
      </c>
      <c r="AA375" t="s">
        <v>3406</v>
      </c>
      <c r="AB375" t="s">
        <v>3410</v>
      </c>
      <c r="AC375">
        <f>HYPERLINK("https://lsnyc.legalserver.org/matter/dynamic-profile/view/1907152","19-1907152")</f>
        <v>0</v>
      </c>
      <c r="AD375" t="s">
        <v>3444</v>
      </c>
      <c r="AE375" t="s">
        <v>3468</v>
      </c>
      <c r="AF375" t="s">
        <v>3831</v>
      </c>
      <c r="AG375" t="s">
        <v>3355</v>
      </c>
      <c r="AH375" t="s">
        <v>4904</v>
      </c>
      <c r="AL375" t="s">
        <v>2117</v>
      </c>
      <c r="AM375" t="s">
        <v>3294</v>
      </c>
      <c r="AN375" t="s">
        <v>3410</v>
      </c>
      <c r="AO375" t="s">
        <v>3353</v>
      </c>
    </row>
    <row r="376" spans="1:41">
      <c r="A376" s="1" t="s">
        <v>412</v>
      </c>
      <c r="B376" t="s">
        <v>1998</v>
      </c>
      <c r="C376" t="s">
        <v>2009</v>
      </c>
      <c r="D376" t="s">
        <v>2080</v>
      </c>
      <c r="E376" t="s">
        <v>2112</v>
      </c>
      <c r="F376" t="s">
        <v>2117</v>
      </c>
      <c r="G376" t="s">
        <v>2213</v>
      </c>
      <c r="H376">
        <v>10460</v>
      </c>
      <c r="I376" t="s">
        <v>2229</v>
      </c>
      <c r="J376">
        <v>4</v>
      </c>
      <c r="K376">
        <v>3</v>
      </c>
      <c r="L376" t="s">
        <v>2260</v>
      </c>
      <c r="M376" t="s">
        <v>2677</v>
      </c>
      <c r="P376" t="s">
        <v>2781</v>
      </c>
      <c r="Q376" t="s">
        <v>3257</v>
      </c>
      <c r="R376" t="s">
        <v>3259</v>
      </c>
      <c r="S376" t="s">
        <v>3267</v>
      </c>
      <c r="X376" t="s">
        <v>3354</v>
      </c>
      <c r="Y376" t="s">
        <v>2678</v>
      </c>
      <c r="Z376" t="s">
        <v>3359</v>
      </c>
      <c r="AB376" t="s">
        <v>3415</v>
      </c>
      <c r="AC376">
        <f>HYPERLINK("https://lsnyc.legalserver.org/matter/dynamic-profile/view/1907114","19-1907114")</f>
        <v>0</v>
      </c>
      <c r="AD376" t="s">
        <v>3446</v>
      </c>
      <c r="AE376" t="s">
        <v>3454</v>
      </c>
      <c r="AF376" t="s">
        <v>3832</v>
      </c>
      <c r="AG376" t="s">
        <v>3359</v>
      </c>
      <c r="AL376" t="s">
        <v>2117</v>
      </c>
      <c r="AN376" t="s">
        <v>3415</v>
      </c>
    </row>
    <row r="377" spans="1:41">
      <c r="A377" s="1" t="s">
        <v>413</v>
      </c>
      <c r="B377" t="s">
        <v>2012</v>
      </c>
      <c r="C377" t="s">
        <v>2001</v>
      </c>
      <c r="D377" t="s">
        <v>2070</v>
      </c>
      <c r="E377" t="s">
        <v>2111</v>
      </c>
      <c r="F377" t="s">
        <v>2117</v>
      </c>
      <c r="G377" t="s">
        <v>2212</v>
      </c>
      <c r="H377">
        <v>11345</v>
      </c>
      <c r="I377" t="s">
        <v>2229</v>
      </c>
      <c r="J377">
        <v>2</v>
      </c>
      <c r="K377">
        <v>0</v>
      </c>
      <c r="L377" t="s">
        <v>2285</v>
      </c>
      <c r="M377" t="s">
        <v>2677</v>
      </c>
      <c r="P377" t="s">
        <v>2765</v>
      </c>
      <c r="Q377" t="s">
        <v>3257</v>
      </c>
      <c r="R377" t="s">
        <v>3259</v>
      </c>
      <c r="S377" t="s">
        <v>3264</v>
      </c>
      <c r="X377" t="s">
        <v>3354</v>
      </c>
      <c r="Y377" t="s">
        <v>2677</v>
      </c>
      <c r="Z377" t="s">
        <v>3357</v>
      </c>
      <c r="AA377" t="s">
        <v>3406</v>
      </c>
      <c r="AB377" t="s">
        <v>3412</v>
      </c>
      <c r="AC377">
        <f>HYPERLINK("https://lsnyc.legalserver.org/matter/dynamic-profile/view/1906938","19-1906938")</f>
        <v>0</v>
      </c>
      <c r="AD377" t="s">
        <v>3443</v>
      </c>
      <c r="AE377" t="s">
        <v>3471</v>
      </c>
      <c r="AF377" t="s">
        <v>3833</v>
      </c>
      <c r="AG377" t="s">
        <v>3357</v>
      </c>
      <c r="AH377" t="s">
        <v>4904</v>
      </c>
      <c r="AL377" t="s">
        <v>2117</v>
      </c>
      <c r="AN377" t="s">
        <v>3412</v>
      </c>
    </row>
    <row r="378" spans="1:41">
      <c r="A378" s="1" t="s">
        <v>414</v>
      </c>
      <c r="B378" t="s">
        <v>2016</v>
      </c>
      <c r="C378" t="s">
        <v>2000</v>
      </c>
      <c r="D378" t="s">
        <v>2080</v>
      </c>
      <c r="E378" t="s">
        <v>2112</v>
      </c>
      <c r="F378" t="s">
        <v>2171</v>
      </c>
      <c r="G378" t="s">
        <v>2213</v>
      </c>
      <c r="H378">
        <v>10455</v>
      </c>
      <c r="I378" t="s">
        <v>2230</v>
      </c>
      <c r="J378">
        <v>5</v>
      </c>
      <c r="K378">
        <v>3</v>
      </c>
      <c r="L378" t="s">
        <v>2275</v>
      </c>
      <c r="M378" t="s">
        <v>2677</v>
      </c>
      <c r="P378" t="s">
        <v>2743</v>
      </c>
      <c r="Q378" t="s">
        <v>3255</v>
      </c>
      <c r="R378" t="s">
        <v>3259</v>
      </c>
      <c r="S378" t="s">
        <v>3270</v>
      </c>
      <c r="V378" t="s">
        <v>3352</v>
      </c>
      <c r="X378" t="s">
        <v>3354</v>
      </c>
      <c r="Y378" t="s">
        <v>2678</v>
      </c>
      <c r="Z378" t="s">
        <v>3384</v>
      </c>
      <c r="AA378" t="s">
        <v>3406</v>
      </c>
      <c r="AB378" t="s">
        <v>3418</v>
      </c>
      <c r="AC378">
        <f>HYPERLINK("https://lsnyc.legalserver.org/matter/dynamic-profile/view/1906950","19-1906950")</f>
        <v>0</v>
      </c>
      <c r="AD378" t="s">
        <v>3444</v>
      </c>
      <c r="AE378" t="s">
        <v>3451</v>
      </c>
      <c r="AF378" t="s">
        <v>3834</v>
      </c>
      <c r="AG378" t="s">
        <v>3384</v>
      </c>
      <c r="AH378" t="s">
        <v>4904</v>
      </c>
      <c r="AL378" t="s">
        <v>2171</v>
      </c>
      <c r="AN378" t="s">
        <v>3418</v>
      </c>
      <c r="AO378" t="s">
        <v>3352</v>
      </c>
    </row>
    <row r="379" spans="1:41">
      <c r="A379" s="1" t="s">
        <v>415</v>
      </c>
      <c r="B379" t="s">
        <v>2016</v>
      </c>
      <c r="C379" t="s">
        <v>2000</v>
      </c>
      <c r="D379" t="s">
        <v>2080</v>
      </c>
      <c r="E379" t="s">
        <v>2112</v>
      </c>
      <c r="F379" t="s">
        <v>2171</v>
      </c>
      <c r="G379" t="s">
        <v>2213</v>
      </c>
      <c r="H379">
        <v>10455</v>
      </c>
      <c r="I379" t="s">
        <v>2230</v>
      </c>
      <c r="J379">
        <v>5</v>
      </c>
      <c r="K379">
        <v>3</v>
      </c>
      <c r="L379" t="s">
        <v>2275</v>
      </c>
      <c r="M379" t="s">
        <v>2677</v>
      </c>
      <c r="P379" t="s">
        <v>2743</v>
      </c>
      <c r="Q379" t="s">
        <v>3255</v>
      </c>
      <c r="R379" t="s">
        <v>3259</v>
      </c>
      <c r="S379" t="s">
        <v>3270</v>
      </c>
      <c r="V379" t="s">
        <v>3352</v>
      </c>
      <c r="X379" t="s">
        <v>3354</v>
      </c>
      <c r="Y379" t="s">
        <v>2678</v>
      </c>
      <c r="Z379" t="s">
        <v>3361</v>
      </c>
      <c r="AA379" t="s">
        <v>3406</v>
      </c>
      <c r="AB379" t="s">
        <v>3418</v>
      </c>
      <c r="AC379">
        <f>HYPERLINK("https://lsnyc.legalserver.org/matter/dynamic-profile/view/1906951","19-1906951")</f>
        <v>0</v>
      </c>
      <c r="AD379" t="s">
        <v>3444</v>
      </c>
      <c r="AE379" t="s">
        <v>3451</v>
      </c>
      <c r="AF379" t="s">
        <v>3834</v>
      </c>
      <c r="AG379" t="s">
        <v>3361</v>
      </c>
      <c r="AH379" t="s">
        <v>4904</v>
      </c>
      <c r="AL379" t="s">
        <v>2171</v>
      </c>
      <c r="AN379" t="s">
        <v>3418</v>
      </c>
      <c r="AO379" t="s">
        <v>3352</v>
      </c>
    </row>
    <row r="380" spans="1:41">
      <c r="A380" s="1" t="s">
        <v>416</v>
      </c>
      <c r="B380" t="s">
        <v>2009</v>
      </c>
      <c r="C380" t="s">
        <v>2015</v>
      </c>
      <c r="D380" t="s">
        <v>2068</v>
      </c>
      <c r="E380" t="s">
        <v>2112</v>
      </c>
      <c r="F380" t="s">
        <v>2172</v>
      </c>
      <c r="G380" t="s">
        <v>2211</v>
      </c>
      <c r="H380">
        <v>10029</v>
      </c>
      <c r="I380" t="s">
        <v>2230</v>
      </c>
      <c r="J380">
        <v>1</v>
      </c>
      <c r="K380">
        <v>0</v>
      </c>
      <c r="L380" t="s">
        <v>2260</v>
      </c>
      <c r="M380" t="s">
        <v>2677</v>
      </c>
      <c r="P380" t="s">
        <v>2782</v>
      </c>
      <c r="Q380" t="s">
        <v>3257</v>
      </c>
      <c r="R380" t="s">
        <v>3259</v>
      </c>
      <c r="S380" t="s">
        <v>3268</v>
      </c>
      <c r="X380" t="s">
        <v>3354</v>
      </c>
      <c r="Y380" t="s">
        <v>2678</v>
      </c>
      <c r="Z380" t="s">
        <v>3368</v>
      </c>
      <c r="AB380" t="s">
        <v>3416</v>
      </c>
      <c r="AC380">
        <f>HYPERLINK("https://lsnyc.legalserver.org/matter/dynamic-profile/view/1906811","19-1906811")</f>
        <v>0</v>
      </c>
      <c r="AD380" t="s">
        <v>3442</v>
      </c>
      <c r="AE380" t="s">
        <v>3476</v>
      </c>
      <c r="AF380" t="s">
        <v>3835</v>
      </c>
      <c r="AG380" t="s">
        <v>3368</v>
      </c>
      <c r="AL380" t="s">
        <v>2172</v>
      </c>
      <c r="AN380" t="s">
        <v>3416</v>
      </c>
    </row>
    <row r="381" spans="1:41">
      <c r="A381" s="1" t="s">
        <v>417</v>
      </c>
      <c r="B381" t="s">
        <v>1998</v>
      </c>
      <c r="C381" t="s">
        <v>2017</v>
      </c>
      <c r="D381" t="s">
        <v>2094</v>
      </c>
      <c r="E381" t="s">
        <v>2111</v>
      </c>
      <c r="F381" t="s">
        <v>2122</v>
      </c>
      <c r="G381" t="s">
        <v>2213</v>
      </c>
      <c r="H381">
        <v>10468</v>
      </c>
      <c r="I381" t="s">
        <v>2230</v>
      </c>
      <c r="J381">
        <v>2</v>
      </c>
      <c r="K381">
        <v>0</v>
      </c>
      <c r="L381" t="s">
        <v>2260</v>
      </c>
      <c r="M381" t="s">
        <v>2677</v>
      </c>
      <c r="P381" t="s">
        <v>2782</v>
      </c>
      <c r="Q381" t="s">
        <v>3257</v>
      </c>
      <c r="R381" t="s">
        <v>3258</v>
      </c>
      <c r="S381" t="s">
        <v>3273</v>
      </c>
      <c r="X381" t="s">
        <v>3354</v>
      </c>
      <c r="Y381" t="s">
        <v>2678</v>
      </c>
      <c r="Z381" t="s">
        <v>3370</v>
      </c>
      <c r="AB381" t="s">
        <v>3421</v>
      </c>
      <c r="AC381">
        <f>HYPERLINK("https://lsnyc.legalserver.org/matter/dynamic-profile/view/1906822","19-1906822")</f>
        <v>0</v>
      </c>
      <c r="AD381" t="s">
        <v>3444</v>
      </c>
      <c r="AE381" t="s">
        <v>3474</v>
      </c>
      <c r="AF381" t="s">
        <v>3836</v>
      </c>
      <c r="AG381" t="s">
        <v>3370</v>
      </c>
      <c r="AI381" t="s">
        <v>4909</v>
      </c>
      <c r="AL381" t="s">
        <v>2122</v>
      </c>
      <c r="AN381" t="s">
        <v>3421</v>
      </c>
    </row>
    <row r="382" spans="1:41">
      <c r="A382" s="1" t="s">
        <v>418</v>
      </c>
      <c r="B382" t="s">
        <v>2015</v>
      </c>
      <c r="C382" t="s">
        <v>1998</v>
      </c>
      <c r="D382" t="s">
        <v>2081</v>
      </c>
      <c r="E382" t="s">
        <v>2112</v>
      </c>
      <c r="F382" t="s">
        <v>2146</v>
      </c>
      <c r="G382" t="s">
        <v>2211</v>
      </c>
      <c r="H382">
        <v>10026</v>
      </c>
      <c r="I382" t="s">
        <v>2240</v>
      </c>
      <c r="J382">
        <v>3</v>
      </c>
      <c r="K382">
        <v>2</v>
      </c>
      <c r="L382" t="s">
        <v>2260</v>
      </c>
      <c r="M382" t="s">
        <v>2677</v>
      </c>
      <c r="P382" t="s">
        <v>2782</v>
      </c>
      <c r="Q382" t="s">
        <v>3257</v>
      </c>
      <c r="X382" t="s">
        <v>3354</v>
      </c>
      <c r="Y382" t="s">
        <v>2678</v>
      </c>
      <c r="Z382" t="s">
        <v>3378</v>
      </c>
      <c r="AA382" t="s">
        <v>3407</v>
      </c>
      <c r="AB382" t="s">
        <v>3407</v>
      </c>
      <c r="AC382">
        <f>HYPERLINK("https://lsnyc.legalserver.org/matter/dynamic-profile/view/1906872","19-1906872")</f>
        <v>0</v>
      </c>
      <c r="AD382" t="s">
        <v>3442</v>
      </c>
      <c r="AE382" t="s">
        <v>3460</v>
      </c>
      <c r="AF382" t="s">
        <v>3837</v>
      </c>
      <c r="AG382" t="s">
        <v>3378</v>
      </c>
      <c r="AH382" t="s">
        <v>3407</v>
      </c>
      <c r="AI382" t="s">
        <v>4909</v>
      </c>
      <c r="AL382" t="s">
        <v>2146</v>
      </c>
      <c r="AN382" t="s">
        <v>3407</v>
      </c>
    </row>
    <row r="383" spans="1:41">
      <c r="A383" s="1" t="s">
        <v>419</v>
      </c>
      <c r="B383" t="s">
        <v>2000</v>
      </c>
      <c r="C383" t="s">
        <v>2001</v>
      </c>
      <c r="D383" t="s">
        <v>2049</v>
      </c>
      <c r="E383" t="s">
        <v>2112</v>
      </c>
      <c r="F383" t="s">
        <v>2114</v>
      </c>
      <c r="G383" t="s">
        <v>2213</v>
      </c>
      <c r="H383">
        <v>10456</v>
      </c>
      <c r="I383" t="s">
        <v>2229</v>
      </c>
      <c r="J383">
        <v>4</v>
      </c>
      <c r="K383">
        <v>2</v>
      </c>
      <c r="L383" t="s">
        <v>2377</v>
      </c>
      <c r="M383" t="s">
        <v>2677</v>
      </c>
      <c r="P383" t="s">
        <v>2783</v>
      </c>
      <c r="Q383" t="s">
        <v>3255</v>
      </c>
      <c r="R383" t="s">
        <v>3258</v>
      </c>
      <c r="S383" t="s">
        <v>3262</v>
      </c>
      <c r="V383" t="s">
        <v>3353</v>
      </c>
      <c r="X383" t="s">
        <v>3354</v>
      </c>
      <c r="Y383" t="s">
        <v>2678</v>
      </c>
      <c r="Z383" t="s">
        <v>3355</v>
      </c>
      <c r="AA383" t="s">
        <v>3406</v>
      </c>
      <c r="AB383" t="s">
        <v>3410</v>
      </c>
      <c r="AC383">
        <f>HYPERLINK("https://lsnyc.legalserver.org/matter/dynamic-profile/view/1906655","19-1906655")</f>
        <v>0</v>
      </c>
      <c r="AD383" t="s">
        <v>3444</v>
      </c>
      <c r="AE383" t="s">
        <v>3466</v>
      </c>
      <c r="AF383" t="s">
        <v>3838</v>
      </c>
      <c r="AG383" t="s">
        <v>3355</v>
      </c>
      <c r="AH383" t="s">
        <v>4904</v>
      </c>
      <c r="AL383" t="s">
        <v>2114</v>
      </c>
      <c r="AN383" t="s">
        <v>3410</v>
      </c>
      <c r="AO383" t="s">
        <v>3353</v>
      </c>
    </row>
    <row r="384" spans="1:41">
      <c r="A384" s="1" t="s">
        <v>420</v>
      </c>
      <c r="B384" t="s">
        <v>1998</v>
      </c>
      <c r="C384" t="s">
        <v>2000</v>
      </c>
      <c r="D384" t="s">
        <v>2080</v>
      </c>
      <c r="E384" t="s">
        <v>2111</v>
      </c>
      <c r="F384" t="s">
        <v>2140</v>
      </c>
      <c r="G384" t="s">
        <v>2212</v>
      </c>
      <c r="H384">
        <v>11104</v>
      </c>
      <c r="I384" t="s">
        <v>2245</v>
      </c>
      <c r="J384">
        <v>2</v>
      </c>
      <c r="K384">
        <v>0</v>
      </c>
      <c r="L384" t="s">
        <v>2283</v>
      </c>
      <c r="M384" t="s">
        <v>2677</v>
      </c>
      <c r="P384" t="s">
        <v>2783</v>
      </c>
      <c r="Q384" t="s">
        <v>2113</v>
      </c>
      <c r="R384" t="s">
        <v>3259</v>
      </c>
      <c r="S384" t="s">
        <v>3282</v>
      </c>
      <c r="T384" t="s">
        <v>3294</v>
      </c>
      <c r="U384" t="s">
        <v>2756</v>
      </c>
      <c r="X384" t="s">
        <v>3354</v>
      </c>
      <c r="Y384" t="s">
        <v>2678</v>
      </c>
      <c r="Z384" t="s">
        <v>3382</v>
      </c>
      <c r="AA384" t="s">
        <v>3406</v>
      </c>
      <c r="AB384" t="s">
        <v>3430</v>
      </c>
      <c r="AC384">
        <f>HYPERLINK("https://lsnyc.legalserver.org/matter/dynamic-profile/view/1906997","19-1906997")</f>
        <v>0</v>
      </c>
      <c r="AD384" t="s">
        <v>3443</v>
      </c>
      <c r="AE384" t="s">
        <v>3450</v>
      </c>
      <c r="AF384" t="s">
        <v>3839</v>
      </c>
      <c r="AG384" t="s">
        <v>3382</v>
      </c>
      <c r="AH384" t="s">
        <v>4904</v>
      </c>
      <c r="AI384" t="s">
        <v>4909</v>
      </c>
      <c r="AL384" t="s">
        <v>2140</v>
      </c>
      <c r="AM384" t="s">
        <v>3294</v>
      </c>
      <c r="AN384" t="s">
        <v>3430</v>
      </c>
    </row>
    <row r="385" spans="1:41">
      <c r="A385" s="1" t="s">
        <v>421</v>
      </c>
      <c r="B385" t="s">
        <v>1998</v>
      </c>
      <c r="C385" t="s">
        <v>2002</v>
      </c>
      <c r="D385" t="s">
        <v>2081</v>
      </c>
      <c r="E385" t="s">
        <v>2111</v>
      </c>
      <c r="F385" t="s">
        <v>2120</v>
      </c>
      <c r="G385" t="s">
        <v>2212</v>
      </c>
      <c r="H385">
        <v>11418</v>
      </c>
      <c r="I385" t="s">
        <v>2230</v>
      </c>
      <c r="J385">
        <v>1</v>
      </c>
      <c r="K385">
        <v>0</v>
      </c>
      <c r="L385" t="s">
        <v>2260</v>
      </c>
      <c r="M385" t="s">
        <v>2677</v>
      </c>
      <c r="P385" t="s">
        <v>2784</v>
      </c>
      <c r="Q385" t="s">
        <v>2113</v>
      </c>
      <c r="R385" t="s">
        <v>3259</v>
      </c>
      <c r="S385" t="s">
        <v>3268</v>
      </c>
      <c r="X385" t="s">
        <v>3354</v>
      </c>
      <c r="Y385" t="s">
        <v>2677</v>
      </c>
      <c r="Z385" t="s">
        <v>3368</v>
      </c>
      <c r="AA385" t="s">
        <v>3406</v>
      </c>
      <c r="AB385" t="s">
        <v>3416</v>
      </c>
      <c r="AC385">
        <f>HYPERLINK("https://lsnyc.legalserver.org/matter/dynamic-profile/view/1906494","19-1906494")</f>
        <v>0</v>
      </c>
      <c r="AD385" t="s">
        <v>3445</v>
      </c>
      <c r="AE385" t="s">
        <v>3452</v>
      </c>
      <c r="AF385" t="s">
        <v>3840</v>
      </c>
      <c r="AG385" t="s">
        <v>3368</v>
      </c>
      <c r="AH385" t="s">
        <v>4904</v>
      </c>
      <c r="AL385" t="s">
        <v>2120</v>
      </c>
      <c r="AN385" t="s">
        <v>3416</v>
      </c>
    </row>
    <row r="386" spans="1:41">
      <c r="A386" s="1" t="s">
        <v>422</v>
      </c>
      <c r="B386" t="s">
        <v>2001</v>
      </c>
      <c r="C386" t="s">
        <v>2001</v>
      </c>
      <c r="D386" t="s">
        <v>2066</v>
      </c>
      <c r="E386" t="s">
        <v>2111</v>
      </c>
      <c r="F386" t="s">
        <v>2131</v>
      </c>
      <c r="G386" t="s">
        <v>2214</v>
      </c>
      <c r="H386">
        <v>11233</v>
      </c>
      <c r="I386" t="s">
        <v>2229</v>
      </c>
      <c r="J386">
        <v>1</v>
      </c>
      <c r="K386">
        <v>0</v>
      </c>
      <c r="L386" t="s">
        <v>2378</v>
      </c>
      <c r="M386" t="s">
        <v>2677</v>
      </c>
      <c r="P386" t="s">
        <v>2784</v>
      </c>
      <c r="Q386" t="s">
        <v>2113</v>
      </c>
      <c r="R386" t="s">
        <v>3259</v>
      </c>
      <c r="S386" t="s">
        <v>3268</v>
      </c>
      <c r="T386" t="s">
        <v>3294</v>
      </c>
      <c r="U386" t="s">
        <v>2940</v>
      </c>
      <c r="X386" t="s">
        <v>3354</v>
      </c>
      <c r="Y386" t="s">
        <v>2677</v>
      </c>
      <c r="Z386" t="s">
        <v>3368</v>
      </c>
      <c r="AA386" t="s">
        <v>3406</v>
      </c>
      <c r="AB386" t="s">
        <v>3416</v>
      </c>
      <c r="AC386">
        <f>HYPERLINK("https://lsnyc.legalserver.org/matter/dynamic-profile/view/1906513","19-1906513")</f>
        <v>0</v>
      </c>
      <c r="AD386" t="s">
        <v>3445</v>
      </c>
      <c r="AE386" t="s">
        <v>3452</v>
      </c>
      <c r="AF386" t="s">
        <v>3841</v>
      </c>
      <c r="AG386" t="s">
        <v>3368</v>
      </c>
      <c r="AH386" t="s">
        <v>4904</v>
      </c>
      <c r="AL386" t="s">
        <v>2131</v>
      </c>
      <c r="AM386" t="s">
        <v>3294</v>
      </c>
      <c r="AN386" t="s">
        <v>3416</v>
      </c>
    </row>
    <row r="387" spans="1:41">
      <c r="A387" s="1" t="s">
        <v>423</v>
      </c>
      <c r="B387" t="s">
        <v>1998</v>
      </c>
      <c r="C387" t="s">
        <v>2000</v>
      </c>
      <c r="D387" t="s">
        <v>2034</v>
      </c>
      <c r="E387" t="s">
        <v>2112</v>
      </c>
      <c r="F387" t="s">
        <v>2117</v>
      </c>
      <c r="G387" t="s">
        <v>2211</v>
      </c>
      <c r="H387">
        <v>10031</v>
      </c>
      <c r="I387" t="s">
        <v>2229</v>
      </c>
      <c r="J387">
        <v>1</v>
      </c>
      <c r="K387">
        <v>0</v>
      </c>
      <c r="L387" t="s">
        <v>2260</v>
      </c>
      <c r="M387" t="s">
        <v>2677</v>
      </c>
      <c r="P387" t="s">
        <v>2785</v>
      </c>
      <c r="Q387" t="s">
        <v>3255</v>
      </c>
      <c r="R387" t="s">
        <v>3258</v>
      </c>
      <c r="S387" t="s">
        <v>3262</v>
      </c>
      <c r="T387" t="s">
        <v>3294</v>
      </c>
      <c r="U387" t="s">
        <v>2710</v>
      </c>
      <c r="X387" t="s">
        <v>3354</v>
      </c>
      <c r="Y387" t="s">
        <v>2678</v>
      </c>
      <c r="Z387" t="s">
        <v>3355</v>
      </c>
      <c r="AA387" t="s">
        <v>3406</v>
      </c>
      <c r="AB387" t="s">
        <v>3410</v>
      </c>
      <c r="AC387">
        <f>HYPERLINK("https://lsnyc.legalserver.org/matter/dynamic-profile/view/1906299","19-1906299")</f>
        <v>0</v>
      </c>
      <c r="AD387" t="s">
        <v>3446</v>
      </c>
      <c r="AE387" t="s">
        <v>3465</v>
      </c>
      <c r="AF387" t="s">
        <v>3842</v>
      </c>
      <c r="AG387" t="s">
        <v>3355</v>
      </c>
      <c r="AH387" t="s">
        <v>4904</v>
      </c>
      <c r="AL387" t="s">
        <v>2117</v>
      </c>
      <c r="AM387" t="s">
        <v>3294</v>
      </c>
      <c r="AN387" t="s">
        <v>3410</v>
      </c>
    </row>
    <row r="388" spans="1:41">
      <c r="A388" s="1" t="s">
        <v>424</v>
      </c>
      <c r="B388" t="s">
        <v>1998</v>
      </c>
      <c r="C388" t="s">
        <v>2018</v>
      </c>
      <c r="D388" t="s">
        <v>2027</v>
      </c>
      <c r="E388" t="s">
        <v>2111</v>
      </c>
      <c r="F388" t="s">
        <v>2123</v>
      </c>
      <c r="G388" t="s">
        <v>2211</v>
      </c>
      <c r="H388">
        <v>10029</v>
      </c>
      <c r="I388" t="s">
        <v>2229</v>
      </c>
      <c r="J388">
        <v>5</v>
      </c>
      <c r="K388">
        <v>4</v>
      </c>
      <c r="L388" t="s">
        <v>2379</v>
      </c>
      <c r="M388" t="s">
        <v>2677</v>
      </c>
      <c r="P388" t="s">
        <v>2786</v>
      </c>
      <c r="Q388" t="s">
        <v>2113</v>
      </c>
      <c r="R388" t="s">
        <v>3258</v>
      </c>
      <c r="S388" t="s">
        <v>3269</v>
      </c>
      <c r="X388" t="s">
        <v>3354</v>
      </c>
      <c r="Y388" t="s">
        <v>2678</v>
      </c>
      <c r="Z388" t="s">
        <v>3361</v>
      </c>
      <c r="AA388" t="s">
        <v>3406</v>
      </c>
      <c r="AB388" t="s">
        <v>3417</v>
      </c>
      <c r="AC388">
        <f>HYPERLINK("https://lsnyc.legalserver.org/matter/dynamic-profile/view/1906168","19-1906168")</f>
        <v>0</v>
      </c>
      <c r="AD388" t="s">
        <v>3442</v>
      </c>
      <c r="AE388" t="s">
        <v>3480</v>
      </c>
      <c r="AF388" t="s">
        <v>3843</v>
      </c>
      <c r="AG388" t="s">
        <v>3361</v>
      </c>
      <c r="AH388" t="s">
        <v>4904</v>
      </c>
      <c r="AL388" t="s">
        <v>2123</v>
      </c>
      <c r="AN388" t="s">
        <v>3417</v>
      </c>
    </row>
    <row r="389" spans="1:41">
      <c r="A389" s="1" t="s">
        <v>425</v>
      </c>
      <c r="B389" t="s">
        <v>1998</v>
      </c>
      <c r="C389" t="s">
        <v>2018</v>
      </c>
      <c r="D389" t="s">
        <v>2027</v>
      </c>
      <c r="E389" t="s">
        <v>2111</v>
      </c>
      <c r="F389" t="s">
        <v>2123</v>
      </c>
      <c r="G389" t="s">
        <v>2211</v>
      </c>
      <c r="H389">
        <v>10029</v>
      </c>
      <c r="I389" t="s">
        <v>2229</v>
      </c>
      <c r="J389">
        <v>5</v>
      </c>
      <c r="K389">
        <v>4</v>
      </c>
      <c r="L389" t="s">
        <v>2379</v>
      </c>
      <c r="M389" t="s">
        <v>2677</v>
      </c>
      <c r="P389" t="s">
        <v>2786</v>
      </c>
      <c r="Q389" t="s">
        <v>2113</v>
      </c>
      <c r="R389" t="s">
        <v>3258</v>
      </c>
      <c r="S389" t="s">
        <v>3286</v>
      </c>
      <c r="T389" t="s">
        <v>3294</v>
      </c>
      <c r="U389" t="s">
        <v>3303</v>
      </c>
      <c r="X389" t="s">
        <v>3354</v>
      </c>
      <c r="Y389" t="s">
        <v>2678</v>
      </c>
      <c r="Z389" t="s">
        <v>3388</v>
      </c>
      <c r="AA389" t="s">
        <v>3406</v>
      </c>
      <c r="AB389" t="s">
        <v>3434</v>
      </c>
      <c r="AC389">
        <f>HYPERLINK("https://lsnyc.legalserver.org/matter/dynamic-profile/view/1906172","19-1906172")</f>
        <v>0</v>
      </c>
      <c r="AD389" t="s">
        <v>3442</v>
      </c>
      <c r="AE389" t="s">
        <v>3480</v>
      </c>
      <c r="AF389" t="s">
        <v>3843</v>
      </c>
      <c r="AG389" t="s">
        <v>3388</v>
      </c>
      <c r="AH389" t="s">
        <v>4904</v>
      </c>
      <c r="AL389" t="s">
        <v>2123</v>
      </c>
      <c r="AM389" t="s">
        <v>3294</v>
      </c>
      <c r="AN389" t="s">
        <v>3434</v>
      </c>
    </row>
    <row r="390" spans="1:41">
      <c r="A390" s="1" t="s">
        <v>426</v>
      </c>
      <c r="B390" t="s">
        <v>1998</v>
      </c>
      <c r="C390" t="s">
        <v>1998</v>
      </c>
      <c r="D390" t="s">
        <v>2067</v>
      </c>
      <c r="E390" t="s">
        <v>2112</v>
      </c>
      <c r="F390" t="s">
        <v>2117</v>
      </c>
      <c r="G390" t="s">
        <v>2211</v>
      </c>
      <c r="H390">
        <v>10039</v>
      </c>
      <c r="I390" t="s">
        <v>2230</v>
      </c>
      <c r="J390">
        <v>1</v>
      </c>
      <c r="K390">
        <v>0</v>
      </c>
      <c r="L390" t="s">
        <v>2260</v>
      </c>
      <c r="M390" t="s">
        <v>2677</v>
      </c>
      <c r="P390" t="s">
        <v>2786</v>
      </c>
      <c r="Q390" t="s">
        <v>3255</v>
      </c>
      <c r="R390" t="s">
        <v>3259</v>
      </c>
      <c r="S390" t="s">
        <v>3267</v>
      </c>
      <c r="X390" t="s">
        <v>3354</v>
      </c>
      <c r="Y390" t="s">
        <v>2678</v>
      </c>
      <c r="Z390" t="s">
        <v>3391</v>
      </c>
      <c r="AA390" t="s">
        <v>3406</v>
      </c>
      <c r="AB390" t="s">
        <v>3415</v>
      </c>
      <c r="AC390">
        <f>HYPERLINK("https://lsnyc.legalserver.org/matter/dynamic-profile/view/1906213","19-1906213")</f>
        <v>0</v>
      </c>
      <c r="AD390" t="s">
        <v>3442</v>
      </c>
      <c r="AE390" t="s">
        <v>3460</v>
      </c>
      <c r="AF390" t="s">
        <v>3844</v>
      </c>
      <c r="AG390" t="s">
        <v>3391</v>
      </c>
      <c r="AH390" t="s">
        <v>4906</v>
      </c>
      <c r="AL390" t="s">
        <v>2117</v>
      </c>
      <c r="AN390" t="s">
        <v>3415</v>
      </c>
    </row>
    <row r="391" spans="1:41">
      <c r="A391" s="1" t="s">
        <v>427</v>
      </c>
      <c r="B391" t="s">
        <v>1998</v>
      </c>
      <c r="C391" t="s">
        <v>1998</v>
      </c>
      <c r="D391" t="s">
        <v>2067</v>
      </c>
      <c r="E391" t="s">
        <v>2112</v>
      </c>
      <c r="F391" t="s">
        <v>2117</v>
      </c>
      <c r="G391" t="s">
        <v>2211</v>
      </c>
      <c r="H391">
        <v>10039</v>
      </c>
      <c r="I391" t="s">
        <v>2230</v>
      </c>
      <c r="J391">
        <v>1</v>
      </c>
      <c r="K391">
        <v>0</v>
      </c>
      <c r="L391" t="s">
        <v>2260</v>
      </c>
      <c r="M391" t="s">
        <v>2677</v>
      </c>
      <c r="P391" t="s">
        <v>2786</v>
      </c>
      <c r="Q391" t="s">
        <v>3255</v>
      </c>
      <c r="R391" t="s">
        <v>3259</v>
      </c>
      <c r="S391" t="s">
        <v>3272</v>
      </c>
      <c r="X391" t="s">
        <v>3354</v>
      </c>
      <c r="Y391" t="s">
        <v>2678</v>
      </c>
      <c r="Z391" t="s">
        <v>3364</v>
      </c>
      <c r="AA391" t="s">
        <v>3406</v>
      </c>
      <c r="AB391" t="s">
        <v>3420</v>
      </c>
      <c r="AC391">
        <f>HYPERLINK("https://lsnyc.legalserver.org/matter/dynamic-profile/view/1906214","19-1906214")</f>
        <v>0</v>
      </c>
      <c r="AD391" t="s">
        <v>3442</v>
      </c>
      <c r="AE391" t="s">
        <v>3460</v>
      </c>
      <c r="AF391" t="s">
        <v>3844</v>
      </c>
      <c r="AG391" t="s">
        <v>3364</v>
      </c>
      <c r="AH391" t="s">
        <v>4904</v>
      </c>
      <c r="AL391" t="s">
        <v>2117</v>
      </c>
      <c r="AN391" t="s">
        <v>3420</v>
      </c>
    </row>
    <row r="392" spans="1:41">
      <c r="A392" s="1" t="s">
        <v>428</v>
      </c>
      <c r="B392" t="s">
        <v>1998</v>
      </c>
      <c r="C392" t="s">
        <v>1998</v>
      </c>
      <c r="D392" t="s">
        <v>2067</v>
      </c>
      <c r="E392" t="s">
        <v>2112</v>
      </c>
      <c r="F392" t="s">
        <v>2117</v>
      </c>
      <c r="G392" t="s">
        <v>2211</v>
      </c>
      <c r="H392">
        <v>10039</v>
      </c>
      <c r="I392" t="s">
        <v>2230</v>
      </c>
      <c r="J392">
        <v>1</v>
      </c>
      <c r="K392">
        <v>0</v>
      </c>
      <c r="L392" t="s">
        <v>2260</v>
      </c>
      <c r="M392" t="s">
        <v>2677</v>
      </c>
      <c r="P392" t="s">
        <v>2786</v>
      </c>
      <c r="Q392" t="s">
        <v>3255</v>
      </c>
      <c r="R392" t="s">
        <v>3259</v>
      </c>
      <c r="S392" t="s">
        <v>3275</v>
      </c>
      <c r="X392" t="s">
        <v>3354</v>
      </c>
      <c r="Y392" t="s">
        <v>2678</v>
      </c>
      <c r="Z392" t="s">
        <v>3392</v>
      </c>
      <c r="AA392" t="s">
        <v>3406</v>
      </c>
      <c r="AB392" t="s">
        <v>3423</v>
      </c>
      <c r="AC392">
        <f>HYPERLINK("https://lsnyc.legalserver.org/matter/dynamic-profile/view/1906215","19-1906215")</f>
        <v>0</v>
      </c>
      <c r="AD392" t="s">
        <v>3442</v>
      </c>
      <c r="AE392" t="s">
        <v>3460</v>
      </c>
      <c r="AF392" t="s">
        <v>3844</v>
      </c>
      <c r="AG392" t="s">
        <v>3392</v>
      </c>
      <c r="AH392" t="s">
        <v>4904</v>
      </c>
      <c r="AL392" t="s">
        <v>2117</v>
      </c>
      <c r="AN392" t="s">
        <v>3423</v>
      </c>
    </row>
    <row r="393" spans="1:41">
      <c r="A393" s="1" t="s">
        <v>429</v>
      </c>
      <c r="B393" t="s">
        <v>2000</v>
      </c>
      <c r="C393" t="s">
        <v>1998</v>
      </c>
      <c r="D393" t="s">
        <v>2039</v>
      </c>
      <c r="E393" t="s">
        <v>2112</v>
      </c>
      <c r="F393" t="s">
        <v>2135</v>
      </c>
      <c r="G393" t="s">
        <v>2212</v>
      </c>
      <c r="H393">
        <v>11368</v>
      </c>
      <c r="I393" t="s">
        <v>2229</v>
      </c>
      <c r="J393">
        <v>4</v>
      </c>
      <c r="K393">
        <v>2</v>
      </c>
      <c r="L393" t="s">
        <v>2272</v>
      </c>
      <c r="M393" t="s">
        <v>2677</v>
      </c>
      <c r="P393" t="s">
        <v>2786</v>
      </c>
      <c r="Q393" t="s">
        <v>2113</v>
      </c>
      <c r="R393" t="s">
        <v>3259</v>
      </c>
      <c r="S393" t="s">
        <v>3267</v>
      </c>
      <c r="X393" t="s">
        <v>3354</v>
      </c>
      <c r="Y393" t="s">
        <v>2678</v>
      </c>
      <c r="Z393" t="s">
        <v>3359</v>
      </c>
      <c r="AA393" t="s">
        <v>3406</v>
      </c>
      <c r="AB393" t="s">
        <v>3415</v>
      </c>
      <c r="AC393">
        <f>HYPERLINK("https://lsnyc.legalserver.org/matter/dynamic-profile/view/1906256","19-1906256")</f>
        <v>0</v>
      </c>
      <c r="AD393" t="s">
        <v>3443</v>
      </c>
      <c r="AE393" t="s">
        <v>3471</v>
      </c>
      <c r="AF393" t="s">
        <v>3845</v>
      </c>
      <c r="AG393" t="s">
        <v>3359</v>
      </c>
      <c r="AH393" t="s">
        <v>4906</v>
      </c>
      <c r="AL393" t="s">
        <v>2135</v>
      </c>
      <c r="AN393" t="s">
        <v>3415</v>
      </c>
    </row>
    <row r="394" spans="1:41">
      <c r="A394" s="1" t="s">
        <v>430</v>
      </c>
      <c r="B394" t="s">
        <v>2001</v>
      </c>
      <c r="C394" t="s">
        <v>2016</v>
      </c>
      <c r="D394" t="s">
        <v>2093</v>
      </c>
      <c r="E394" t="s">
        <v>2112</v>
      </c>
      <c r="F394" t="s">
        <v>2123</v>
      </c>
      <c r="G394" t="s">
        <v>2214</v>
      </c>
      <c r="H394">
        <v>11207</v>
      </c>
      <c r="I394" t="s">
        <v>2229</v>
      </c>
      <c r="J394">
        <v>3</v>
      </c>
      <c r="K394">
        <v>1</v>
      </c>
      <c r="L394" t="s">
        <v>2314</v>
      </c>
      <c r="M394" t="s">
        <v>2677</v>
      </c>
      <c r="P394" t="s">
        <v>2787</v>
      </c>
      <c r="Q394" t="s">
        <v>3255</v>
      </c>
      <c r="R394" t="s">
        <v>3258</v>
      </c>
      <c r="S394" t="s">
        <v>3271</v>
      </c>
      <c r="X394" t="s">
        <v>3354</v>
      </c>
      <c r="Y394" t="s">
        <v>2678</v>
      </c>
      <c r="Z394" t="s">
        <v>3362</v>
      </c>
      <c r="AA394" t="s">
        <v>3406</v>
      </c>
      <c r="AB394" t="s">
        <v>3419</v>
      </c>
      <c r="AC394">
        <f>HYPERLINK("https://lsnyc.legalserver.org/matter/dynamic-profile/view/1906305","19-1906305")</f>
        <v>0</v>
      </c>
      <c r="AD394" t="s">
        <v>3443</v>
      </c>
      <c r="AE394" t="s">
        <v>3471</v>
      </c>
      <c r="AF394" t="s">
        <v>3846</v>
      </c>
      <c r="AG394" t="s">
        <v>3362</v>
      </c>
      <c r="AH394" t="s">
        <v>4904</v>
      </c>
      <c r="AL394" t="s">
        <v>2123</v>
      </c>
      <c r="AN394" t="s">
        <v>3419</v>
      </c>
    </row>
    <row r="395" spans="1:41">
      <c r="A395" s="1" t="s">
        <v>431</v>
      </c>
      <c r="B395" t="s">
        <v>1998</v>
      </c>
      <c r="C395" t="s">
        <v>2018</v>
      </c>
      <c r="D395" t="s">
        <v>2027</v>
      </c>
      <c r="E395" t="s">
        <v>2111</v>
      </c>
      <c r="F395" t="s">
        <v>2123</v>
      </c>
      <c r="G395" t="s">
        <v>2211</v>
      </c>
      <c r="H395">
        <v>10029</v>
      </c>
      <c r="I395" t="s">
        <v>2229</v>
      </c>
      <c r="J395">
        <v>5</v>
      </c>
      <c r="K395">
        <v>4</v>
      </c>
      <c r="L395" t="s">
        <v>2379</v>
      </c>
      <c r="M395" t="s">
        <v>2677</v>
      </c>
      <c r="P395" t="s">
        <v>2788</v>
      </c>
      <c r="Q395" t="s">
        <v>2113</v>
      </c>
      <c r="R395" t="s">
        <v>3258</v>
      </c>
      <c r="S395" t="s">
        <v>3262</v>
      </c>
      <c r="T395" t="s">
        <v>3294</v>
      </c>
      <c r="U395" t="s">
        <v>3303</v>
      </c>
      <c r="X395" t="s">
        <v>3354</v>
      </c>
      <c r="Y395" t="s">
        <v>2678</v>
      </c>
      <c r="Z395" t="s">
        <v>3355</v>
      </c>
      <c r="AA395" t="s">
        <v>3406</v>
      </c>
      <c r="AB395" t="s">
        <v>3410</v>
      </c>
      <c r="AC395">
        <f>HYPERLINK("https://lsnyc.legalserver.org/matter/dynamic-profile/view/1906122","19-1906122")</f>
        <v>0</v>
      </c>
      <c r="AD395" t="s">
        <v>3442</v>
      </c>
      <c r="AE395" t="s">
        <v>3480</v>
      </c>
      <c r="AF395" t="s">
        <v>3843</v>
      </c>
      <c r="AG395" t="s">
        <v>3355</v>
      </c>
      <c r="AH395" t="s">
        <v>4904</v>
      </c>
      <c r="AL395" t="s">
        <v>2123</v>
      </c>
      <c r="AM395" t="s">
        <v>3294</v>
      </c>
      <c r="AN395" t="s">
        <v>3410</v>
      </c>
    </row>
    <row r="396" spans="1:41">
      <c r="A396" s="1" t="s">
        <v>432</v>
      </c>
      <c r="B396" t="s">
        <v>2000</v>
      </c>
      <c r="C396" t="s">
        <v>1998</v>
      </c>
      <c r="D396" t="s">
        <v>2076</v>
      </c>
      <c r="E396" t="s">
        <v>2111</v>
      </c>
      <c r="F396" t="s">
        <v>2123</v>
      </c>
      <c r="G396" t="s">
        <v>2213</v>
      </c>
      <c r="H396">
        <v>10462</v>
      </c>
      <c r="I396" t="s">
        <v>2229</v>
      </c>
      <c r="J396">
        <v>1</v>
      </c>
      <c r="K396">
        <v>0</v>
      </c>
      <c r="L396" t="s">
        <v>2380</v>
      </c>
      <c r="M396" t="s">
        <v>2677</v>
      </c>
      <c r="P396" t="s">
        <v>2736</v>
      </c>
      <c r="Q396" t="s">
        <v>2113</v>
      </c>
      <c r="R396" t="s">
        <v>3259</v>
      </c>
      <c r="S396" t="s">
        <v>3268</v>
      </c>
      <c r="V396" t="s">
        <v>3352</v>
      </c>
      <c r="X396" t="s">
        <v>3354</v>
      </c>
      <c r="Y396" t="s">
        <v>2677</v>
      </c>
      <c r="Z396" t="s">
        <v>3368</v>
      </c>
      <c r="AA396" t="s">
        <v>3406</v>
      </c>
      <c r="AB396" t="s">
        <v>3416</v>
      </c>
      <c r="AC396">
        <f>HYPERLINK("https://lsnyc.legalserver.org/matter/dynamic-profile/view/1905997","19-1905997")</f>
        <v>0</v>
      </c>
      <c r="AD396" t="s">
        <v>3445</v>
      </c>
      <c r="AE396" t="s">
        <v>3455</v>
      </c>
      <c r="AF396" t="s">
        <v>3847</v>
      </c>
      <c r="AG396" t="s">
        <v>3368</v>
      </c>
      <c r="AH396" t="s">
        <v>4904</v>
      </c>
      <c r="AL396" t="s">
        <v>2123</v>
      </c>
      <c r="AN396" t="s">
        <v>3416</v>
      </c>
      <c r="AO396" t="s">
        <v>3352</v>
      </c>
    </row>
    <row r="397" spans="1:41">
      <c r="A397" s="1" t="s">
        <v>433</v>
      </c>
      <c r="B397" t="s">
        <v>2005</v>
      </c>
      <c r="C397" t="s">
        <v>2016</v>
      </c>
      <c r="D397" t="s">
        <v>2028</v>
      </c>
      <c r="E397" t="s">
        <v>2112</v>
      </c>
      <c r="G397" t="s">
        <v>2216</v>
      </c>
      <c r="H397">
        <v>10303</v>
      </c>
      <c r="I397" t="s">
        <v>2233</v>
      </c>
      <c r="J397">
        <v>4</v>
      </c>
      <c r="K397">
        <v>1</v>
      </c>
      <c r="L397" t="s">
        <v>2260</v>
      </c>
      <c r="M397" t="s">
        <v>2677</v>
      </c>
      <c r="P397" t="s">
        <v>2789</v>
      </c>
      <c r="Q397" t="s">
        <v>3255</v>
      </c>
      <c r="R397" t="s">
        <v>3259</v>
      </c>
      <c r="S397" t="s">
        <v>3282</v>
      </c>
      <c r="X397" t="s">
        <v>3354</v>
      </c>
      <c r="Y397" t="s">
        <v>2678</v>
      </c>
      <c r="Z397" t="s">
        <v>3393</v>
      </c>
      <c r="AA397" t="s">
        <v>3406</v>
      </c>
      <c r="AB397" t="s">
        <v>3430</v>
      </c>
      <c r="AC397">
        <f>HYPERLINK("https://lsnyc.legalserver.org/matter/dynamic-profile/view/1905966","19-1905966")</f>
        <v>0</v>
      </c>
      <c r="AD397" t="s">
        <v>3447</v>
      </c>
      <c r="AE397" t="s">
        <v>3478</v>
      </c>
      <c r="AF397" t="s">
        <v>3848</v>
      </c>
      <c r="AG397" t="s">
        <v>3393</v>
      </c>
      <c r="AH397" t="s">
        <v>4904</v>
      </c>
      <c r="AI397" t="s">
        <v>4909</v>
      </c>
      <c r="AN397" t="s">
        <v>3430</v>
      </c>
    </row>
    <row r="398" spans="1:41">
      <c r="A398" s="1" t="s">
        <v>434</v>
      </c>
      <c r="B398" t="s">
        <v>2016</v>
      </c>
      <c r="C398" t="s">
        <v>2005</v>
      </c>
      <c r="D398" t="s">
        <v>2080</v>
      </c>
      <c r="E398" t="s">
        <v>2111</v>
      </c>
      <c r="F398" t="s">
        <v>2120</v>
      </c>
      <c r="G398" t="s">
        <v>2214</v>
      </c>
      <c r="H398">
        <v>11207</v>
      </c>
      <c r="I398" t="s">
        <v>2230</v>
      </c>
      <c r="J398">
        <v>1</v>
      </c>
      <c r="K398">
        <v>0</v>
      </c>
      <c r="L398" t="s">
        <v>2260</v>
      </c>
      <c r="M398" t="s">
        <v>2677</v>
      </c>
      <c r="P398" t="s">
        <v>2790</v>
      </c>
      <c r="Q398" t="s">
        <v>2113</v>
      </c>
      <c r="R398" t="s">
        <v>3259</v>
      </c>
      <c r="S398" t="s">
        <v>3268</v>
      </c>
      <c r="X398" t="s">
        <v>3354</v>
      </c>
      <c r="Y398" t="s">
        <v>2677</v>
      </c>
      <c r="Z398" t="s">
        <v>3368</v>
      </c>
      <c r="AA398" t="s">
        <v>3406</v>
      </c>
      <c r="AB398" t="s">
        <v>3416</v>
      </c>
      <c r="AC398">
        <f>HYPERLINK("https://lsnyc.legalserver.org/matter/dynamic-profile/view/1905823","19-1905823")</f>
        <v>0</v>
      </c>
      <c r="AD398" t="s">
        <v>3445</v>
      </c>
      <c r="AE398" t="s">
        <v>3452</v>
      </c>
      <c r="AF398" t="s">
        <v>3849</v>
      </c>
      <c r="AG398" t="s">
        <v>3368</v>
      </c>
      <c r="AH398" t="s">
        <v>4904</v>
      </c>
      <c r="AL398" t="s">
        <v>2120</v>
      </c>
      <c r="AN398" t="s">
        <v>3416</v>
      </c>
    </row>
    <row r="399" spans="1:41">
      <c r="A399" s="1" t="s">
        <v>435</v>
      </c>
      <c r="B399" t="s">
        <v>2015</v>
      </c>
      <c r="C399" t="s">
        <v>2009</v>
      </c>
      <c r="D399" t="s">
        <v>2084</v>
      </c>
      <c r="E399" t="s">
        <v>2112</v>
      </c>
      <c r="F399" t="s">
        <v>2144</v>
      </c>
      <c r="G399" t="s">
        <v>2211</v>
      </c>
      <c r="H399">
        <v>10027</v>
      </c>
      <c r="I399" t="s">
        <v>2230</v>
      </c>
      <c r="J399">
        <v>1</v>
      </c>
      <c r="K399">
        <v>0</v>
      </c>
      <c r="L399" t="s">
        <v>2260</v>
      </c>
      <c r="M399" t="s">
        <v>2677</v>
      </c>
      <c r="P399" t="s">
        <v>2790</v>
      </c>
      <c r="Q399" t="s">
        <v>2113</v>
      </c>
      <c r="R399" t="s">
        <v>3259</v>
      </c>
      <c r="S399" t="s">
        <v>3268</v>
      </c>
      <c r="X399" t="s">
        <v>3354</v>
      </c>
      <c r="Y399" t="s">
        <v>2677</v>
      </c>
      <c r="Z399" t="s">
        <v>3368</v>
      </c>
      <c r="AA399" t="s">
        <v>3406</v>
      </c>
      <c r="AB399" t="s">
        <v>3416</v>
      </c>
      <c r="AC399">
        <f>HYPERLINK("https://lsnyc.legalserver.org/matter/dynamic-profile/view/1905854","19-1905854")</f>
        <v>0</v>
      </c>
      <c r="AD399" t="s">
        <v>3445</v>
      </c>
      <c r="AE399" t="s">
        <v>3455</v>
      </c>
      <c r="AF399" t="s">
        <v>3850</v>
      </c>
      <c r="AG399" t="s">
        <v>3368</v>
      </c>
      <c r="AH399" t="s">
        <v>4904</v>
      </c>
      <c r="AL399" t="s">
        <v>2144</v>
      </c>
      <c r="AN399" t="s">
        <v>3416</v>
      </c>
    </row>
    <row r="400" spans="1:41">
      <c r="A400" s="1" t="s">
        <v>436</v>
      </c>
      <c r="B400" t="s">
        <v>2017</v>
      </c>
      <c r="C400" t="s">
        <v>2000</v>
      </c>
      <c r="D400" t="s">
        <v>2034</v>
      </c>
      <c r="E400" t="s">
        <v>2112</v>
      </c>
      <c r="F400" t="s">
        <v>2114</v>
      </c>
      <c r="G400" t="s">
        <v>2212</v>
      </c>
      <c r="H400">
        <v>11358</v>
      </c>
      <c r="I400" t="s">
        <v>2229</v>
      </c>
      <c r="J400">
        <v>3</v>
      </c>
      <c r="K400">
        <v>2</v>
      </c>
      <c r="L400" t="s">
        <v>2306</v>
      </c>
      <c r="M400" t="s">
        <v>2677</v>
      </c>
      <c r="P400" t="s">
        <v>2790</v>
      </c>
      <c r="Q400" t="s">
        <v>3255</v>
      </c>
      <c r="R400" t="s">
        <v>3260</v>
      </c>
      <c r="S400" t="s">
        <v>3266</v>
      </c>
      <c r="X400" t="s">
        <v>3354</v>
      </c>
      <c r="Y400" t="s">
        <v>2678</v>
      </c>
      <c r="AB400" t="s">
        <v>3414</v>
      </c>
      <c r="AC400">
        <f>HYPERLINK("https://lsnyc.legalserver.org/matter/dynamic-profile/view/1905876","19-1905876")</f>
        <v>0</v>
      </c>
      <c r="AD400" t="s">
        <v>3443</v>
      </c>
      <c r="AE400" t="s">
        <v>3482</v>
      </c>
      <c r="AF400" t="s">
        <v>3851</v>
      </c>
      <c r="AI400" t="s">
        <v>4909</v>
      </c>
      <c r="AL400" t="s">
        <v>2114</v>
      </c>
      <c r="AN400" t="s">
        <v>3414</v>
      </c>
    </row>
    <row r="401" spans="1:41">
      <c r="A401" s="1" t="s">
        <v>437</v>
      </c>
      <c r="B401" t="s">
        <v>1998</v>
      </c>
      <c r="C401" t="s">
        <v>2001</v>
      </c>
      <c r="D401" t="s">
        <v>2052</v>
      </c>
      <c r="E401" t="s">
        <v>2111</v>
      </c>
      <c r="G401" t="s">
        <v>2212</v>
      </c>
      <c r="H401">
        <v>11358</v>
      </c>
      <c r="I401" t="s">
        <v>2229</v>
      </c>
      <c r="J401">
        <v>3</v>
      </c>
      <c r="K401">
        <v>2</v>
      </c>
      <c r="L401" t="s">
        <v>2306</v>
      </c>
      <c r="M401" t="s">
        <v>2677</v>
      </c>
      <c r="P401" t="s">
        <v>2790</v>
      </c>
      <c r="Q401" t="s">
        <v>3255</v>
      </c>
      <c r="R401" t="s">
        <v>3260</v>
      </c>
      <c r="S401" t="s">
        <v>3266</v>
      </c>
      <c r="X401" t="s">
        <v>3354</v>
      </c>
      <c r="Y401" t="s">
        <v>2678</v>
      </c>
      <c r="AB401" t="s">
        <v>3414</v>
      </c>
      <c r="AC401">
        <f>HYPERLINK("https://lsnyc.legalserver.org/matter/dynamic-profile/view/1905882","19-1905882")</f>
        <v>0</v>
      </c>
      <c r="AD401" t="s">
        <v>3443</v>
      </c>
      <c r="AE401" t="s">
        <v>3482</v>
      </c>
      <c r="AF401" t="s">
        <v>3852</v>
      </c>
      <c r="AI401" t="s">
        <v>4909</v>
      </c>
      <c r="AN401" t="s">
        <v>3414</v>
      </c>
    </row>
    <row r="402" spans="1:41">
      <c r="A402" s="1" t="s">
        <v>438</v>
      </c>
      <c r="B402" t="s">
        <v>1998</v>
      </c>
      <c r="C402" t="s">
        <v>2004</v>
      </c>
      <c r="D402" t="s">
        <v>2051</v>
      </c>
      <c r="E402" t="s">
        <v>2112</v>
      </c>
      <c r="F402" t="s">
        <v>2117</v>
      </c>
      <c r="G402" t="s">
        <v>2213</v>
      </c>
      <c r="H402">
        <v>10451</v>
      </c>
      <c r="I402" t="s">
        <v>2229</v>
      </c>
      <c r="J402">
        <v>4</v>
      </c>
      <c r="K402">
        <v>3</v>
      </c>
      <c r="L402" t="s">
        <v>2381</v>
      </c>
      <c r="M402" t="s">
        <v>2677</v>
      </c>
      <c r="P402" t="s">
        <v>2790</v>
      </c>
      <c r="Q402" t="s">
        <v>3255</v>
      </c>
      <c r="R402" t="s">
        <v>3258</v>
      </c>
      <c r="S402" t="s">
        <v>3262</v>
      </c>
      <c r="V402" t="s">
        <v>3353</v>
      </c>
      <c r="X402" t="s">
        <v>3354</v>
      </c>
      <c r="Y402" t="s">
        <v>2678</v>
      </c>
      <c r="Z402" t="s">
        <v>3355</v>
      </c>
      <c r="AA402" t="s">
        <v>3406</v>
      </c>
      <c r="AB402" t="s">
        <v>3410</v>
      </c>
      <c r="AC402">
        <f>HYPERLINK("https://lsnyc.legalserver.org/matter/dynamic-profile/view/1905890","19-1905890")</f>
        <v>0</v>
      </c>
      <c r="AD402" t="s">
        <v>3444</v>
      </c>
      <c r="AE402" t="s">
        <v>3466</v>
      </c>
      <c r="AF402" t="s">
        <v>3853</v>
      </c>
      <c r="AG402" t="s">
        <v>3355</v>
      </c>
      <c r="AH402" t="s">
        <v>4904</v>
      </c>
      <c r="AL402" t="s">
        <v>2117</v>
      </c>
      <c r="AN402" t="s">
        <v>3410</v>
      </c>
      <c r="AO402" t="s">
        <v>3353</v>
      </c>
    </row>
    <row r="403" spans="1:41">
      <c r="A403" s="1" t="s">
        <v>439</v>
      </c>
      <c r="B403" t="s">
        <v>2018</v>
      </c>
      <c r="C403" t="s">
        <v>2001</v>
      </c>
      <c r="D403" t="s">
        <v>2031</v>
      </c>
      <c r="E403" t="s">
        <v>2112</v>
      </c>
      <c r="F403" t="s">
        <v>2117</v>
      </c>
      <c r="G403" t="s">
        <v>2212</v>
      </c>
      <c r="H403">
        <v>11436</v>
      </c>
      <c r="I403" t="s">
        <v>2229</v>
      </c>
      <c r="J403">
        <v>3</v>
      </c>
      <c r="K403">
        <v>2</v>
      </c>
      <c r="L403" t="s">
        <v>2272</v>
      </c>
      <c r="M403" t="s">
        <v>2677</v>
      </c>
      <c r="P403" t="s">
        <v>2790</v>
      </c>
      <c r="Q403" t="s">
        <v>2113</v>
      </c>
      <c r="R403" t="s">
        <v>3261</v>
      </c>
      <c r="S403" t="s">
        <v>3283</v>
      </c>
      <c r="X403" t="s">
        <v>3354</v>
      </c>
      <c r="Y403" t="s">
        <v>2678</v>
      </c>
      <c r="AA403" t="s">
        <v>3408</v>
      </c>
      <c r="AB403" t="s">
        <v>3431</v>
      </c>
      <c r="AC403">
        <f>HYPERLINK("https://lsnyc.legalserver.org/matter/dynamic-profile/view/1905895","19-1905895")</f>
        <v>0</v>
      </c>
      <c r="AD403" t="s">
        <v>3443</v>
      </c>
      <c r="AE403" t="s">
        <v>3482</v>
      </c>
      <c r="AF403" t="s">
        <v>3854</v>
      </c>
      <c r="AH403" t="s">
        <v>3408</v>
      </c>
      <c r="AL403" t="s">
        <v>2117</v>
      </c>
      <c r="AN403" t="s">
        <v>3431</v>
      </c>
    </row>
    <row r="404" spans="1:41">
      <c r="A404" s="1" t="s">
        <v>440</v>
      </c>
      <c r="B404" t="s">
        <v>2000</v>
      </c>
      <c r="C404" t="s">
        <v>2020</v>
      </c>
      <c r="D404" t="s">
        <v>2036</v>
      </c>
      <c r="E404" t="s">
        <v>2111</v>
      </c>
      <c r="F404" t="s">
        <v>2117</v>
      </c>
      <c r="G404" t="s">
        <v>2212</v>
      </c>
      <c r="H404">
        <v>11436</v>
      </c>
      <c r="I404" t="s">
        <v>2229</v>
      </c>
      <c r="J404">
        <v>3</v>
      </c>
      <c r="K404">
        <v>2</v>
      </c>
      <c r="L404" t="s">
        <v>2272</v>
      </c>
      <c r="M404" t="s">
        <v>2677</v>
      </c>
      <c r="P404" t="s">
        <v>2790</v>
      </c>
      <c r="Q404" t="s">
        <v>2113</v>
      </c>
      <c r="R404" t="s">
        <v>3260</v>
      </c>
      <c r="S404" t="s">
        <v>3266</v>
      </c>
      <c r="X404" t="s">
        <v>3354</v>
      </c>
      <c r="Y404" t="s">
        <v>2678</v>
      </c>
      <c r="AB404" t="s">
        <v>3414</v>
      </c>
      <c r="AC404">
        <f>HYPERLINK("https://lsnyc.legalserver.org/matter/dynamic-profile/view/1905896","19-1905896")</f>
        <v>0</v>
      </c>
      <c r="AD404" t="s">
        <v>3443</v>
      </c>
      <c r="AE404" t="s">
        <v>3482</v>
      </c>
      <c r="AF404" t="s">
        <v>3855</v>
      </c>
      <c r="AI404" t="s">
        <v>4909</v>
      </c>
      <c r="AL404" t="s">
        <v>2117</v>
      </c>
      <c r="AN404" t="s">
        <v>3414</v>
      </c>
    </row>
    <row r="405" spans="1:41">
      <c r="A405" s="1" t="s">
        <v>441</v>
      </c>
      <c r="B405" t="s">
        <v>2018</v>
      </c>
      <c r="C405" t="s">
        <v>1998</v>
      </c>
      <c r="D405" t="s">
        <v>2037</v>
      </c>
      <c r="E405" t="s">
        <v>2111</v>
      </c>
      <c r="F405" t="s">
        <v>2117</v>
      </c>
      <c r="G405" t="s">
        <v>2212</v>
      </c>
      <c r="H405">
        <v>11436</v>
      </c>
      <c r="I405" t="s">
        <v>2229</v>
      </c>
      <c r="J405">
        <v>3</v>
      </c>
      <c r="K405">
        <v>2</v>
      </c>
      <c r="L405" t="s">
        <v>2382</v>
      </c>
      <c r="M405" t="s">
        <v>2677</v>
      </c>
      <c r="P405" t="s">
        <v>2790</v>
      </c>
      <c r="Q405" t="s">
        <v>2113</v>
      </c>
      <c r="R405" t="s">
        <v>3260</v>
      </c>
      <c r="S405" t="s">
        <v>3266</v>
      </c>
      <c r="X405" t="s">
        <v>3354</v>
      </c>
      <c r="Y405" t="s">
        <v>2678</v>
      </c>
      <c r="AB405" t="s">
        <v>3414</v>
      </c>
      <c r="AC405">
        <f>HYPERLINK("https://lsnyc.legalserver.org/matter/dynamic-profile/view/1905897","19-1905897")</f>
        <v>0</v>
      </c>
      <c r="AD405" t="s">
        <v>3443</v>
      </c>
      <c r="AE405" t="s">
        <v>3482</v>
      </c>
      <c r="AF405" t="s">
        <v>3856</v>
      </c>
      <c r="AI405" t="s">
        <v>4909</v>
      </c>
      <c r="AL405" t="s">
        <v>2117</v>
      </c>
      <c r="AN405" t="s">
        <v>3414</v>
      </c>
    </row>
    <row r="406" spans="1:41">
      <c r="A406" s="1" t="s">
        <v>442</v>
      </c>
      <c r="B406" t="s">
        <v>1998</v>
      </c>
      <c r="C406" t="s">
        <v>1998</v>
      </c>
      <c r="D406" t="s">
        <v>2067</v>
      </c>
      <c r="E406" t="s">
        <v>2112</v>
      </c>
      <c r="F406" t="s">
        <v>2117</v>
      </c>
      <c r="G406" t="s">
        <v>2211</v>
      </c>
      <c r="H406">
        <v>10039</v>
      </c>
      <c r="I406" t="s">
        <v>2230</v>
      </c>
      <c r="J406">
        <v>1</v>
      </c>
      <c r="K406">
        <v>0</v>
      </c>
      <c r="L406" t="s">
        <v>2260</v>
      </c>
      <c r="M406" t="s">
        <v>2677</v>
      </c>
      <c r="P406" t="s">
        <v>2791</v>
      </c>
      <c r="Q406" t="s">
        <v>2113</v>
      </c>
      <c r="R406" t="s">
        <v>3259</v>
      </c>
      <c r="S406" t="s">
        <v>3267</v>
      </c>
      <c r="X406" t="s">
        <v>3354</v>
      </c>
      <c r="Y406" t="s">
        <v>2678</v>
      </c>
      <c r="Z406" t="s">
        <v>3359</v>
      </c>
      <c r="AA406" t="s">
        <v>3406</v>
      </c>
      <c r="AB406" t="s">
        <v>3415</v>
      </c>
      <c r="AC406">
        <f>HYPERLINK("https://lsnyc.legalserver.org/matter/dynamic-profile/view/1905651","19-1905651")</f>
        <v>0</v>
      </c>
      <c r="AD406" t="s">
        <v>3442</v>
      </c>
      <c r="AE406" t="s">
        <v>3460</v>
      </c>
      <c r="AF406" t="s">
        <v>3844</v>
      </c>
      <c r="AG406" t="s">
        <v>3359</v>
      </c>
      <c r="AH406" t="s">
        <v>4906</v>
      </c>
      <c r="AL406" t="s">
        <v>2117</v>
      </c>
      <c r="AN406" t="s">
        <v>3415</v>
      </c>
    </row>
    <row r="407" spans="1:41">
      <c r="A407" s="1" t="s">
        <v>443</v>
      </c>
      <c r="B407" t="s">
        <v>2001</v>
      </c>
      <c r="C407" t="s">
        <v>2012</v>
      </c>
      <c r="D407" t="s">
        <v>2078</v>
      </c>
      <c r="E407" t="s">
        <v>2112</v>
      </c>
      <c r="F407" t="s">
        <v>2117</v>
      </c>
      <c r="G407" t="s">
        <v>2213</v>
      </c>
      <c r="H407">
        <v>10455</v>
      </c>
      <c r="I407" t="s">
        <v>2229</v>
      </c>
      <c r="J407">
        <v>2</v>
      </c>
      <c r="K407">
        <v>1</v>
      </c>
      <c r="L407" t="s">
        <v>2260</v>
      </c>
      <c r="M407" t="s">
        <v>2677</v>
      </c>
      <c r="P407" t="s">
        <v>2791</v>
      </c>
      <c r="Q407" t="s">
        <v>3255</v>
      </c>
      <c r="R407" t="s">
        <v>3258</v>
      </c>
      <c r="S407" t="s">
        <v>3262</v>
      </c>
      <c r="V407" t="s">
        <v>3353</v>
      </c>
      <c r="X407" t="s">
        <v>3354</v>
      </c>
      <c r="Y407" t="s">
        <v>2678</v>
      </c>
      <c r="Z407" t="s">
        <v>3355</v>
      </c>
      <c r="AA407" t="s">
        <v>3406</v>
      </c>
      <c r="AB407" t="s">
        <v>3410</v>
      </c>
      <c r="AC407">
        <f>HYPERLINK("https://lsnyc.legalserver.org/matter/dynamic-profile/view/1905680","19-1905680")</f>
        <v>0</v>
      </c>
      <c r="AD407" t="s">
        <v>3444</v>
      </c>
      <c r="AE407" t="s">
        <v>3466</v>
      </c>
      <c r="AF407" t="s">
        <v>3857</v>
      </c>
      <c r="AG407" t="s">
        <v>3355</v>
      </c>
      <c r="AH407" t="s">
        <v>4904</v>
      </c>
      <c r="AL407" t="s">
        <v>2117</v>
      </c>
      <c r="AN407" t="s">
        <v>3410</v>
      </c>
      <c r="AO407" t="s">
        <v>3353</v>
      </c>
    </row>
    <row r="408" spans="1:41">
      <c r="A408" s="1" t="s">
        <v>444</v>
      </c>
      <c r="B408" t="s">
        <v>2009</v>
      </c>
      <c r="C408" t="s">
        <v>2001</v>
      </c>
      <c r="D408" t="s">
        <v>2088</v>
      </c>
      <c r="E408" t="s">
        <v>2112</v>
      </c>
      <c r="F408" t="s">
        <v>2117</v>
      </c>
      <c r="G408" t="s">
        <v>2211</v>
      </c>
      <c r="H408">
        <v>10027</v>
      </c>
      <c r="I408" t="s">
        <v>2229</v>
      </c>
      <c r="J408">
        <v>3</v>
      </c>
      <c r="K408">
        <v>2</v>
      </c>
      <c r="L408" t="s">
        <v>2260</v>
      </c>
      <c r="M408" t="s">
        <v>2677</v>
      </c>
      <c r="P408" t="s">
        <v>2791</v>
      </c>
      <c r="Q408" t="s">
        <v>2113</v>
      </c>
      <c r="R408" t="s">
        <v>3258</v>
      </c>
      <c r="S408" t="s">
        <v>3262</v>
      </c>
      <c r="T408" t="s">
        <v>3296</v>
      </c>
      <c r="V408" t="s">
        <v>3353</v>
      </c>
      <c r="X408" t="s">
        <v>3354</v>
      </c>
      <c r="Y408" t="s">
        <v>2678</v>
      </c>
      <c r="Z408" t="s">
        <v>3355</v>
      </c>
      <c r="AA408" t="s">
        <v>3406</v>
      </c>
      <c r="AB408" t="s">
        <v>3410</v>
      </c>
      <c r="AC408">
        <f>HYPERLINK("https://lsnyc.legalserver.org/matter/dynamic-profile/view/1905702","19-1905702")</f>
        <v>0</v>
      </c>
      <c r="AD408" t="s">
        <v>3444</v>
      </c>
      <c r="AE408" t="s">
        <v>3468</v>
      </c>
      <c r="AF408" t="s">
        <v>3858</v>
      </c>
      <c r="AG408" t="s">
        <v>3355</v>
      </c>
      <c r="AH408" t="s">
        <v>4904</v>
      </c>
      <c r="AL408" t="s">
        <v>2117</v>
      </c>
      <c r="AM408" t="s">
        <v>3296</v>
      </c>
      <c r="AN408" t="s">
        <v>3410</v>
      </c>
      <c r="AO408" t="s">
        <v>3353</v>
      </c>
    </row>
    <row r="409" spans="1:41">
      <c r="A409" s="1" t="s">
        <v>445</v>
      </c>
      <c r="B409" t="s">
        <v>2001</v>
      </c>
      <c r="C409" t="s">
        <v>1998</v>
      </c>
      <c r="D409" t="s">
        <v>2051</v>
      </c>
      <c r="E409" t="s">
        <v>2112</v>
      </c>
      <c r="F409" t="s">
        <v>2117</v>
      </c>
      <c r="G409" t="s">
        <v>2213</v>
      </c>
      <c r="H409">
        <v>10455</v>
      </c>
      <c r="I409" t="s">
        <v>2229</v>
      </c>
      <c r="J409">
        <v>4</v>
      </c>
      <c r="K409">
        <v>3</v>
      </c>
      <c r="L409" t="s">
        <v>2260</v>
      </c>
      <c r="M409" t="s">
        <v>2677</v>
      </c>
      <c r="P409" t="s">
        <v>2792</v>
      </c>
      <c r="Q409" t="s">
        <v>3255</v>
      </c>
      <c r="R409" t="s">
        <v>3258</v>
      </c>
      <c r="S409" t="s">
        <v>3262</v>
      </c>
      <c r="V409" t="s">
        <v>3353</v>
      </c>
      <c r="X409" t="s">
        <v>3354</v>
      </c>
      <c r="Y409" t="s">
        <v>2678</v>
      </c>
      <c r="Z409" t="s">
        <v>3355</v>
      </c>
      <c r="AA409" t="s">
        <v>3406</v>
      </c>
      <c r="AB409" t="s">
        <v>3410</v>
      </c>
      <c r="AC409">
        <f>HYPERLINK("https://lsnyc.legalserver.org/matter/dynamic-profile/view/1905529","19-1905529")</f>
        <v>0</v>
      </c>
      <c r="AD409" t="s">
        <v>3444</v>
      </c>
      <c r="AE409" t="s">
        <v>3466</v>
      </c>
      <c r="AF409" t="s">
        <v>3859</v>
      </c>
      <c r="AG409" t="s">
        <v>3355</v>
      </c>
      <c r="AH409" t="s">
        <v>4904</v>
      </c>
      <c r="AL409" t="s">
        <v>2117</v>
      </c>
      <c r="AN409" t="s">
        <v>3410</v>
      </c>
      <c r="AO409" t="s">
        <v>3353</v>
      </c>
    </row>
    <row r="410" spans="1:41">
      <c r="A410" s="1" t="s">
        <v>446</v>
      </c>
      <c r="B410" t="s">
        <v>1998</v>
      </c>
      <c r="C410" t="s">
        <v>1998</v>
      </c>
      <c r="D410" t="s">
        <v>2037</v>
      </c>
      <c r="E410" t="s">
        <v>2112</v>
      </c>
      <c r="F410" t="s">
        <v>2120</v>
      </c>
      <c r="G410" t="s">
        <v>2214</v>
      </c>
      <c r="H410">
        <v>11203</v>
      </c>
      <c r="I410" t="s">
        <v>2230</v>
      </c>
      <c r="J410">
        <v>2</v>
      </c>
      <c r="K410">
        <v>1</v>
      </c>
      <c r="L410" t="s">
        <v>2383</v>
      </c>
      <c r="M410" t="s">
        <v>2677</v>
      </c>
      <c r="P410" t="s">
        <v>2792</v>
      </c>
      <c r="Q410" t="s">
        <v>2113</v>
      </c>
      <c r="R410" t="s">
        <v>3258</v>
      </c>
      <c r="S410" t="s">
        <v>3271</v>
      </c>
      <c r="X410" t="s">
        <v>3354</v>
      </c>
      <c r="Y410" t="s">
        <v>2677</v>
      </c>
      <c r="Z410" t="s">
        <v>3369</v>
      </c>
      <c r="AB410" t="s">
        <v>3419</v>
      </c>
      <c r="AC410">
        <f>HYPERLINK("https://lsnyc.legalserver.org/matter/dynamic-profile/view/1905619","19-1905619")</f>
        <v>0</v>
      </c>
      <c r="AD410" t="s">
        <v>3445</v>
      </c>
      <c r="AE410" t="s">
        <v>3455</v>
      </c>
      <c r="AF410" t="s">
        <v>3860</v>
      </c>
      <c r="AG410" t="s">
        <v>3369</v>
      </c>
      <c r="AI410" t="s">
        <v>4909</v>
      </c>
      <c r="AL410" t="s">
        <v>2120</v>
      </c>
      <c r="AN410" t="s">
        <v>3419</v>
      </c>
    </row>
    <row r="411" spans="1:41">
      <c r="A411" s="1" t="s">
        <v>447</v>
      </c>
      <c r="B411" t="s">
        <v>1998</v>
      </c>
      <c r="C411" t="s">
        <v>1998</v>
      </c>
      <c r="D411" t="s">
        <v>2029</v>
      </c>
      <c r="E411" t="s">
        <v>2112</v>
      </c>
      <c r="F411" t="s">
        <v>2117</v>
      </c>
      <c r="G411" t="s">
        <v>2213</v>
      </c>
      <c r="H411">
        <v>10452</v>
      </c>
      <c r="I411" t="s">
        <v>2229</v>
      </c>
      <c r="J411">
        <v>3</v>
      </c>
      <c r="K411">
        <v>2</v>
      </c>
      <c r="L411" t="s">
        <v>2260</v>
      </c>
      <c r="M411" t="s">
        <v>2677</v>
      </c>
      <c r="P411" t="s">
        <v>2792</v>
      </c>
      <c r="Q411" t="s">
        <v>3255</v>
      </c>
      <c r="R411" t="s">
        <v>3258</v>
      </c>
      <c r="S411" t="s">
        <v>3262</v>
      </c>
      <c r="V411" t="s">
        <v>3353</v>
      </c>
      <c r="X411" t="s">
        <v>3354</v>
      </c>
      <c r="Y411" t="s">
        <v>2678</v>
      </c>
      <c r="Z411" t="s">
        <v>3355</v>
      </c>
      <c r="AA411" t="s">
        <v>3406</v>
      </c>
      <c r="AB411" t="s">
        <v>3410</v>
      </c>
      <c r="AC411">
        <f>HYPERLINK("https://lsnyc.legalserver.org/matter/dynamic-profile/view/1905622","19-1905622")</f>
        <v>0</v>
      </c>
      <c r="AD411" t="s">
        <v>3444</v>
      </c>
      <c r="AE411" t="s">
        <v>3466</v>
      </c>
      <c r="AF411" t="s">
        <v>3861</v>
      </c>
      <c r="AG411" t="s">
        <v>3355</v>
      </c>
      <c r="AH411" t="s">
        <v>4904</v>
      </c>
      <c r="AL411" t="s">
        <v>2117</v>
      </c>
      <c r="AN411" t="s">
        <v>3410</v>
      </c>
      <c r="AO411" t="s">
        <v>3353</v>
      </c>
    </row>
    <row r="412" spans="1:41">
      <c r="A412" s="1" t="s">
        <v>448</v>
      </c>
      <c r="B412" t="s">
        <v>2002</v>
      </c>
      <c r="C412" t="s">
        <v>2016</v>
      </c>
      <c r="D412" t="s">
        <v>2069</v>
      </c>
      <c r="E412" t="s">
        <v>2112</v>
      </c>
      <c r="F412" t="s">
        <v>2114</v>
      </c>
      <c r="G412" t="s">
        <v>2212</v>
      </c>
      <c r="H412">
        <v>11420</v>
      </c>
      <c r="I412" t="s">
        <v>2229</v>
      </c>
      <c r="J412">
        <v>2</v>
      </c>
      <c r="K412">
        <v>0</v>
      </c>
      <c r="L412" t="s">
        <v>2304</v>
      </c>
      <c r="M412" t="s">
        <v>2677</v>
      </c>
      <c r="P412" t="s">
        <v>2792</v>
      </c>
      <c r="Q412" t="s">
        <v>3255</v>
      </c>
      <c r="R412" t="s">
        <v>3258</v>
      </c>
      <c r="S412" t="s">
        <v>3262</v>
      </c>
      <c r="T412" t="s">
        <v>3298</v>
      </c>
      <c r="U412" t="s">
        <v>2762</v>
      </c>
      <c r="X412" t="s">
        <v>3354</v>
      </c>
      <c r="Y412" t="s">
        <v>2678</v>
      </c>
      <c r="Z412" t="s">
        <v>3355</v>
      </c>
      <c r="AA412" t="s">
        <v>3406</v>
      </c>
      <c r="AB412" t="s">
        <v>3410</v>
      </c>
      <c r="AC412">
        <f>HYPERLINK("https://lsnyc.legalserver.org/matter/dynamic-profile/view/1905628","19-1905628")</f>
        <v>0</v>
      </c>
      <c r="AD412" t="s">
        <v>3443</v>
      </c>
      <c r="AE412" t="s">
        <v>3457</v>
      </c>
      <c r="AF412" t="s">
        <v>3702</v>
      </c>
      <c r="AG412" t="s">
        <v>3355</v>
      </c>
      <c r="AH412" t="s">
        <v>4904</v>
      </c>
      <c r="AL412" t="s">
        <v>2114</v>
      </c>
      <c r="AM412" t="s">
        <v>3298</v>
      </c>
      <c r="AN412" t="s">
        <v>3410</v>
      </c>
    </row>
    <row r="413" spans="1:41">
      <c r="A413" s="1" t="s">
        <v>449</v>
      </c>
      <c r="B413" t="s">
        <v>2002</v>
      </c>
      <c r="C413" t="s">
        <v>2016</v>
      </c>
      <c r="D413" t="s">
        <v>2069</v>
      </c>
      <c r="E413" t="s">
        <v>2112</v>
      </c>
      <c r="F413" t="s">
        <v>2114</v>
      </c>
      <c r="G413" t="s">
        <v>2212</v>
      </c>
      <c r="H413">
        <v>11420</v>
      </c>
      <c r="I413" t="s">
        <v>2229</v>
      </c>
      <c r="J413">
        <v>2</v>
      </c>
      <c r="K413">
        <v>0</v>
      </c>
      <c r="L413" t="s">
        <v>2304</v>
      </c>
      <c r="M413" t="s">
        <v>2677</v>
      </c>
      <c r="P413" t="s">
        <v>2792</v>
      </c>
      <c r="Q413" t="s">
        <v>3255</v>
      </c>
      <c r="R413" t="s">
        <v>3259</v>
      </c>
      <c r="S413" t="s">
        <v>3275</v>
      </c>
      <c r="V413" t="s">
        <v>3353</v>
      </c>
      <c r="X413" t="s">
        <v>3354</v>
      </c>
      <c r="Y413" t="s">
        <v>2678</v>
      </c>
      <c r="Z413" t="s">
        <v>3392</v>
      </c>
      <c r="AA413" t="s">
        <v>3406</v>
      </c>
      <c r="AB413" t="s">
        <v>3423</v>
      </c>
      <c r="AC413">
        <f>HYPERLINK("https://lsnyc.legalserver.org/matter/dynamic-profile/view/1905629","19-1905629")</f>
        <v>0</v>
      </c>
      <c r="AD413" t="s">
        <v>3443</v>
      </c>
      <c r="AE413" t="s">
        <v>3457</v>
      </c>
      <c r="AF413" t="s">
        <v>3702</v>
      </c>
      <c r="AG413" t="s">
        <v>3392</v>
      </c>
      <c r="AH413" t="s">
        <v>4906</v>
      </c>
      <c r="AL413" t="s">
        <v>2114</v>
      </c>
      <c r="AN413" t="s">
        <v>3423</v>
      </c>
      <c r="AO413" t="s">
        <v>3353</v>
      </c>
    </row>
    <row r="414" spans="1:41">
      <c r="A414" s="1" t="s">
        <v>450</v>
      </c>
      <c r="B414" t="s">
        <v>2021</v>
      </c>
      <c r="C414" t="s">
        <v>1998</v>
      </c>
      <c r="D414" t="s">
        <v>2055</v>
      </c>
      <c r="E414" t="s">
        <v>2112</v>
      </c>
      <c r="F414" t="s">
        <v>2120</v>
      </c>
      <c r="G414" t="s">
        <v>2214</v>
      </c>
      <c r="H414">
        <v>11212</v>
      </c>
      <c r="I414" t="s">
        <v>2230</v>
      </c>
      <c r="J414">
        <v>1</v>
      </c>
      <c r="K414">
        <v>0</v>
      </c>
      <c r="L414" t="s">
        <v>2384</v>
      </c>
      <c r="M414" t="s">
        <v>2677</v>
      </c>
      <c r="P414" t="s">
        <v>2793</v>
      </c>
      <c r="Q414" t="s">
        <v>2113</v>
      </c>
      <c r="R414" t="s">
        <v>3258</v>
      </c>
      <c r="S414" t="s">
        <v>3262</v>
      </c>
      <c r="T414" t="s">
        <v>3294</v>
      </c>
      <c r="U414" t="s">
        <v>2789</v>
      </c>
      <c r="X414" t="s">
        <v>3354</v>
      </c>
      <c r="Y414" t="s">
        <v>2678</v>
      </c>
      <c r="Z414" t="s">
        <v>3355</v>
      </c>
      <c r="AA414" t="s">
        <v>3406</v>
      </c>
      <c r="AB414" t="s">
        <v>3410</v>
      </c>
      <c r="AC414">
        <f>HYPERLINK("https://lsnyc.legalserver.org/matter/dynamic-profile/view/1905351","19-1905351")</f>
        <v>0</v>
      </c>
      <c r="AD414" t="s">
        <v>3443</v>
      </c>
      <c r="AE414" t="s">
        <v>3457</v>
      </c>
      <c r="AF414" t="s">
        <v>3862</v>
      </c>
      <c r="AG414" t="s">
        <v>3355</v>
      </c>
      <c r="AH414" t="s">
        <v>4904</v>
      </c>
      <c r="AL414" t="s">
        <v>2120</v>
      </c>
      <c r="AM414" t="s">
        <v>3294</v>
      </c>
      <c r="AN414" t="s">
        <v>3410</v>
      </c>
    </row>
    <row r="415" spans="1:41">
      <c r="A415" s="1" t="s">
        <v>451</v>
      </c>
      <c r="B415" t="s">
        <v>2001</v>
      </c>
      <c r="C415" t="s">
        <v>1998</v>
      </c>
      <c r="D415" t="s">
        <v>2054</v>
      </c>
      <c r="E415" t="s">
        <v>2112</v>
      </c>
      <c r="G415" t="s">
        <v>2213</v>
      </c>
      <c r="H415">
        <v>10456</v>
      </c>
      <c r="I415" t="s">
        <v>2229</v>
      </c>
      <c r="J415">
        <v>2</v>
      </c>
      <c r="K415">
        <v>1</v>
      </c>
      <c r="L415" t="s">
        <v>2385</v>
      </c>
      <c r="M415" t="s">
        <v>2677</v>
      </c>
      <c r="P415" t="s">
        <v>2794</v>
      </c>
      <c r="Q415" t="s">
        <v>3255</v>
      </c>
      <c r="R415" t="s">
        <v>3259</v>
      </c>
      <c r="S415" t="s">
        <v>3272</v>
      </c>
      <c r="X415" t="s">
        <v>3354</v>
      </c>
      <c r="Y415" t="s">
        <v>2678</v>
      </c>
      <c r="Z415" t="s">
        <v>3364</v>
      </c>
      <c r="AA415" t="s">
        <v>3406</v>
      </c>
      <c r="AB415" t="s">
        <v>3420</v>
      </c>
      <c r="AC415">
        <f>HYPERLINK("https://lsnyc.legalserver.org/matter/dynamic-profile/view/1905263","19-1905263")</f>
        <v>0</v>
      </c>
      <c r="AD415" t="s">
        <v>3442</v>
      </c>
      <c r="AE415" t="s">
        <v>3460</v>
      </c>
      <c r="AF415" t="s">
        <v>3863</v>
      </c>
      <c r="AG415" t="s">
        <v>3364</v>
      </c>
      <c r="AH415" t="s">
        <v>4904</v>
      </c>
      <c r="AN415" t="s">
        <v>3420</v>
      </c>
    </row>
    <row r="416" spans="1:41">
      <c r="A416" s="1" t="s">
        <v>452</v>
      </c>
      <c r="B416" t="s">
        <v>2009</v>
      </c>
      <c r="C416" t="s">
        <v>1998</v>
      </c>
      <c r="D416" t="s">
        <v>2093</v>
      </c>
      <c r="E416" t="s">
        <v>2112</v>
      </c>
      <c r="F416" t="s">
        <v>2117</v>
      </c>
      <c r="G416" t="s">
        <v>2212</v>
      </c>
      <c r="H416">
        <v>11432</v>
      </c>
      <c r="I416" t="s">
        <v>2229</v>
      </c>
      <c r="J416">
        <v>5</v>
      </c>
      <c r="K416">
        <v>3</v>
      </c>
      <c r="L416" t="s">
        <v>2366</v>
      </c>
      <c r="M416" t="s">
        <v>2677</v>
      </c>
      <c r="P416" t="s">
        <v>2795</v>
      </c>
      <c r="Q416" t="s">
        <v>2113</v>
      </c>
      <c r="R416" t="s">
        <v>3259</v>
      </c>
      <c r="S416" t="s">
        <v>3267</v>
      </c>
      <c r="V416" t="s">
        <v>3353</v>
      </c>
      <c r="X416" t="s">
        <v>3354</v>
      </c>
      <c r="Y416" t="s">
        <v>2678</v>
      </c>
      <c r="Z416" t="s">
        <v>3359</v>
      </c>
      <c r="AA416" t="s">
        <v>3406</v>
      </c>
      <c r="AB416" t="s">
        <v>3415</v>
      </c>
      <c r="AC416">
        <f>HYPERLINK("https://lsnyc.legalserver.org/matter/dynamic-profile/view/1905390","19-1905390")</f>
        <v>0</v>
      </c>
      <c r="AD416" t="s">
        <v>3443</v>
      </c>
      <c r="AE416" t="s">
        <v>3450</v>
      </c>
      <c r="AF416" t="s">
        <v>3864</v>
      </c>
      <c r="AG416" t="s">
        <v>3359</v>
      </c>
      <c r="AH416" t="s">
        <v>4906</v>
      </c>
      <c r="AL416" t="s">
        <v>2117</v>
      </c>
      <c r="AN416" t="s">
        <v>3415</v>
      </c>
      <c r="AO416" t="s">
        <v>3353</v>
      </c>
    </row>
    <row r="417" spans="1:41">
      <c r="A417" s="1" t="s">
        <v>453</v>
      </c>
      <c r="B417" t="s">
        <v>2002</v>
      </c>
      <c r="C417" t="s">
        <v>1998</v>
      </c>
      <c r="D417" t="s">
        <v>2064</v>
      </c>
      <c r="E417" t="s">
        <v>2112</v>
      </c>
      <c r="F417" t="s">
        <v>2117</v>
      </c>
      <c r="G417" t="s">
        <v>2212</v>
      </c>
      <c r="H417">
        <v>11432</v>
      </c>
      <c r="I417" t="s">
        <v>2229</v>
      </c>
      <c r="J417">
        <v>5</v>
      </c>
      <c r="K417">
        <v>3</v>
      </c>
      <c r="L417" t="s">
        <v>2366</v>
      </c>
      <c r="M417" t="s">
        <v>2677</v>
      </c>
      <c r="P417" t="s">
        <v>2794</v>
      </c>
      <c r="Q417" t="s">
        <v>2113</v>
      </c>
      <c r="R417" t="s">
        <v>3259</v>
      </c>
      <c r="S417" t="s">
        <v>3267</v>
      </c>
      <c r="X417" t="s">
        <v>3354</v>
      </c>
      <c r="Y417" t="s">
        <v>2678</v>
      </c>
      <c r="Z417" t="s">
        <v>3359</v>
      </c>
      <c r="AA417" t="s">
        <v>3406</v>
      </c>
      <c r="AB417" t="s">
        <v>3415</v>
      </c>
      <c r="AC417">
        <f>HYPERLINK("https://lsnyc.legalserver.org/matter/dynamic-profile/view/1905409","19-1905409")</f>
        <v>0</v>
      </c>
      <c r="AD417" t="s">
        <v>3443</v>
      </c>
      <c r="AE417" t="s">
        <v>3450</v>
      </c>
      <c r="AF417" t="s">
        <v>3865</v>
      </c>
      <c r="AG417" t="s">
        <v>3359</v>
      </c>
      <c r="AH417" t="s">
        <v>4906</v>
      </c>
      <c r="AL417" t="s">
        <v>2117</v>
      </c>
      <c r="AN417" t="s">
        <v>3415</v>
      </c>
    </row>
    <row r="418" spans="1:41">
      <c r="A418" s="1" t="s">
        <v>454</v>
      </c>
      <c r="B418" t="s">
        <v>2002</v>
      </c>
      <c r="C418" t="s">
        <v>2000</v>
      </c>
      <c r="D418" t="s">
        <v>2061</v>
      </c>
      <c r="E418" t="s">
        <v>2111</v>
      </c>
      <c r="F418" t="s">
        <v>2117</v>
      </c>
      <c r="G418" t="s">
        <v>2212</v>
      </c>
      <c r="H418">
        <v>11432</v>
      </c>
      <c r="I418" t="s">
        <v>2229</v>
      </c>
      <c r="J418">
        <v>5</v>
      </c>
      <c r="K418">
        <v>3</v>
      </c>
      <c r="L418" t="s">
        <v>2366</v>
      </c>
      <c r="M418" t="s">
        <v>2677</v>
      </c>
      <c r="P418" t="s">
        <v>2794</v>
      </c>
      <c r="Q418" t="s">
        <v>2113</v>
      </c>
      <c r="R418" t="s">
        <v>3259</v>
      </c>
      <c r="S418" t="s">
        <v>3267</v>
      </c>
      <c r="X418" t="s">
        <v>3354</v>
      </c>
      <c r="Y418" t="s">
        <v>2678</v>
      </c>
      <c r="Z418" t="s">
        <v>3359</v>
      </c>
      <c r="AA418" t="s">
        <v>3406</v>
      </c>
      <c r="AB418" t="s">
        <v>3415</v>
      </c>
      <c r="AC418">
        <f>HYPERLINK("https://lsnyc.legalserver.org/matter/dynamic-profile/view/1905519","19-1905519")</f>
        <v>0</v>
      </c>
      <c r="AD418" t="s">
        <v>3443</v>
      </c>
      <c r="AE418" t="s">
        <v>3450</v>
      </c>
      <c r="AF418" t="s">
        <v>3866</v>
      </c>
      <c r="AG418" t="s">
        <v>3359</v>
      </c>
      <c r="AH418" t="s">
        <v>4906</v>
      </c>
      <c r="AL418" t="s">
        <v>2117</v>
      </c>
      <c r="AN418" t="s">
        <v>3415</v>
      </c>
    </row>
    <row r="419" spans="1:41">
      <c r="A419" s="1" t="s">
        <v>455</v>
      </c>
      <c r="B419" t="s">
        <v>1998</v>
      </c>
      <c r="C419" t="s">
        <v>2000</v>
      </c>
      <c r="D419" t="s">
        <v>2084</v>
      </c>
      <c r="E419" t="s">
        <v>2112</v>
      </c>
      <c r="F419" t="s">
        <v>2115</v>
      </c>
      <c r="G419" t="s">
        <v>2213</v>
      </c>
      <c r="H419">
        <v>10454</v>
      </c>
      <c r="I419" t="s">
        <v>2229</v>
      </c>
      <c r="J419">
        <v>3</v>
      </c>
      <c r="K419">
        <v>1</v>
      </c>
      <c r="L419" t="s">
        <v>2297</v>
      </c>
      <c r="M419" t="s">
        <v>2677</v>
      </c>
      <c r="P419" t="s">
        <v>2796</v>
      </c>
      <c r="Q419" t="s">
        <v>3255</v>
      </c>
      <c r="R419" t="s">
        <v>3258</v>
      </c>
      <c r="S419" t="s">
        <v>3262</v>
      </c>
      <c r="V419" t="s">
        <v>3353</v>
      </c>
      <c r="X419" t="s">
        <v>3354</v>
      </c>
      <c r="Y419" t="s">
        <v>2678</v>
      </c>
      <c r="Z419" t="s">
        <v>3355</v>
      </c>
      <c r="AA419" t="s">
        <v>3406</v>
      </c>
      <c r="AB419" t="s">
        <v>3410</v>
      </c>
      <c r="AC419">
        <f>HYPERLINK("https://lsnyc.legalserver.org/matter/dynamic-profile/view/1905032","19-1905032")</f>
        <v>0</v>
      </c>
      <c r="AD419" t="s">
        <v>3444</v>
      </c>
      <c r="AE419" t="s">
        <v>3466</v>
      </c>
      <c r="AF419" t="s">
        <v>3867</v>
      </c>
      <c r="AG419" t="s">
        <v>3355</v>
      </c>
      <c r="AH419" t="s">
        <v>4904</v>
      </c>
      <c r="AL419" t="s">
        <v>2115</v>
      </c>
      <c r="AN419" t="s">
        <v>3410</v>
      </c>
      <c r="AO419" t="s">
        <v>3353</v>
      </c>
    </row>
    <row r="420" spans="1:41">
      <c r="A420" s="1" t="s">
        <v>456</v>
      </c>
      <c r="B420" t="s">
        <v>2012</v>
      </c>
      <c r="C420" t="s">
        <v>2004</v>
      </c>
      <c r="D420" t="s">
        <v>2091</v>
      </c>
      <c r="E420" t="s">
        <v>2112</v>
      </c>
      <c r="F420" t="s">
        <v>2120</v>
      </c>
      <c r="G420" t="s">
        <v>2211</v>
      </c>
      <c r="H420">
        <v>10039</v>
      </c>
      <c r="I420" t="s">
        <v>2230</v>
      </c>
      <c r="J420">
        <v>3</v>
      </c>
      <c r="K420">
        <v>2</v>
      </c>
      <c r="L420" t="s">
        <v>2260</v>
      </c>
      <c r="M420" t="s">
        <v>2677</v>
      </c>
      <c r="P420" t="s">
        <v>2796</v>
      </c>
      <c r="Q420" t="s">
        <v>2113</v>
      </c>
      <c r="R420" t="s">
        <v>3258</v>
      </c>
      <c r="S420" t="s">
        <v>3271</v>
      </c>
      <c r="T420" t="s">
        <v>3294</v>
      </c>
      <c r="U420" t="s">
        <v>2789</v>
      </c>
      <c r="X420" t="s">
        <v>3354</v>
      </c>
      <c r="Y420" t="s">
        <v>2678</v>
      </c>
      <c r="Z420" t="s">
        <v>3369</v>
      </c>
      <c r="AA420" t="s">
        <v>3406</v>
      </c>
      <c r="AB420" t="s">
        <v>3419</v>
      </c>
      <c r="AC420">
        <f>HYPERLINK("https://lsnyc.legalserver.org/matter/dynamic-profile/view/1905100","19-1905100")</f>
        <v>0</v>
      </c>
      <c r="AD420" t="s">
        <v>3442</v>
      </c>
      <c r="AE420" t="s">
        <v>3460</v>
      </c>
      <c r="AF420" t="s">
        <v>3868</v>
      </c>
      <c r="AG420" t="s">
        <v>3369</v>
      </c>
      <c r="AH420" t="s">
        <v>4904</v>
      </c>
      <c r="AL420" t="s">
        <v>2120</v>
      </c>
      <c r="AM420" t="s">
        <v>3294</v>
      </c>
      <c r="AN420" t="s">
        <v>3419</v>
      </c>
    </row>
    <row r="421" spans="1:41">
      <c r="A421" s="1" t="s">
        <v>457</v>
      </c>
      <c r="B421" t="s">
        <v>2012</v>
      </c>
      <c r="C421" t="s">
        <v>1998</v>
      </c>
      <c r="D421" t="s">
        <v>2037</v>
      </c>
      <c r="E421" t="s">
        <v>2111</v>
      </c>
      <c r="F421" t="s">
        <v>2120</v>
      </c>
      <c r="G421" t="s">
        <v>2211</v>
      </c>
      <c r="H421">
        <v>10039</v>
      </c>
      <c r="I421" t="s">
        <v>2230</v>
      </c>
      <c r="J421">
        <v>3</v>
      </c>
      <c r="K421">
        <v>2</v>
      </c>
      <c r="L421" t="s">
        <v>2260</v>
      </c>
      <c r="M421" t="s">
        <v>2677</v>
      </c>
      <c r="P421" t="s">
        <v>2796</v>
      </c>
      <c r="Q421" t="s">
        <v>2113</v>
      </c>
      <c r="R421" t="s">
        <v>3258</v>
      </c>
      <c r="S421" t="s">
        <v>3271</v>
      </c>
      <c r="T421" t="s">
        <v>3294</v>
      </c>
      <c r="U421" t="s">
        <v>2789</v>
      </c>
      <c r="X421" t="s">
        <v>3354</v>
      </c>
      <c r="Y421" t="s">
        <v>2678</v>
      </c>
      <c r="Z421" t="s">
        <v>3369</v>
      </c>
      <c r="AA421" t="s">
        <v>3406</v>
      </c>
      <c r="AB421" t="s">
        <v>3419</v>
      </c>
      <c r="AC421">
        <f>HYPERLINK("https://lsnyc.legalserver.org/matter/dynamic-profile/view/1905102","19-1905102")</f>
        <v>0</v>
      </c>
      <c r="AD421" t="s">
        <v>3442</v>
      </c>
      <c r="AE421" t="s">
        <v>3460</v>
      </c>
      <c r="AF421" t="s">
        <v>3869</v>
      </c>
      <c r="AG421" t="s">
        <v>3369</v>
      </c>
      <c r="AH421" t="s">
        <v>4904</v>
      </c>
      <c r="AL421" t="s">
        <v>2120</v>
      </c>
      <c r="AM421" t="s">
        <v>3294</v>
      </c>
      <c r="AN421" t="s">
        <v>3419</v>
      </c>
    </row>
    <row r="422" spans="1:41">
      <c r="A422" s="1" t="s">
        <v>458</v>
      </c>
      <c r="B422" t="s">
        <v>1998</v>
      </c>
      <c r="C422" t="s">
        <v>2017</v>
      </c>
      <c r="D422" t="s">
        <v>2074</v>
      </c>
      <c r="E422" t="s">
        <v>2112</v>
      </c>
      <c r="F422" t="s">
        <v>2123</v>
      </c>
      <c r="G422" t="s">
        <v>2213</v>
      </c>
      <c r="H422">
        <v>10453</v>
      </c>
      <c r="I422" t="s">
        <v>2229</v>
      </c>
      <c r="J422">
        <v>2</v>
      </c>
      <c r="K422">
        <v>0</v>
      </c>
      <c r="L422" t="s">
        <v>2260</v>
      </c>
      <c r="M422" t="s">
        <v>2677</v>
      </c>
      <c r="P422" t="s">
        <v>2796</v>
      </c>
      <c r="Q422" t="s">
        <v>3255</v>
      </c>
      <c r="R422" t="s">
        <v>3259</v>
      </c>
      <c r="S422" t="s">
        <v>3267</v>
      </c>
      <c r="V422" t="s">
        <v>3352</v>
      </c>
      <c r="X422" t="s">
        <v>3354</v>
      </c>
      <c r="Y422" t="s">
        <v>2678</v>
      </c>
      <c r="Z422" t="s">
        <v>3359</v>
      </c>
      <c r="AA422" t="s">
        <v>3406</v>
      </c>
      <c r="AB422" t="s">
        <v>3415</v>
      </c>
      <c r="AC422">
        <f>HYPERLINK("https://lsnyc.legalserver.org/matter/dynamic-profile/view/1905139","19-1905139")</f>
        <v>0</v>
      </c>
      <c r="AD422" t="s">
        <v>3444</v>
      </c>
      <c r="AE422" t="s">
        <v>3466</v>
      </c>
      <c r="AF422" t="s">
        <v>3579</v>
      </c>
      <c r="AG422" t="s">
        <v>3359</v>
      </c>
      <c r="AH422" t="s">
        <v>4906</v>
      </c>
      <c r="AL422" t="s">
        <v>2123</v>
      </c>
      <c r="AN422" t="s">
        <v>3415</v>
      </c>
      <c r="AO422" t="s">
        <v>3352</v>
      </c>
    </row>
    <row r="423" spans="1:41">
      <c r="A423" s="1" t="s">
        <v>459</v>
      </c>
      <c r="B423" t="s">
        <v>2000</v>
      </c>
      <c r="C423" t="s">
        <v>2016</v>
      </c>
      <c r="D423" t="s">
        <v>2034</v>
      </c>
      <c r="E423" t="s">
        <v>2111</v>
      </c>
      <c r="F423" t="s">
        <v>2137</v>
      </c>
      <c r="G423" t="s">
        <v>2213</v>
      </c>
      <c r="H423">
        <v>10453</v>
      </c>
      <c r="I423" t="s">
        <v>2237</v>
      </c>
      <c r="J423">
        <v>2</v>
      </c>
      <c r="K423">
        <v>0</v>
      </c>
      <c r="L423" t="s">
        <v>2260</v>
      </c>
      <c r="M423" t="s">
        <v>2677</v>
      </c>
      <c r="P423" t="s">
        <v>2796</v>
      </c>
      <c r="Q423" t="s">
        <v>3255</v>
      </c>
      <c r="R423" t="s">
        <v>3259</v>
      </c>
      <c r="S423" t="s">
        <v>3267</v>
      </c>
      <c r="V423" t="s">
        <v>3352</v>
      </c>
      <c r="X423" t="s">
        <v>3354</v>
      </c>
      <c r="Y423" t="s">
        <v>2678</v>
      </c>
      <c r="Z423" t="s">
        <v>3359</v>
      </c>
      <c r="AA423" t="s">
        <v>3406</v>
      </c>
      <c r="AB423" t="s">
        <v>3415</v>
      </c>
      <c r="AC423">
        <f>HYPERLINK("https://lsnyc.legalserver.org/matter/dynamic-profile/view/1905140","19-1905140")</f>
        <v>0</v>
      </c>
      <c r="AD423" t="s">
        <v>3444</v>
      </c>
      <c r="AE423" t="s">
        <v>3466</v>
      </c>
      <c r="AF423" t="s">
        <v>3580</v>
      </c>
      <c r="AG423" t="s">
        <v>3359</v>
      </c>
      <c r="AH423" t="s">
        <v>4906</v>
      </c>
      <c r="AL423" t="s">
        <v>2137</v>
      </c>
      <c r="AN423" t="s">
        <v>3415</v>
      </c>
      <c r="AO423" t="s">
        <v>3352</v>
      </c>
    </row>
    <row r="424" spans="1:41">
      <c r="A424" s="1" t="s">
        <v>460</v>
      </c>
      <c r="B424" t="s">
        <v>2009</v>
      </c>
      <c r="C424" t="s">
        <v>1998</v>
      </c>
      <c r="D424" t="s">
        <v>2059</v>
      </c>
      <c r="E424" t="s">
        <v>2111</v>
      </c>
      <c r="F424" t="s">
        <v>2173</v>
      </c>
      <c r="G424" t="s">
        <v>2221</v>
      </c>
      <c r="H424">
        <v>11554</v>
      </c>
      <c r="I424" t="s">
        <v>2246</v>
      </c>
      <c r="J424">
        <v>5</v>
      </c>
      <c r="K424">
        <v>2</v>
      </c>
      <c r="L424" t="s">
        <v>2386</v>
      </c>
      <c r="M424" t="s">
        <v>2677</v>
      </c>
      <c r="P424" t="s">
        <v>2796</v>
      </c>
      <c r="Q424" t="s">
        <v>2113</v>
      </c>
      <c r="R424" t="s">
        <v>3259</v>
      </c>
      <c r="S424" t="s">
        <v>3264</v>
      </c>
      <c r="X424" t="s">
        <v>3354</v>
      </c>
      <c r="Y424" t="s">
        <v>2677</v>
      </c>
      <c r="Z424" t="s">
        <v>3357</v>
      </c>
      <c r="AA424" t="s">
        <v>3406</v>
      </c>
      <c r="AB424" t="s">
        <v>3412</v>
      </c>
      <c r="AC424">
        <f>HYPERLINK("https://lsnyc.legalserver.org/matter/dynamic-profile/view/1905162","19-1905162")</f>
        <v>0</v>
      </c>
      <c r="AD424" t="s">
        <v>3445</v>
      </c>
      <c r="AE424" t="s">
        <v>3452</v>
      </c>
      <c r="AF424" t="s">
        <v>3870</v>
      </c>
      <c r="AG424" t="s">
        <v>3357</v>
      </c>
      <c r="AH424" t="s">
        <v>4904</v>
      </c>
      <c r="AL424" t="s">
        <v>2173</v>
      </c>
      <c r="AN424" t="s">
        <v>3412</v>
      </c>
    </row>
    <row r="425" spans="1:41">
      <c r="A425" s="1" t="s">
        <v>461</v>
      </c>
      <c r="B425" t="s">
        <v>1998</v>
      </c>
      <c r="C425" t="s">
        <v>2016</v>
      </c>
      <c r="D425" t="s">
        <v>2080</v>
      </c>
      <c r="E425" t="s">
        <v>2112</v>
      </c>
      <c r="F425" t="s">
        <v>2121</v>
      </c>
      <c r="G425" t="s">
        <v>2212</v>
      </c>
      <c r="H425">
        <v>11416</v>
      </c>
      <c r="I425" t="s">
        <v>2229</v>
      </c>
      <c r="J425">
        <v>1</v>
      </c>
      <c r="K425">
        <v>0</v>
      </c>
      <c r="L425" t="s">
        <v>2260</v>
      </c>
      <c r="M425" t="s">
        <v>2677</v>
      </c>
      <c r="P425" t="s">
        <v>2797</v>
      </c>
      <c r="Q425" t="s">
        <v>2113</v>
      </c>
      <c r="R425" t="s">
        <v>3258</v>
      </c>
      <c r="S425" t="s">
        <v>3262</v>
      </c>
      <c r="X425" t="s">
        <v>3354</v>
      </c>
      <c r="Y425" t="s">
        <v>2678</v>
      </c>
      <c r="Z425" t="s">
        <v>3355</v>
      </c>
      <c r="AA425" t="s">
        <v>3406</v>
      </c>
      <c r="AB425" t="s">
        <v>3410</v>
      </c>
      <c r="AC425">
        <f>HYPERLINK("https://lsnyc.legalserver.org/matter/dynamic-profile/view/1904919","19-1904919")</f>
        <v>0</v>
      </c>
      <c r="AD425" t="s">
        <v>3443</v>
      </c>
      <c r="AE425" t="s">
        <v>3449</v>
      </c>
      <c r="AF425" t="s">
        <v>3871</v>
      </c>
      <c r="AG425" t="s">
        <v>3355</v>
      </c>
      <c r="AH425" t="s">
        <v>4904</v>
      </c>
      <c r="AL425" t="s">
        <v>2121</v>
      </c>
      <c r="AN425" t="s">
        <v>3410</v>
      </c>
    </row>
    <row r="426" spans="1:41">
      <c r="A426" s="1" t="s">
        <v>462</v>
      </c>
      <c r="B426" t="s">
        <v>1998</v>
      </c>
      <c r="C426" t="s">
        <v>2001</v>
      </c>
      <c r="D426" t="s">
        <v>2065</v>
      </c>
      <c r="E426" t="s">
        <v>2112</v>
      </c>
      <c r="F426" t="s">
        <v>2117</v>
      </c>
      <c r="G426" t="s">
        <v>2213</v>
      </c>
      <c r="H426">
        <v>10456</v>
      </c>
      <c r="I426" t="s">
        <v>2229</v>
      </c>
      <c r="J426">
        <v>3</v>
      </c>
      <c r="K426">
        <v>2</v>
      </c>
      <c r="L426" t="s">
        <v>2260</v>
      </c>
      <c r="M426" t="s">
        <v>2677</v>
      </c>
      <c r="P426" t="s">
        <v>2797</v>
      </c>
      <c r="Q426" t="s">
        <v>3255</v>
      </c>
      <c r="R426" t="s">
        <v>3259</v>
      </c>
      <c r="S426" t="s">
        <v>3267</v>
      </c>
      <c r="V426" t="s">
        <v>3353</v>
      </c>
      <c r="X426" t="s">
        <v>3354</v>
      </c>
      <c r="Y426" t="s">
        <v>2678</v>
      </c>
      <c r="Z426" t="s">
        <v>3359</v>
      </c>
      <c r="AA426" t="s">
        <v>3406</v>
      </c>
      <c r="AB426" t="s">
        <v>3415</v>
      </c>
      <c r="AC426">
        <f>HYPERLINK("https://lsnyc.legalserver.org/matter/dynamic-profile/view/1904922","19-1904922")</f>
        <v>0</v>
      </c>
      <c r="AD426" t="s">
        <v>3444</v>
      </c>
      <c r="AE426" t="s">
        <v>3466</v>
      </c>
      <c r="AF426" t="s">
        <v>3719</v>
      </c>
      <c r="AG426" t="s">
        <v>3359</v>
      </c>
      <c r="AH426" t="s">
        <v>4906</v>
      </c>
      <c r="AL426" t="s">
        <v>2117</v>
      </c>
      <c r="AN426" t="s">
        <v>3415</v>
      </c>
      <c r="AO426" t="s">
        <v>3353</v>
      </c>
    </row>
    <row r="427" spans="1:41">
      <c r="A427" s="1" t="s">
        <v>463</v>
      </c>
      <c r="B427" t="s">
        <v>1998</v>
      </c>
      <c r="C427" t="s">
        <v>2017</v>
      </c>
      <c r="D427" t="s">
        <v>2027</v>
      </c>
      <c r="E427" t="s">
        <v>2111</v>
      </c>
      <c r="F427" t="s">
        <v>2117</v>
      </c>
      <c r="G427" t="s">
        <v>2213</v>
      </c>
      <c r="H427">
        <v>10456</v>
      </c>
      <c r="I427" t="s">
        <v>2229</v>
      </c>
      <c r="J427">
        <v>3</v>
      </c>
      <c r="K427">
        <v>2</v>
      </c>
      <c r="L427" t="s">
        <v>2260</v>
      </c>
      <c r="M427" t="s">
        <v>2677</v>
      </c>
      <c r="P427" t="s">
        <v>2797</v>
      </c>
      <c r="Q427" t="s">
        <v>3255</v>
      </c>
      <c r="R427" t="s">
        <v>3259</v>
      </c>
      <c r="S427" t="s">
        <v>3267</v>
      </c>
      <c r="V427" t="s">
        <v>3353</v>
      </c>
      <c r="X427" t="s">
        <v>3354</v>
      </c>
      <c r="Y427" t="s">
        <v>2678</v>
      </c>
      <c r="Z427" t="s">
        <v>3359</v>
      </c>
      <c r="AA427" t="s">
        <v>3406</v>
      </c>
      <c r="AB427" t="s">
        <v>3415</v>
      </c>
      <c r="AC427">
        <f>HYPERLINK("https://lsnyc.legalserver.org/matter/dynamic-profile/view/1904924","19-1904924")</f>
        <v>0</v>
      </c>
      <c r="AD427" t="s">
        <v>3444</v>
      </c>
      <c r="AE427" t="s">
        <v>3466</v>
      </c>
      <c r="AF427" t="s">
        <v>3720</v>
      </c>
      <c r="AG427" t="s">
        <v>3359</v>
      </c>
      <c r="AH427" t="s">
        <v>4906</v>
      </c>
      <c r="AL427" t="s">
        <v>2117</v>
      </c>
      <c r="AN427" t="s">
        <v>3415</v>
      </c>
      <c r="AO427" t="s">
        <v>3353</v>
      </c>
    </row>
    <row r="428" spans="1:41">
      <c r="A428" s="1" t="s">
        <v>464</v>
      </c>
      <c r="B428" t="s">
        <v>1998</v>
      </c>
      <c r="C428" t="s">
        <v>2001</v>
      </c>
      <c r="D428" t="s">
        <v>2078</v>
      </c>
      <c r="E428" t="s">
        <v>2112</v>
      </c>
      <c r="F428" t="s">
        <v>2146</v>
      </c>
      <c r="G428" t="s">
        <v>2212</v>
      </c>
      <c r="H428">
        <v>11385</v>
      </c>
      <c r="I428" t="s">
        <v>2240</v>
      </c>
      <c r="J428">
        <v>1</v>
      </c>
      <c r="K428">
        <v>0</v>
      </c>
      <c r="L428" t="s">
        <v>2256</v>
      </c>
      <c r="M428" t="s">
        <v>2677</v>
      </c>
      <c r="P428" t="s">
        <v>2797</v>
      </c>
      <c r="Q428" t="s">
        <v>3255</v>
      </c>
      <c r="R428" t="s">
        <v>3258</v>
      </c>
      <c r="S428" t="s">
        <v>3277</v>
      </c>
      <c r="X428" t="s">
        <v>3354</v>
      </c>
      <c r="Y428" t="s">
        <v>2678</v>
      </c>
      <c r="Z428" t="s">
        <v>3374</v>
      </c>
      <c r="AB428" t="s">
        <v>3425</v>
      </c>
      <c r="AC428">
        <f>HYPERLINK("https://lsnyc.legalserver.org/matter/dynamic-profile/view/1904927","19-1904927")</f>
        <v>0</v>
      </c>
      <c r="AD428" t="s">
        <v>3443</v>
      </c>
      <c r="AE428" t="s">
        <v>3449</v>
      </c>
      <c r="AF428" t="s">
        <v>3872</v>
      </c>
      <c r="AG428" t="s">
        <v>3374</v>
      </c>
      <c r="AI428" t="s">
        <v>4909</v>
      </c>
      <c r="AL428" t="s">
        <v>2146</v>
      </c>
      <c r="AN428" t="s">
        <v>3425</v>
      </c>
    </row>
    <row r="429" spans="1:41">
      <c r="A429" s="1" t="s">
        <v>465</v>
      </c>
      <c r="B429" t="s">
        <v>2012</v>
      </c>
      <c r="C429" t="s">
        <v>2012</v>
      </c>
      <c r="D429" t="s">
        <v>2029</v>
      </c>
      <c r="E429" t="s">
        <v>2112</v>
      </c>
      <c r="F429" t="s">
        <v>2117</v>
      </c>
      <c r="G429" t="s">
        <v>2212</v>
      </c>
      <c r="H429">
        <v>11691</v>
      </c>
      <c r="I429" t="s">
        <v>2229</v>
      </c>
      <c r="J429">
        <v>5</v>
      </c>
      <c r="K429">
        <v>2</v>
      </c>
      <c r="L429" t="s">
        <v>2255</v>
      </c>
      <c r="M429" t="s">
        <v>2677</v>
      </c>
      <c r="P429" t="s">
        <v>2797</v>
      </c>
      <c r="Q429" t="s">
        <v>2113</v>
      </c>
      <c r="R429" t="s">
        <v>3258</v>
      </c>
      <c r="S429" t="s">
        <v>3269</v>
      </c>
      <c r="X429" t="s">
        <v>3354</v>
      </c>
      <c r="Y429" t="s">
        <v>2678</v>
      </c>
      <c r="Z429" t="s">
        <v>3394</v>
      </c>
      <c r="AB429" t="s">
        <v>3417</v>
      </c>
      <c r="AC429">
        <f>HYPERLINK("https://lsnyc.legalserver.org/matter/dynamic-profile/view/1905022","19-1905022")</f>
        <v>0</v>
      </c>
      <c r="AD429" t="s">
        <v>3443</v>
      </c>
      <c r="AE429" t="s">
        <v>3472</v>
      </c>
      <c r="AF429" t="s">
        <v>3873</v>
      </c>
      <c r="AG429" t="s">
        <v>3394</v>
      </c>
      <c r="AI429" t="s">
        <v>4909</v>
      </c>
      <c r="AL429" t="s">
        <v>2117</v>
      </c>
      <c r="AN429" t="s">
        <v>3417</v>
      </c>
    </row>
    <row r="430" spans="1:41">
      <c r="A430" s="1" t="s">
        <v>466</v>
      </c>
      <c r="B430" t="s">
        <v>1998</v>
      </c>
      <c r="C430" t="s">
        <v>2005</v>
      </c>
      <c r="D430" t="s">
        <v>2070</v>
      </c>
      <c r="E430" t="s">
        <v>2112</v>
      </c>
      <c r="F430" t="s">
        <v>2131</v>
      </c>
      <c r="G430" t="s">
        <v>2212</v>
      </c>
      <c r="H430">
        <v>11374</v>
      </c>
      <c r="I430" t="s">
        <v>2229</v>
      </c>
      <c r="J430">
        <v>2</v>
      </c>
      <c r="K430">
        <v>1</v>
      </c>
      <c r="L430" t="s">
        <v>2305</v>
      </c>
      <c r="M430" t="s">
        <v>2677</v>
      </c>
      <c r="P430" t="s">
        <v>2730</v>
      </c>
      <c r="Q430" t="s">
        <v>3255</v>
      </c>
      <c r="R430" t="s">
        <v>3258</v>
      </c>
      <c r="S430" t="s">
        <v>3269</v>
      </c>
      <c r="X430" t="s">
        <v>3354</v>
      </c>
      <c r="Y430" t="s">
        <v>2678</v>
      </c>
      <c r="Z430" t="s">
        <v>3361</v>
      </c>
      <c r="AA430" t="s">
        <v>3406</v>
      </c>
      <c r="AB430" t="s">
        <v>3417</v>
      </c>
      <c r="AC430">
        <f>HYPERLINK("https://lsnyc.legalserver.org/matter/dynamic-profile/view/1905094","19-1905094")</f>
        <v>0</v>
      </c>
      <c r="AD430" t="s">
        <v>3443</v>
      </c>
      <c r="AE430" t="s">
        <v>3471</v>
      </c>
      <c r="AF430" t="s">
        <v>3874</v>
      </c>
      <c r="AG430" t="s">
        <v>3361</v>
      </c>
      <c r="AH430" t="s">
        <v>4904</v>
      </c>
      <c r="AL430" t="s">
        <v>2131</v>
      </c>
      <c r="AN430" t="s">
        <v>3417</v>
      </c>
    </row>
    <row r="431" spans="1:41">
      <c r="A431" s="1" t="s">
        <v>467</v>
      </c>
      <c r="B431" t="s">
        <v>2017</v>
      </c>
      <c r="C431" t="s">
        <v>2001</v>
      </c>
      <c r="D431" t="s">
        <v>2075</v>
      </c>
      <c r="E431" t="s">
        <v>2112</v>
      </c>
      <c r="F431" t="s">
        <v>2114</v>
      </c>
      <c r="G431" t="s">
        <v>2212</v>
      </c>
      <c r="H431">
        <v>11435</v>
      </c>
      <c r="I431" t="s">
        <v>2229</v>
      </c>
      <c r="J431">
        <v>8</v>
      </c>
      <c r="K431">
        <v>5</v>
      </c>
      <c r="L431" t="s">
        <v>2367</v>
      </c>
      <c r="M431" t="s">
        <v>2677</v>
      </c>
      <c r="P431" t="s">
        <v>2765</v>
      </c>
      <c r="Q431" t="s">
        <v>2113</v>
      </c>
      <c r="R431" t="s">
        <v>3259</v>
      </c>
      <c r="S431" t="s">
        <v>3267</v>
      </c>
      <c r="V431" t="s">
        <v>3353</v>
      </c>
      <c r="X431" t="s">
        <v>3354</v>
      </c>
      <c r="Y431" t="s">
        <v>2678</v>
      </c>
      <c r="Z431" t="s">
        <v>3359</v>
      </c>
      <c r="AA431" t="s">
        <v>3406</v>
      </c>
      <c r="AB431" t="s">
        <v>3415</v>
      </c>
      <c r="AC431">
        <f>HYPERLINK("https://lsnyc.legalserver.org/matter/dynamic-profile/view/1904680","19-1904680")</f>
        <v>0</v>
      </c>
      <c r="AD431" t="s">
        <v>3443</v>
      </c>
      <c r="AE431" t="s">
        <v>3450</v>
      </c>
      <c r="AF431" t="s">
        <v>3875</v>
      </c>
      <c r="AG431" t="s">
        <v>3359</v>
      </c>
      <c r="AH431" t="s">
        <v>4906</v>
      </c>
      <c r="AL431" t="s">
        <v>2114</v>
      </c>
      <c r="AN431" t="s">
        <v>3415</v>
      </c>
      <c r="AO431" t="s">
        <v>3353</v>
      </c>
    </row>
    <row r="432" spans="1:41">
      <c r="A432" s="1" t="s">
        <v>468</v>
      </c>
      <c r="B432" t="s">
        <v>2016</v>
      </c>
      <c r="C432" t="s">
        <v>2018</v>
      </c>
      <c r="D432" t="s">
        <v>2039</v>
      </c>
      <c r="E432" t="s">
        <v>2112</v>
      </c>
      <c r="G432" t="s">
        <v>2216</v>
      </c>
      <c r="H432">
        <v>10304</v>
      </c>
      <c r="I432" t="s">
        <v>2229</v>
      </c>
      <c r="J432">
        <v>3</v>
      </c>
      <c r="K432">
        <v>1</v>
      </c>
      <c r="L432" t="s">
        <v>2307</v>
      </c>
      <c r="M432" t="s">
        <v>2677</v>
      </c>
      <c r="P432" t="s">
        <v>2798</v>
      </c>
      <c r="Q432" t="s">
        <v>3255</v>
      </c>
      <c r="R432" t="s">
        <v>3259</v>
      </c>
      <c r="S432" t="s">
        <v>3276</v>
      </c>
      <c r="X432" t="s">
        <v>3354</v>
      </c>
      <c r="Y432" t="s">
        <v>2678</v>
      </c>
      <c r="Z432" t="s">
        <v>3373</v>
      </c>
      <c r="AB432" t="s">
        <v>3424</v>
      </c>
      <c r="AC432">
        <f>HYPERLINK("https://lsnyc.legalserver.org/matter/dynamic-profile/view/1904782","19-1904782")</f>
        <v>0</v>
      </c>
      <c r="AD432" t="s">
        <v>3447</v>
      </c>
      <c r="AE432" t="s">
        <v>3478</v>
      </c>
      <c r="AF432" t="s">
        <v>3876</v>
      </c>
      <c r="AG432" t="s">
        <v>3373</v>
      </c>
      <c r="AI432" t="s">
        <v>4909</v>
      </c>
      <c r="AN432" t="s">
        <v>3424</v>
      </c>
    </row>
    <row r="433" spans="1:41">
      <c r="A433" s="1" t="s">
        <v>469</v>
      </c>
      <c r="B433" t="s">
        <v>2001</v>
      </c>
      <c r="C433" t="s">
        <v>2000</v>
      </c>
      <c r="D433" t="s">
        <v>2084</v>
      </c>
      <c r="E433" t="s">
        <v>2112</v>
      </c>
      <c r="F433" t="s">
        <v>2123</v>
      </c>
      <c r="G433" t="s">
        <v>2212</v>
      </c>
      <c r="H433">
        <v>11369</v>
      </c>
      <c r="I433" t="s">
        <v>2229</v>
      </c>
      <c r="J433">
        <v>2</v>
      </c>
      <c r="K433">
        <v>1</v>
      </c>
      <c r="L433" t="s">
        <v>2387</v>
      </c>
      <c r="M433" t="s">
        <v>2677</v>
      </c>
      <c r="P433" t="s">
        <v>2725</v>
      </c>
      <c r="Q433" t="s">
        <v>3255</v>
      </c>
      <c r="R433" t="s">
        <v>3259</v>
      </c>
      <c r="S433" t="s">
        <v>3267</v>
      </c>
      <c r="X433" t="s">
        <v>3354</v>
      </c>
      <c r="Y433" t="s">
        <v>2678</v>
      </c>
      <c r="Z433" t="s">
        <v>3359</v>
      </c>
      <c r="AA433" t="s">
        <v>3406</v>
      </c>
      <c r="AB433" t="s">
        <v>3415</v>
      </c>
      <c r="AC433">
        <f>HYPERLINK("https://lsnyc.legalserver.org/matter/dynamic-profile/view/1904507","19-1904507")</f>
        <v>0</v>
      </c>
      <c r="AD433" t="s">
        <v>3443</v>
      </c>
      <c r="AE433" t="s">
        <v>3471</v>
      </c>
      <c r="AF433" t="s">
        <v>3877</v>
      </c>
      <c r="AG433" t="s">
        <v>3359</v>
      </c>
      <c r="AH433" t="s">
        <v>4906</v>
      </c>
      <c r="AL433" t="s">
        <v>2123</v>
      </c>
      <c r="AN433" t="s">
        <v>3415</v>
      </c>
    </row>
    <row r="434" spans="1:41">
      <c r="A434" s="1" t="s">
        <v>470</v>
      </c>
      <c r="B434" t="s">
        <v>2018</v>
      </c>
      <c r="C434" t="s">
        <v>2001</v>
      </c>
      <c r="D434" t="s">
        <v>2050</v>
      </c>
      <c r="E434" t="s">
        <v>2112</v>
      </c>
      <c r="F434" t="s">
        <v>2174</v>
      </c>
      <c r="G434" t="s">
        <v>2214</v>
      </c>
      <c r="H434">
        <v>11204</v>
      </c>
      <c r="I434" t="s">
        <v>2230</v>
      </c>
      <c r="J434">
        <v>2</v>
      </c>
      <c r="K434">
        <v>0</v>
      </c>
      <c r="L434" t="s">
        <v>2260</v>
      </c>
      <c r="M434" t="s">
        <v>2677</v>
      </c>
      <c r="P434" t="s">
        <v>2799</v>
      </c>
      <c r="Q434" t="s">
        <v>2113</v>
      </c>
      <c r="R434" t="s">
        <v>3258</v>
      </c>
      <c r="S434" t="s">
        <v>3271</v>
      </c>
      <c r="T434" t="s">
        <v>3294</v>
      </c>
      <c r="U434" t="s">
        <v>2735</v>
      </c>
      <c r="X434" t="s">
        <v>3354</v>
      </c>
      <c r="Y434" t="s">
        <v>2678</v>
      </c>
      <c r="Z434" t="s">
        <v>3362</v>
      </c>
      <c r="AA434" t="s">
        <v>3406</v>
      </c>
      <c r="AB434" t="s">
        <v>3419</v>
      </c>
      <c r="AC434">
        <f>HYPERLINK("https://lsnyc.legalserver.org/matter/dynamic-profile/view/1904516","19-1904516")</f>
        <v>0</v>
      </c>
      <c r="AD434" t="s">
        <v>3442</v>
      </c>
      <c r="AE434" t="s">
        <v>3460</v>
      </c>
      <c r="AF434" t="s">
        <v>3878</v>
      </c>
      <c r="AG434" t="s">
        <v>3362</v>
      </c>
      <c r="AH434" t="s">
        <v>4904</v>
      </c>
      <c r="AL434" t="s">
        <v>2174</v>
      </c>
      <c r="AM434" t="s">
        <v>3294</v>
      </c>
      <c r="AN434" t="s">
        <v>3419</v>
      </c>
    </row>
    <row r="435" spans="1:41">
      <c r="A435" s="1" t="s">
        <v>471</v>
      </c>
      <c r="B435" t="s">
        <v>1998</v>
      </c>
      <c r="C435" t="s">
        <v>2002</v>
      </c>
      <c r="D435" t="s">
        <v>2032</v>
      </c>
      <c r="E435" t="s">
        <v>2112</v>
      </c>
      <c r="F435" t="s">
        <v>2123</v>
      </c>
      <c r="G435" t="s">
        <v>2211</v>
      </c>
      <c r="H435">
        <v>10002</v>
      </c>
      <c r="I435" t="s">
        <v>2229</v>
      </c>
      <c r="J435">
        <v>2</v>
      </c>
      <c r="K435">
        <v>1</v>
      </c>
      <c r="L435" t="s">
        <v>2388</v>
      </c>
      <c r="M435" t="s">
        <v>2677</v>
      </c>
      <c r="P435" t="s">
        <v>2799</v>
      </c>
      <c r="Q435" t="s">
        <v>2113</v>
      </c>
      <c r="R435" t="s">
        <v>3258</v>
      </c>
      <c r="S435" t="s">
        <v>3271</v>
      </c>
      <c r="X435" t="s">
        <v>3354</v>
      </c>
      <c r="Y435" t="s">
        <v>2678</v>
      </c>
      <c r="Z435" t="s">
        <v>3362</v>
      </c>
      <c r="AA435" t="s">
        <v>3406</v>
      </c>
      <c r="AB435" t="s">
        <v>3419</v>
      </c>
      <c r="AC435">
        <f>HYPERLINK("https://lsnyc.legalserver.org/matter/dynamic-profile/view/1904547","19-1904547")</f>
        <v>0</v>
      </c>
      <c r="AD435" t="s">
        <v>3442</v>
      </c>
      <c r="AE435" t="s">
        <v>3460</v>
      </c>
      <c r="AF435" t="s">
        <v>3879</v>
      </c>
      <c r="AG435" t="s">
        <v>3362</v>
      </c>
      <c r="AH435" t="s">
        <v>4904</v>
      </c>
      <c r="AL435" t="s">
        <v>2123</v>
      </c>
      <c r="AN435" t="s">
        <v>3419</v>
      </c>
    </row>
    <row r="436" spans="1:41">
      <c r="A436" s="1" t="s">
        <v>472</v>
      </c>
      <c r="B436" t="s">
        <v>2001</v>
      </c>
      <c r="C436" t="s">
        <v>2012</v>
      </c>
      <c r="D436" t="s">
        <v>2040</v>
      </c>
      <c r="E436" t="s">
        <v>2111</v>
      </c>
      <c r="F436" t="s">
        <v>2116</v>
      </c>
      <c r="G436" t="s">
        <v>2212</v>
      </c>
      <c r="H436">
        <v>11354</v>
      </c>
      <c r="I436" t="s">
        <v>2229</v>
      </c>
      <c r="J436">
        <v>6</v>
      </c>
      <c r="K436">
        <v>4</v>
      </c>
      <c r="L436" t="s">
        <v>2260</v>
      </c>
      <c r="M436" t="s">
        <v>2677</v>
      </c>
      <c r="P436" t="s">
        <v>2799</v>
      </c>
      <c r="Q436" t="s">
        <v>3255</v>
      </c>
      <c r="R436" t="s">
        <v>3259</v>
      </c>
      <c r="S436" t="s">
        <v>3272</v>
      </c>
      <c r="V436" t="s">
        <v>3352</v>
      </c>
      <c r="X436" t="s">
        <v>3354</v>
      </c>
      <c r="Y436" t="s">
        <v>2678</v>
      </c>
      <c r="Z436" t="s">
        <v>3364</v>
      </c>
      <c r="AA436" t="s">
        <v>3406</v>
      </c>
      <c r="AB436" t="s">
        <v>3420</v>
      </c>
      <c r="AC436">
        <f>HYPERLINK("https://lsnyc.legalserver.org/matter/dynamic-profile/view/1904549","19-1904549")</f>
        <v>0</v>
      </c>
      <c r="AD436" t="s">
        <v>3443</v>
      </c>
      <c r="AE436" t="s">
        <v>3457</v>
      </c>
      <c r="AF436" t="s">
        <v>3730</v>
      </c>
      <c r="AG436" t="s">
        <v>3364</v>
      </c>
      <c r="AH436" t="s">
        <v>4904</v>
      </c>
      <c r="AL436" t="s">
        <v>2116</v>
      </c>
      <c r="AN436" t="s">
        <v>3420</v>
      </c>
      <c r="AO436" t="s">
        <v>3352</v>
      </c>
    </row>
    <row r="437" spans="1:41">
      <c r="A437" s="1" t="s">
        <v>473</v>
      </c>
      <c r="B437" t="s">
        <v>2002</v>
      </c>
      <c r="C437" t="s">
        <v>2016</v>
      </c>
      <c r="D437" t="s">
        <v>2069</v>
      </c>
      <c r="E437" t="s">
        <v>2112</v>
      </c>
      <c r="F437" t="s">
        <v>2114</v>
      </c>
      <c r="G437" t="s">
        <v>2212</v>
      </c>
      <c r="H437">
        <v>11420</v>
      </c>
      <c r="I437" t="s">
        <v>2229</v>
      </c>
      <c r="J437">
        <v>2</v>
      </c>
      <c r="K437">
        <v>0</v>
      </c>
      <c r="L437" t="s">
        <v>2304</v>
      </c>
      <c r="M437" t="s">
        <v>2677</v>
      </c>
      <c r="P437" t="s">
        <v>2799</v>
      </c>
      <c r="Q437" t="s">
        <v>3255</v>
      </c>
      <c r="R437" t="s">
        <v>3259</v>
      </c>
      <c r="S437" t="s">
        <v>3267</v>
      </c>
      <c r="X437" t="s">
        <v>3354</v>
      </c>
      <c r="Y437" t="s">
        <v>2678</v>
      </c>
      <c r="Z437" t="s">
        <v>3359</v>
      </c>
      <c r="AA437" t="s">
        <v>3406</v>
      </c>
      <c r="AB437" t="s">
        <v>3415</v>
      </c>
      <c r="AC437">
        <f>HYPERLINK("https://lsnyc.legalserver.org/matter/dynamic-profile/view/1904571","19-1904571")</f>
        <v>0</v>
      </c>
      <c r="AD437" t="s">
        <v>3443</v>
      </c>
      <c r="AE437" t="s">
        <v>3457</v>
      </c>
      <c r="AF437" t="s">
        <v>3702</v>
      </c>
      <c r="AG437" t="s">
        <v>3359</v>
      </c>
      <c r="AH437" t="s">
        <v>4906</v>
      </c>
      <c r="AL437" t="s">
        <v>2114</v>
      </c>
      <c r="AN437" t="s">
        <v>3415</v>
      </c>
    </row>
    <row r="438" spans="1:41">
      <c r="A438" s="1" t="s">
        <v>474</v>
      </c>
      <c r="B438" t="s">
        <v>1998</v>
      </c>
      <c r="C438" t="s">
        <v>2000</v>
      </c>
      <c r="D438" t="s">
        <v>2094</v>
      </c>
      <c r="E438" t="s">
        <v>2111</v>
      </c>
      <c r="F438" t="s">
        <v>2175</v>
      </c>
      <c r="G438" t="s">
        <v>2212</v>
      </c>
      <c r="H438">
        <v>11421</v>
      </c>
      <c r="I438" t="s">
        <v>2233</v>
      </c>
      <c r="J438">
        <v>1</v>
      </c>
      <c r="K438">
        <v>0</v>
      </c>
      <c r="L438" t="s">
        <v>2314</v>
      </c>
      <c r="M438" t="s">
        <v>2677</v>
      </c>
      <c r="P438" t="s">
        <v>2799</v>
      </c>
      <c r="Q438" t="s">
        <v>3255</v>
      </c>
      <c r="R438" t="s">
        <v>3258</v>
      </c>
      <c r="S438" t="s">
        <v>3277</v>
      </c>
      <c r="X438" t="s">
        <v>3354</v>
      </c>
      <c r="Y438" t="s">
        <v>2678</v>
      </c>
      <c r="Z438" t="s">
        <v>3374</v>
      </c>
      <c r="AA438" t="s">
        <v>3406</v>
      </c>
      <c r="AB438" t="s">
        <v>3425</v>
      </c>
      <c r="AC438">
        <f>HYPERLINK("https://lsnyc.legalserver.org/matter/dynamic-profile/view/1904616","19-1904616")</f>
        <v>0</v>
      </c>
      <c r="AD438" t="s">
        <v>3443</v>
      </c>
      <c r="AE438" t="s">
        <v>3457</v>
      </c>
      <c r="AF438" t="s">
        <v>3880</v>
      </c>
      <c r="AG438" t="s">
        <v>3374</v>
      </c>
      <c r="AH438" t="s">
        <v>4904</v>
      </c>
      <c r="AL438" t="s">
        <v>2175</v>
      </c>
      <c r="AN438" t="s">
        <v>3425</v>
      </c>
    </row>
    <row r="439" spans="1:41">
      <c r="A439" s="1" t="s">
        <v>475</v>
      </c>
      <c r="B439" t="s">
        <v>2000</v>
      </c>
      <c r="C439" t="s">
        <v>2012</v>
      </c>
      <c r="D439" t="s">
        <v>2084</v>
      </c>
      <c r="E439" t="s">
        <v>2112</v>
      </c>
      <c r="F439" t="s">
        <v>2161</v>
      </c>
      <c r="G439" t="s">
        <v>2213</v>
      </c>
      <c r="H439">
        <v>10453</v>
      </c>
      <c r="I439" t="s">
        <v>2229</v>
      </c>
      <c r="J439">
        <v>4</v>
      </c>
      <c r="K439">
        <v>0</v>
      </c>
      <c r="L439" t="s">
        <v>2359</v>
      </c>
      <c r="M439" t="s">
        <v>2677</v>
      </c>
      <c r="P439" t="s">
        <v>2800</v>
      </c>
      <c r="Q439" t="s">
        <v>3257</v>
      </c>
      <c r="R439" t="s">
        <v>3258</v>
      </c>
      <c r="S439" t="s">
        <v>3262</v>
      </c>
      <c r="X439" t="s">
        <v>3354</v>
      </c>
      <c r="Y439" t="s">
        <v>2678</v>
      </c>
      <c r="Z439" t="s">
        <v>3355</v>
      </c>
      <c r="AB439" t="s">
        <v>3410</v>
      </c>
      <c r="AC439">
        <f>HYPERLINK("https://lsnyc.legalserver.org/matter/dynamic-profile/view/1903733","19-1903733")</f>
        <v>0</v>
      </c>
      <c r="AD439" t="s">
        <v>3442</v>
      </c>
      <c r="AE439" t="s">
        <v>3476</v>
      </c>
      <c r="AF439" t="s">
        <v>3757</v>
      </c>
      <c r="AG439" t="s">
        <v>3355</v>
      </c>
      <c r="AL439" t="s">
        <v>2161</v>
      </c>
      <c r="AN439" t="s">
        <v>3410</v>
      </c>
    </row>
    <row r="440" spans="1:41">
      <c r="A440" s="1" t="s">
        <v>476</v>
      </c>
      <c r="B440" t="s">
        <v>2001</v>
      </c>
      <c r="C440" t="s">
        <v>2002</v>
      </c>
      <c r="D440" t="s">
        <v>2037</v>
      </c>
      <c r="E440" t="s">
        <v>2112</v>
      </c>
      <c r="F440" t="s">
        <v>2115</v>
      </c>
      <c r="G440" t="s">
        <v>2212</v>
      </c>
      <c r="H440">
        <v>11368</v>
      </c>
      <c r="I440" t="s">
        <v>2229</v>
      </c>
      <c r="J440">
        <v>3</v>
      </c>
      <c r="K440">
        <v>2</v>
      </c>
      <c r="L440" t="s">
        <v>2260</v>
      </c>
      <c r="M440" t="s">
        <v>2677</v>
      </c>
      <c r="P440" t="s">
        <v>2801</v>
      </c>
      <c r="Q440" t="s">
        <v>2113</v>
      </c>
      <c r="R440" t="s">
        <v>3259</v>
      </c>
      <c r="S440" t="s">
        <v>3272</v>
      </c>
      <c r="X440" t="s">
        <v>3354</v>
      </c>
      <c r="Y440" t="s">
        <v>2678</v>
      </c>
      <c r="Z440" t="s">
        <v>3383</v>
      </c>
      <c r="AA440" t="s">
        <v>3406</v>
      </c>
      <c r="AB440" t="s">
        <v>3420</v>
      </c>
      <c r="AC440">
        <f>HYPERLINK("https://lsnyc.legalserver.org/matter/dynamic-profile/view/1904368","19-1904368")</f>
        <v>0</v>
      </c>
      <c r="AD440" t="s">
        <v>3443</v>
      </c>
      <c r="AE440" t="s">
        <v>3472</v>
      </c>
      <c r="AF440" t="s">
        <v>3881</v>
      </c>
      <c r="AG440" t="s">
        <v>3383</v>
      </c>
      <c r="AH440" t="s">
        <v>4905</v>
      </c>
      <c r="AL440" t="s">
        <v>2115</v>
      </c>
      <c r="AN440" t="s">
        <v>3420</v>
      </c>
    </row>
    <row r="441" spans="1:41">
      <c r="A441" s="1" t="s">
        <v>477</v>
      </c>
      <c r="B441" t="s">
        <v>2012</v>
      </c>
      <c r="C441" t="s">
        <v>1998</v>
      </c>
      <c r="D441" t="s">
        <v>2036</v>
      </c>
      <c r="E441" t="s">
        <v>2112</v>
      </c>
      <c r="F441" t="s">
        <v>2120</v>
      </c>
      <c r="G441" t="s">
        <v>2214</v>
      </c>
      <c r="H441">
        <v>11212</v>
      </c>
      <c r="I441" t="s">
        <v>2230</v>
      </c>
      <c r="J441">
        <v>2</v>
      </c>
      <c r="K441">
        <v>1</v>
      </c>
      <c r="L441" t="s">
        <v>2260</v>
      </c>
      <c r="M441" t="s">
        <v>2677</v>
      </c>
      <c r="P441" t="s">
        <v>2727</v>
      </c>
      <c r="Q441" t="s">
        <v>3255</v>
      </c>
      <c r="R441" t="s">
        <v>3259</v>
      </c>
      <c r="S441" t="s">
        <v>3272</v>
      </c>
      <c r="V441" t="s">
        <v>3352</v>
      </c>
      <c r="X441" t="s">
        <v>3354</v>
      </c>
      <c r="Y441" t="s">
        <v>2678</v>
      </c>
      <c r="Z441" t="s">
        <v>3383</v>
      </c>
      <c r="AA441" t="s">
        <v>3406</v>
      </c>
      <c r="AB441" t="s">
        <v>3420</v>
      </c>
      <c r="AC441">
        <f>HYPERLINK("https://lsnyc.legalserver.org/matter/dynamic-profile/view/1904392","19-1904392")</f>
        <v>0</v>
      </c>
      <c r="AD441" t="s">
        <v>3446</v>
      </c>
      <c r="AE441" t="s">
        <v>3465</v>
      </c>
      <c r="AF441" t="s">
        <v>3882</v>
      </c>
      <c r="AG441" t="s">
        <v>3383</v>
      </c>
      <c r="AH441" t="s">
        <v>4905</v>
      </c>
      <c r="AL441" t="s">
        <v>2120</v>
      </c>
      <c r="AN441" t="s">
        <v>3420</v>
      </c>
      <c r="AO441" t="s">
        <v>3352</v>
      </c>
    </row>
    <row r="442" spans="1:41">
      <c r="A442" s="1" t="s">
        <v>478</v>
      </c>
      <c r="B442" t="s">
        <v>2000</v>
      </c>
      <c r="C442" t="s">
        <v>2012</v>
      </c>
      <c r="D442" t="s">
        <v>2084</v>
      </c>
      <c r="E442" t="s">
        <v>2112</v>
      </c>
      <c r="F442" t="s">
        <v>2161</v>
      </c>
      <c r="G442" t="s">
        <v>2213</v>
      </c>
      <c r="H442">
        <v>10453</v>
      </c>
      <c r="I442" t="s">
        <v>2229</v>
      </c>
      <c r="J442">
        <v>4</v>
      </c>
      <c r="K442">
        <v>0</v>
      </c>
      <c r="L442" t="s">
        <v>2389</v>
      </c>
      <c r="M442" t="s">
        <v>2677</v>
      </c>
      <c r="P442" t="s">
        <v>2800</v>
      </c>
      <c r="Q442" t="s">
        <v>3257</v>
      </c>
      <c r="R442" t="s">
        <v>3258</v>
      </c>
      <c r="S442" t="s">
        <v>3273</v>
      </c>
      <c r="X442" t="s">
        <v>3354</v>
      </c>
      <c r="Y442" t="s">
        <v>2678</v>
      </c>
      <c r="Z442" t="s">
        <v>3370</v>
      </c>
      <c r="AB442" t="s">
        <v>3421</v>
      </c>
      <c r="AC442">
        <f>HYPERLINK("https://lsnyc.legalserver.org/matter/dynamic-profile/view/1904406","19-1904406")</f>
        <v>0</v>
      </c>
      <c r="AD442" t="s">
        <v>3442</v>
      </c>
      <c r="AE442" t="s">
        <v>3476</v>
      </c>
      <c r="AF442" t="s">
        <v>3757</v>
      </c>
      <c r="AG442" t="s">
        <v>3370</v>
      </c>
      <c r="AL442" t="s">
        <v>2161</v>
      </c>
      <c r="AN442" t="s">
        <v>3421</v>
      </c>
    </row>
    <row r="443" spans="1:41">
      <c r="A443" s="1" t="s">
        <v>479</v>
      </c>
      <c r="B443" t="s">
        <v>2000</v>
      </c>
      <c r="C443" t="s">
        <v>2016</v>
      </c>
      <c r="D443" t="s">
        <v>2097</v>
      </c>
      <c r="E443" t="s">
        <v>2111</v>
      </c>
      <c r="F443" t="s">
        <v>2120</v>
      </c>
      <c r="G443" t="s">
        <v>2214</v>
      </c>
      <c r="H443">
        <v>11236</v>
      </c>
      <c r="I443" t="s">
        <v>2230</v>
      </c>
      <c r="J443">
        <v>1</v>
      </c>
      <c r="K443">
        <v>0</v>
      </c>
      <c r="L443" t="s">
        <v>2390</v>
      </c>
      <c r="M443" t="s">
        <v>2677</v>
      </c>
      <c r="P443" t="s">
        <v>2800</v>
      </c>
      <c r="Q443" t="s">
        <v>3255</v>
      </c>
      <c r="R443" t="s">
        <v>3258</v>
      </c>
      <c r="S443" t="s">
        <v>3271</v>
      </c>
      <c r="V443" t="s">
        <v>3352</v>
      </c>
      <c r="X443" t="s">
        <v>3354</v>
      </c>
      <c r="Y443" t="s">
        <v>2678</v>
      </c>
      <c r="Z443" t="s">
        <v>3366</v>
      </c>
      <c r="AA443" t="s">
        <v>3406</v>
      </c>
      <c r="AB443" t="s">
        <v>3419</v>
      </c>
      <c r="AC443">
        <f>HYPERLINK("https://lsnyc.legalserver.org/matter/dynamic-profile/view/1904407","19-1904407")</f>
        <v>0</v>
      </c>
      <c r="AD443" t="s">
        <v>3446</v>
      </c>
      <c r="AE443" t="s">
        <v>3465</v>
      </c>
      <c r="AF443" t="s">
        <v>3883</v>
      </c>
      <c r="AG443" t="s">
        <v>3366</v>
      </c>
      <c r="AH443" t="s">
        <v>4904</v>
      </c>
      <c r="AL443" t="s">
        <v>2120</v>
      </c>
      <c r="AN443" t="s">
        <v>3419</v>
      </c>
      <c r="AO443" t="s">
        <v>3352</v>
      </c>
    </row>
    <row r="444" spans="1:41">
      <c r="A444" s="1" t="s">
        <v>480</v>
      </c>
      <c r="B444" t="s">
        <v>2000</v>
      </c>
      <c r="C444" t="s">
        <v>2004</v>
      </c>
      <c r="D444" t="s">
        <v>2029</v>
      </c>
      <c r="E444" t="s">
        <v>2112</v>
      </c>
      <c r="F444" t="s">
        <v>2176</v>
      </c>
      <c r="G444" t="s">
        <v>2214</v>
      </c>
      <c r="H444">
        <v>11207</v>
      </c>
      <c r="I444" t="s">
        <v>2230</v>
      </c>
      <c r="J444">
        <v>5</v>
      </c>
      <c r="K444">
        <v>3</v>
      </c>
      <c r="L444" t="s">
        <v>2319</v>
      </c>
      <c r="M444" t="s">
        <v>2677</v>
      </c>
      <c r="P444" t="s">
        <v>2800</v>
      </c>
      <c r="Q444" t="s">
        <v>2113</v>
      </c>
      <c r="R444" t="s">
        <v>3259</v>
      </c>
      <c r="S444" t="s">
        <v>3270</v>
      </c>
      <c r="T444" t="s">
        <v>3294</v>
      </c>
      <c r="U444" t="s">
        <v>2783</v>
      </c>
      <c r="X444" t="s">
        <v>3354</v>
      </c>
      <c r="Y444" t="s">
        <v>2678</v>
      </c>
      <c r="Z444" t="s">
        <v>3393</v>
      </c>
      <c r="AA444" t="s">
        <v>3406</v>
      </c>
      <c r="AB444" t="s">
        <v>3418</v>
      </c>
      <c r="AC444">
        <f>HYPERLINK("https://lsnyc.legalserver.org/matter/dynamic-profile/view/1904418","19-1904418")</f>
        <v>0</v>
      </c>
      <c r="AD444" t="s">
        <v>3442</v>
      </c>
      <c r="AE444" t="s">
        <v>3470</v>
      </c>
      <c r="AF444" t="s">
        <v>3884</v>
      </c>
      <c r="AG444" t="s">
        <v>3393</v>
      </c>
      <c r="AH444" t="s">
        <v>4904</v>
      </c>
      <c r="AL444" t="s">
        <v>2176</v>
      </c>
      <c r="AM444" t="s">
        <v>3294</v>
      </c>
      <c r="AN444" t="s">
        <v>3418</v>
      </c>
    </row>
    <row r="445" spans="1:41">
      <c r="A445" s="1" t="s">
        <v>481</v>
      </c>
      <c r="B445" t="s">
        <v>2000</v>
      </c>
      <c r="C445" t="s">
        <v>2012</v>
      </c>
      <c r="D445" t="s">
        <v>2084</v>
      </c>
      <c r="E445" t="s">
        <v>2112</v>
      </c>
      <c r="F445" t="s">
        <v>2161</v>
      </c>
      <c r="G445" t="s">
        <v>2213</v>
      </c>
      <c r="H445">
        <v>10453</v>
      </c>
      <c r="I445" t="s">
        <v>2230</v>
      </c>
      <c r="J445">
        <v>4</v>
      </c>
      <c r="K445">
        <v>0</v>
      </c>
      <c r="L445" t="s">
        <v>2391</v>
      </c>
      <c r="M445" t="s">
        <v>2677</v>
      </c>
      <c r="P445" t="s">
        <v>2800</v>
      </c>
      <c r="Q445" t="s">
        <v>3257</v>
      </c>
      <c r="R445" t="s">
        <v>3258</v>
      </c>
      <c r="S445" t="s">
        <v>3273</v>
      </c>
      <c r="X445" t="s">
        <v>3354</v>
      </c>
      <c r="Y445" t="s">
        <v>2678</v>
      </c>
      <c r="Z445" t="s">
        <v>3395</v>
      </c>
      <c r="AB445" t="s">
        <v>3421</v>
      </c>
      <c r="AC445">
        <f>HYPERLINK("https://lsnyc.legalserver.org/matter/dynamic-profile/view/1904429","19-1904429")</f>
        <v>0</v>
      </c>
      <c r="AD445" t="s">
        <v>3442</v>
      </c>
      <c r="AE445" t="s">
        <v>3476</v>
      </c>
      <c r="AF445" t="s">
        <v>3757</v>
      </c>
      <c r="AG445" t="s">
        <v>3395</v>
      </c>
      <c r="AL445" t="s">
        <v>2161</v>
      </c>
      <c r="AN445" t="s">
        <v>3421</v>
      </c>
    </row>
    <row r="446" spans="1:41">
      <c r="A446" s="1" t="s">
        <v>482</v>
      </c>
      <c r="B446" t="s">
        <v>2001</v>
      </c>
      <c r="C446" t="s">
        <v>2001</v>
      </c>
      <c r="D446" t="s">
        <v>2068</v>
      </c>
      <c r="E446" t="s">
        <v>2112</v>
      </c>
      <c r="F446" t="s">
        <v>2177</v>
      </c>
      <c r="G446" t="s">
        <v>2211</v>
      </c>
      <c r="H446">
        <v>10065</v>
      </c>
      <c r="I446" t="s">
        <v>2230</v>
      </c>
      <c r="J446">
        <v>1</v>
      </c>
      <c r="K446">
        <v>0</v>
      </c>
      <c r="L446" t="s">
        <v>2260</v>
      </c>
      <c r="M446" t="s">
        <v>2677</v>
      </c>
      <c r="P446" t="s">
        <v>2801</v>
      </c>
      <c r="Q446" t="s">
        <v>3257</v>
      </c>
      <c r="R446" t="s">
        <v>3261</v>
      </c>
      <c r="S446" t="s">
        <v>3283</v>
      </c>
      <c r="X446" t="s">
        <v>3354</v>
      </c>
      <c r="Y446" t="s">
        <v>2678</v>
      </c>
      <c r="Z446" t="s">
        <v>3378</v>
      </c>
      <c r="AA446" t="s">
        <v>3409</v>
      </c>
      <c r="AB446" t="s">
        <v>3431</v>
      </c>
      <c r="AC446">
        <f>HYPERLINK("https://lsnyc.legalserver.org/matter/dynamic-profile/view/1904356","19-1904356")</f>
        <v>0</v>
      </c>
      <c r="AD446" t="s">
        <v>3442</v>
      </c>
      <c r="AE446" t="s">
        <v>3470</v>
      </c>
      <c r="AF446" t="s">
        <v>3885</v>
      </c>
      <c r="AG446" t="s">
        <v>3378</v>
      </c>
      <c r="AH446" t="s">
        <v>3409</v>
      </c>
      <c r="AL446" t="s">
        <v>2177</v>
      </c>
      <c r="AN446" t="s">
        <v>3431</v>
      </c>
    </row>
    <row r="447" spans="1:41">
      <c r="A447" s="1" t="s">
        <v>483</v>
      </c>
      <c r="B447" t="s">
        <v>1998</v>
      </c>
      <c r="C447" t="s">
        <v>2000</v>
      </c>
      <c r="D447" t="s">
        <v>2080</v>
      </c>
      <c r="E447" t="s">
        <v>2112</v>
      </c>
      <c r="F447" t="s">
        <v>2117</v>
      </c>
      <c r="G447" t="s">
        <v>2213</v>
      </c>
      <c r="H447">
        <v>10460</v>
      </c>
      <c r="I447" t="s">
        <v>2229</v>
      </c>
      <c r="J447">
        <v>2</v>
      </c>
      <c r="K447">
        <v>1</v>
      </c>
      <c r="L447" t="s">
        <v>2392</v>
      </c>
      <c r="M447" t="s">
        <v>2677</v>
      </c>
      <c r="P447" t="s">
        <v>2802</v>
      </c>
      <c r="Q447" t="s">
        <v>3255</v>
      </c>
      <c r="R447" t="s">
        <v>3258</v>
      </c>
      <c r="S447" t="s">
        <v>3262</v>
      </c>
      <c r="V447" t="s">
        <v>3353</v>
      </c>
      <c r="X447" t="s">
        <v>3354</v>
      </c>
      <c r="Y447" t="s">
        <v>2678</v>
      </c>
      <c r="Z447" t="s">
        <v>3355</v>
      </c>
      <c r="AA447" t="s">
        <v>3406</v>
      </c>
      <c r="AB447" t="s">
        <v>3410</v>
      </c>
      <c r="AC447">
        <f>HYPERLINK("https://lsnyc.legalserver.org/matter/dynamic-profile/view/1904172","19-1904172")</f>
        <v>0</v>
      </c>
      <c r="AD447" t="s">
        <v>3444</v>
      </c>
      <c r="AE447" t="s">
        <v>3466</v>
      </c>
      <c r="AF447" t="s">
        <v>3886</v>
      </c>
      <c r="AG447" t="s">
        <v>3355</v>
      </c>
      <c r="AH447" t="s">
        <v>4904</v>
      </c>
      <c r="AL447" t="s">
        <v>2117</v>
      </c>
      <c r="AN447" t="s">
        <v>3410</v>
      </c>
      <c r="AO447" t="s">
        <v>3353</v>
      </c>
    </row>
    <row r="448" spans="1:41">
      <c r="A448" s="1" t="s">
        <v>484</v>
      </c>
      <c r="B448" t="s">
        <v>2001</v>
      </c>
      <c r="C448" t="s">
        <v>2012</v>
      </c>
      <c r="D448" t="s">
        <v>2036</v>
      </c>
      <c r="E448" t="s">
        <v>2112</v>
      </c>
      <c r="F448" t="s">
        <v>2117</v>
      </c>
      <c r="G448" t="s">
        <v>2221</v>
      </c>
      <c r="H448">
        <v>11550</v>
      </c>
      <c r="I448" t="s">
        <v>2229</v>
      </c>
      <c r="J448">
        <v>6</v>
      </c>
      <c r="K448">
        <v>3</v>
      </c>
      <c r="L448" t="s">
        <v>2260</v>
      </c>
      <c r="M448" t="s">
        <v>2677</v>
      </c>
      <c r="P448" t="s">
        <v>2786</v>
      </c>
      <c r="Q448" t="s">
        <v>2113</v>
      </c>
      <c r="R448" t="s">
        <v>3259</v>
      </c>
      <c r="S448" t="s">
        <v>3267</v>
      </c>
      <c r="X448" t="s">
        <v>3354</v>
      </c>
      <c r="Y448" t="s">
        <v>2678</v>
      </c>
      <c r="Z448" t="s">
        <v>3359</v>
      </c>
      <c r="AA448" t="s">
        <v>3406</v>
      </c>
      <c r="AB448" t="s">
        <v>3415</v>
      </c>
      <c r="AC448">
        <f>HYPERLINK("https://lsnyc.legalserver.org/matter/dynamic-profile/view/1905605","19-1905605")</f>
        <v>0</v>
      </c>
      <c r="AD448" t="s">
        <v>3443</v>
      </c>
      <c r="AE448" t="s">
        <v>3450</v>
      </c>
      <c r="AF448" t="s">
        <v>3887</v>
      </c>
      <c r="AG448" t="s">
        <v>3359</v>
      </c>
      <c r="AH448" t="s">
        <v>4906</v>
      </c>
      <c r="AL448" t="s">
        <v>2117</v>
      </c>
      <c r="AN448" t="s">
        <v>3415</v>
      </c>
    </row>
    <row r="449" spans="1:41">
      <c r="A449" s="1" t="s">
        <v>485</v>
      </c>
      <c r="B449" t="s">
        <v>2012</v>
      </c>
      <c r="C449" t="s">
        <v>2000</v>
      </c>
      <c r="D449" t="s">
        <v>2081</v>
      </c>
      <c r="E449" t="s">
        <v>2112</v>
      </c>
      <c r="F449" t="s">
        <v>2116</v>
      </c>
      <c r="G449" t="s">
        <v>2212</v>
      </c>
      <c r="H449">
        <v>11369</v>
      </c>
      <c r="I449" t="s">
        <v>2229</v>
      </c>
      <c r="J449">
        <v>4</v>
      </c>
      <c r="K449">
        <v>3</v>
      </c>
      <c r="L449" t="s">
        <v>2393</v>
      </c>
      <c r="M449" t="s">
        <v>2677</v>
      </c>
      <c r="P449" t="s">
        <v>2802</v>
      </c>
      <c r="Q449" t="s">
        <v>2113</v>
      </c>
      <c r="R449" t="s">
        <v>3259</v>
      </c>
      <c r="S449" t="s">
        <v>3267</v>
      </c>
      <c r="X449" t="s">
        <v>3354</v>
      </c>
      <c r="Y449" t="s">
        <v>2678</v>
      </c>
      <c r="Z449" t="s">
        <v>3359</v>
      </c>
      <c r="AA449" t="s">
        <v>3406</v>
      </c>
      <c r="AB449" t="s">
        <v>3415</v>
      </c>
      <c r="AC449">
        <f>HYPERLINK("https://lsnyc.legalserver.org/matter/dynamic-profile/view/1907443","19-1907443")</f>
        <v>0</v>
      </c>
      <c r="AD449" t="s">
        <v>3443</v>
      </c>
      <c r="AE449" t="s">
        <v>3472</v>
      </c>
      <c r="AF449" t="s">
        <v>3888</v>
      </c>
      <c r="AG449" t="s">
        <v>3359</v>
      </c>
      <c r="AH449" t="s">
        <v>4906</v>
      </c>
      <c r="AI449" t="s">
        <v>4909</v>
      </c>
      <c r="AL449" t="s">
        <v>2116</v>
      </c>
      <c r="AN449" t="s">
        <v>3415</v>
      </c>
    </row>
    <row r="450" spans="1:41">
      <c r="A450" s="1" t="s">
        <v>486</v>
      </c>
      <c r="B450" t="s">
        <v>1998</v>
      </c>
      <c r="C450" t="s">
        <v>1998</v>
      </c>
      <c r="D450" t="s">
        <v>2093</v>
      </c>
      <c r="E450" t="s">
        <v>2112</v>
      </c>
      <c r="F450" t="s">
        <v>2165</v>
      </c>
      <c r="G450" t="s">
        <v>2212</v>
      </c>
      <c r="H450">
        <v>11435</v>
      </c>
      <c r="I450" t="s">
        <v>2230</v>
      </c>
      <c r="J450">
        <v>3</v>
      </c>
      <c r="K450">
        <v>2</v>
      </c>
      <c r="L450" t="s">
        <v>2260</v>
      </c>
      <c r="M450" t="s">
        <v>2677</v>
      </c>
      <c r="P450" t="s">
        <v>2802</v>
      </c>
      <c r="Q450" t="s">
        <v>2113</v>
      </c>
      <c r="R450" t="s">
        <v>3259</v>
      </c>
      <c r="S450" t="s">
        <v>3270</v>
      </c>
      <c r="T450" t="s">
        <v>3294</v>
      </c>
      <c r="U450" t="s">
        <v>2802</v>
      </c>
      <c r="V450" t="s">
        <v>3352</v>
      </c>
      <c r="X450" t="s">
        <v>3354</v>
      </c>
      <c r="Y450" t="s">
        <v>2678</v>
      </c>
      <c r="Z450" t="s">
        <v>3355</v>
      </c>
      <c r="AA450" t="s">
        <v>3406</v>
      </c>
      <c r="AB450" t="s">
        <v>3418</v>
      </c>
      <c r="AC450">
        <f>HYPERLINK("https://lsnyc.legalserver.org/matter/dynamic-profile/view/1910127","19-1910127")</f>
        <v>0</v>
      </c>
      <c r="AD450" t="s">
        <v>3446</v>
      </c>
      <c r="AE450" t="s">
        <v>3456</v>
      </c>
      <c r="AF450" t="s">
        <v>3889</v>
      </c>
      <c r="AG450" t="s">
        <v>3355</v>
      </c>
      <c r="AH450" t="s">
        <v>4904</v>
      </c>
      <c r="AL450" t="s">
        <v>2165</v>
      </c>
      <c r="AM450" t="s">
        <v>3294</v>
      </c>
      <c r="AN450" t="s">
        <v>3418</v>
      </c>
      <c r="AO450" t="s">
        <v>3352</v>
      </c>
    </row>
    <row r="451" spans="1:41">
      <c r="A451" s="1" t="s">
        <v>487</v>
      </c>
      <c r="B451" t="s">
        <v>2018</v>
      </c>
      <c r="C451" t="s">
        <v>2000</v>
      </c>
      <c r="D451" t="s">
        <v>2066</v>
      </c>
      <c r="E451" t="s">
        <v>2112</v>
      </c>
      <c r="F451" t="s">
        <v>2123</v>
      </c>
      <c r="G451" t="s">
        <v>2213</v>
      </c>
      <c r="H451">
        <v>10468</v>
      </c>
      <c r="I451" t="s">
        <v>2229</v>
      </c>
      <c r="J451">
        <v>4</v>
      </c>
      <c r="K451">
        <v>2</v>
      </c>
      <c r="L451" t="s">
        <v>2394</v>
      </c>
      <c r="M451" t="s">
        <v>2677</v>
      </c>
      <c r="P451" t="s">
        <v>2802</v>
      </c>
      <c r="Q451" t="s">
        <v>2113</v>
      </c>
      <c r="R451" t="s">
        <v>3260</v>
      </c>
      <c r="S451" t="s">
        <v>3266</v>
      </c>
      <c r="X451" t="s">
        <v>3354</v>
      </c>
      <c r="Y451" t="s">
        <v>2677</v>
      </c>
      <c r="AB451" t="s">
        <v>3414</v>
      </c>
      <c r="AC451">
        <f>HYPERLINK("https://lsnyc.legalserver.org/matter/dynamic-profile/view/1917814","20-1917814")</f>
        <v>0</v>
      </c>
      <c r="AD451" t="s">
        <v>3445</v>
      </c>
      <c r="AE451" t="s">
        <v>3452</v>
      </c>
      <c r="AF451" t="s">
        <v>3890</v>
      </c>
      <c r="AI451" t="s">
        <v>4909</v>
      </c>
      <c r="AL451" t="s">
        <v>2123</v>
      </c>
      <c r="AN451" t="s">
        <v>3414</v>
      </c>
    </row>
    <row r="452" spans="1:41">
      <c r="A452" s="1" t="s">
        <v>488</v>
      </c>
      <c r="B452" t="s">
        <v>2018</v>
      </c>
      <c r="C452" t="s">
        <v>2000</v>
      </c>
      <c r="D452" t="s">
        <v>2066</v>
      </c>
      <c r="E452" t="s">
        <v>2112</v>
      </c>
      <c r="F452" t="s">
        <v>2123</v>
      </c>
      <c r="G452" t="s">
        <v>2213</v>
      </c>
      <c r="H452">
        <v>10468</v>
      </c>
      <c r="I452" t="s">
        <v>2229</v>
      </c>
      <c r="J452">
        <v>4</v>
      </c>
      <c r="K452">
        <v>2</v>
      </c>
      <c r="L452" t="s">
        <v>2394</v>
      </c>
      <c r="M452" t="s">
        <v>2677</v>
      </c>
      <c r="P452" t="s">
        <v>2802</v>
      </c>
      <c r="Q452" t="s">
        <v>2113</v>
      </c>
      <c r="R452" t="s">
        <v>3260</v>
      </c>
      <c r="S452" t="s">
        <v>3266</v>
      </c>
      <c r="X452" t="s">
        <v>3354</v>
      </c>
      <c r="Y452" t="s">
        <v>2677</v>
      </c>
      <c r="AB452" t="s">
        <v>3414</v>
      </c>
      <c r="AC452">
        <f>HYPERLINK("https://lsnyc.legalserver.org/matter/dynamic-profile/view/1917863","20-1917863")</f>
        <v>0</v>
      </c>
      <c r="AD452" t="s">
        <v>3445</v>
      </c>
      <c r="AE452" t="s">
        <v>3452</v>
      </c>
      <c r="AF452" t="s">
        <v>3890</v>
      </c>
      <c r="AI452" t="s">
        <v>4909</v>
      </c>
      <c r="AL452" t="s">
        <v>2123</v>
      </c>
      <c r="AN452" t="s">
        <v>3414</v>
      </c>
    </row>
    <row r="453" spans="1:41">
      <c r="A453" s="1" t="s">
        <v>489</v>
      </c>
      <c r="B453" t="s">
        <v>1998</v>
      </c>
      <c r="C453" t="s">
        <v>2000</v>
      </c>
      <c r="D453" t="s">
        <v>2076</v>
      </c>
      <c r="E453" t="s">
        <v>2111</v>
      </c>
      <c r="F453" t="s">
        <v>2129</v>
      </c>
      <c r="G453" t="s">
        <v>2211</v>
      </c>
      <c r="H453">
        <v>10039</v>
      </c>
      <c r="I453" t="s">
        <v>2230</v>
      </c>
      <c r="J453">
        <v>1</v>
      </c>
      <c r="K453">
        <v>0</v>
      </c>
      <c r="L453" t="s">
        <v>2260</v>
      </c>
      <c r="M453" t="s">
        <v>2677</v>
      </c>
      <c r="P453" t="s">
        <v>2802</v>
      </c>
      <c r="Q453" t="s">
        <v>2113</v>
      </c>
      <c r="R453" t="s">
        <v>3260</v>
      </c>
      <c r="S453" t="s">
        <v>3266</v>
      </c>
      <c r="V453" t="s">
        <v>3352</v>
      </c>
      <c r="X453" t="s">
        <v>3354</v>
      </c>
      <c r="Y453" t="s">
        <v>2677</v>
      </c>
      <c r="AB453" t="s">
        <v>3414</v>
      </c>
      <c r="AC453">
        <f>HYPERLINK("https://lsnyc.legalserver.org/matter/dynamic-profile/view/1917926","20-1917926")</f>
        <v>0</v>
      </c>
      <c r="AD453" t="s">
        <v>3445</v>
      </c>
      <c r="AE453" t="s">
        <v>3452</v>
      </c>
      <c r="AF453" t="s">
        <v>3891</v>
      </c>
      <c r="AL453" t="s">
        <v>2129</v>
      </c>
      <c r="AN453" t="s">
        <v>3414</v>
      </c>
      <c r="AO453" t="s">
        <v>3352</v>
      </c>
    </row>
    <row r="454" spans="1:41">
      <c r="A454" s="1" t="s">
        <v>490</v>
      </c>
      <c r="B454" t="s">
        <v>2002</v>
      </c>
      <c r="C454" t="s">
        <v>2016</v>
      </c>
      <c r="D454" t="s">
        <v>2057</v>
      </c>
      <c r="E454" t="s">
        <v>2111</v>
      </c>
      <c r="F454" t="s">
        <v>2131</v>
      </c>
      <c r="G454" t="s">
        <v>2213</v>
      </c>
      <c r="H454">
        <v>10453</v>
      </c>
      <c r="I454" t="s">
        <v>2229</v>
      </c>
      <c r="J454">
        <v>1</v>
      </c>
      <c r="K454">
        <v>0</v>
      </c>
      <c r="L454" t="s">
        <v>2395</v>
      </c>
      <c r="M454" t="s">
        <v>2677</v>
      </c>
      <c r="P454" t="s">
        <v>2803</v>
      </c>
      <c r="Q454" t="s">
        <v>2113</v>
      </c>
      <c r="R454" t="s">
        <v>3258</v>
      </c>
      <c r="S454" t="s">
        <v>3262</v>
      </c>
      <c r="T454" t="s">
        <v>3294</v>
      </c>
      <c r="U454" t="s">
        <v>2803</v>
      </c>
      <c r="X454" t="s">
        <v>3354</v>
      </c>
      <c r="Y454" t="s">
        <v>2678</v>
      </c>
      <c r="Z454" t="s">
        <v>3355</v>
      </c>
      <c r="AA454" t="s">
        <v>3406</v>
      </c>
      <c r="AB454" t="s">
        <v>3410</v>
      </c>
      <c r="AC454">
        <f>HYPERLINK("https://lsnyc.legalserver.org/matter/dynamic-profile/view/1904091","19-1904091")</f>
        <v>0</v>
      </c>
      <c r="AD454" t="s">
        <v>3446</v>
      </c>
      <c r="AE454" t="s">
        <v>3465</v>
      </c>
      <c r="AF454" t="s">
        <v>3892</v>
      </c>
      <c r="AG454" t="s">
        <v>3355</v>
      </c>
      <c r="AH454" t="s">
        <v>4904</v>
      </c>
      <c r="AL454" t="s">
        <v>2131</v>
      </c>
      <c r="AM454" t="s">
        <v>3294</v>
      </c>
      <c r="AN454" t="s">
        <v>3410</v>
      </c>
    </row>
    <row r="455" spans="1:41">
      <c r="A455" s="1" t="s">
        <v>491</v>
      </c>
      <c r="B455" t="s">
        <v>2000</v>
      </c>
      <c r="C455" t="s">
        <v>2001</v>
      </c>
      <c r="D455" t="s">
        <v>2038</v>
      </c>
      <c r="E455" t="s">
        <v>2112</v>
      </c>
      <c r="F455" t="s">
        <v>2116</v>
      </c>
      <c r="G455" t="s">
        <v>2214</v>
      </c>
      <c r="H455">
        <v>11230</v>
      </c>
      <c r="I455" t="s">
        <v>2230</v>
      </c>
      <c r="J455">
        <v>5</v>
      </c>
      <c r="K455">
        <v>4</v>
      </c>
      <c r="L455" t="s">
        <v>2305</v>
      </c>
      <c r="M455" t="s">
        <v>2677</v>
      </c>
      <c r="P455" t="s">
        <v>2803</v>
      </c>
      <c r="Q455" t="s">
        <v>3257</v>
      </c>
      <c r="R455" t="s">
        <v>3259</v>
      </c>
      <c r="S455" t="s">
        <v>3276</v>
      </c>
      <c r="T455" t="s">
        <v>3294</v>
      </c>
      <c r="U455" t="s">
        <v>2801</v>
      </c>
      <c r="X455" t="s">
        <v>3354</v>
      </c>
      <c r="Y455" t="s">
        <v>2678</v>
      </c>
      <c r="Z455" t="s">
        <v>3373</v>
      </c>
      <c r="AA455" t="s">
        <v>3406</v>
      </c>
      <c r="AB455" t="s">
        <v>3424</v>
      </c>
      <c r="AC455">
        <f>HYPERLINK("https://lsnyc.legalserver.org/matter/dynamic-profile/view/1904109","19-1904109")</f>
        <v>0</v>
      </c>
      <c r="AD455" t="s">
        <v>3446</v>
      </c>
      <c r="AE455" t="s">
        <v>3454</v>
      </c>
      <c r="AF455" t="s">
        <v>3893</v>
      </c>
      <c r="AG455" t="s">
        <v>3373</v>
      </c>
      <c r="AH455" t="s">
        <v>4904</v>
      </c>
      <c r="AL455" t="s">
        <v>2116</v>
      </c>
      <c r="AM455" t="s">
        <v>3294</v>
      </c>
      <c r="AN455" t="s">
        <v>3424</v>
      </c>
    </row>
    <row r="456" spans="1:41">
      <c r="A456" s="1" t="s">
        <v>492</v>
      </c>
      <c r="B456" t="s">
        <v>2000</v>
      </c>
      <c r="C456" t="s">
        <v>2012</v>
      </c>
      <c r="D456" t="s">
        <v>2084</v>
      </c>
      <c r="E456" t="s">
        <v>2112</v>
      </c>
      <c r="F456" t="s">
        <v>2161</v>
      </c>
      <c r="G456" t="s">
        <v>2213</v>
      </c>
      <c r="H456">
        <v>10453</v>
      </c>
      <c r="I456" t="s">
        <v>2229</v>
      </c>
      <c r="J456">
        <v>4</v>
      </c>
      <c r="K456">
        <v>0</v>
      </c>
      <c r="L456" t="s">
        <v>2391</v>
      </c>
      <c r="M456" t="s">
        <v>2677</v>
      </c>
      <c r="P456" t="s">
        <v>2804</v>
      </c>
      <c r="Q456" t="s">
        <v>3257</v>
      </c>
      <c r="R456" t="s">
        <v>3259</v>
      </c>
      <c r="S456" t="s">
        <v>3267</v>
      </c>
      <c r="X456" t="s">
        <v>3354</v>
      </c>
      <c r="Y456" t="s">
        <v>2678</v>
      </c>
      <c r="Z456" t="s">
        <v>3367</v>
      </c>
      <c r="AB456" t="s">
        <v>3415</v>
      </c>
      <c r="AC456">
        <f>HYPERLINK("https://lsnyc.legalserver.org/matter/dynamic-profile/view/1903724","19-1903724")</f>
        <v>0</v>
      </c>
      <c r="AD456" t="s">
        <v>3442</v>
      </c>
      <c r="AE456" t="s">
        <v>3476</v>
      </c>
      <c r="AF456" t="s">
        <v>3757</v>
      </c>
      <c r="AG456" t="s">
        <v>3367</v>
      </c>
      <c r="AL456" t="s">
        <v>2161</v>
      </c>
      <c r="AN456" t="s">
        <v>3415</v>
      </c>
    </row>
    <row r="457" spans="1:41">
      <c r="A457" s="1" t="s">
        <v>493</v>
      </c>
      <c r="B457" t="s">
        <v>1998</v>
      </c>
      <c r="C457" t="s">
        <v>2000</v>
      </c>
      <c r="D457" t="s">
        <v>2036</v>
      </c>
      <c r="E457" t="s">
        <v>2111</v>
      </c>
      <c r="F457" t="s">
        <v>2115</v>
      </c>
      <c r="G457" t="s">
        <v>2213</v>
      </c>
      <c r="H457">
        <v>10456</v>
      </c>
      <c r="I457" t="s">
        <v>2229</v>
      </c>
      <c r="J457">
        <v>2</v>
      </c>
      <c r="K457">
        <v>1</v>
      </c>
      <c r="L457" t="s">
        <v>2285</v>
      </c>
      <c r="M457" t="s">
        <v>2677</v>
      </c>
      <c r="P457" t="s">
        <v>2804</v>
      </c>
      <c r="Q457" t="s">
        <v>3255</v>
      </c>
      <c r="R457" t="s">
        <v>3260</v>
      </c>
      <c r="S457" t="s">
        <v>3266</v>
      </c>
      <c r="V457" t="s">
        <v>3352</v>
      </c>
      <c r="X457" t="s">
        <v>3354</v>
      </c>
      <c r="Y457" t="s">
        <v>2678</v>
      </c>
      <c r="Z457" t="s">
        <v>3396</v>
      </c>
      <c r="AA457" t="s">
        <v>3406</v>
      </c>
      <c r="AB457" t="s">
        <v>3414</v>
      </c>
      <c r="AC457">
        <f>HYPERLINK("https://lsnyc.legalserver.org/matter/dynamic-profile/view/1903762","19-1903762")</f>
        <v>0</v>
      </c>
      <c r="AD457" t="s">
        <v>3444</v>
      </c>
      <c r="AE457" t="s">
        <v>3466</v>
      </c>
      <c r="AF457" t="s">
        <v>3894</v>
      </c>
      <c r="AG457" t="s">
        <v>3396</v>
      </c>
      <c r="AH457" t="s">
        <v>4905</v>
      </c>
      <c r="AL457" t="s">
        <v>2115</v>
      </c>
      <c r="AN457" t="s">
        <v>3414</v>
      </c>
      <c r="AO457" t="s">
        <v>3352</v>
      </c>
    </row>
    <row r="458" spans="1:41">
      <c r="A458" s="1" t="s">
        <v>494</v>
      </c>
      <c r="B458" t="s">
        <v>2002</v>
      </c>
      <c r="C458" t="s">
        <v>2009</v>
      </c>
      <c r="D458" t="s">
        <v>2060</v>
      </c>
      <c r="E458" t="s">
        <v>2112</v>
      </c>
      <c r="F458" t="s">
        <v>2115</v>
      </c>
      <c r="G458" t="s">
        <v>2212</v>
      </c>
      <c r="H458">
        <v>11365</v>
      </c>
      <c r="I458" t="s">
        <v>2229</v>
      </c>
      <c r="J458">
        <v>3</v>
      </c>
      <c r="K458">
        <v>2</v>
      </c>
      <c r="L458" t="s">
        <v>2260</v>
      </c>
      <c r="M458" t="s">
        <v>2677</v>
      </c>
      <c r="P458" t="s">
        <v>2804</v>
      </c>
      <c r="Q458" t="s">
        <v>3255</v>
      </c>
      <c r="R458" t="s">
        <v>3259</v>
      </c>
      <c r="S458" t="s">
        <v>3267</v>
      </c>
      <c r="X458" t="s">
        <v>3354</v>
      </c>
      <c r="Y458" t="s">
        <v>2678</v>
      </c>
      <c r="Z458" t="s">
        <v>3359</v>
      </c>
      <c r="AA458" t="s">
        <v>3406</v>
      </c>
      <c r="AB458" t="s">
        <v>3415</v>
      </c>
      <c r="AC458">
        <f>HYPERLINK("https://lsnyc.legalserver.org/matter/dynamic-profile/view/1904125","19-1904125")</f>
        <v>0</v>
      </c>
      <c r="AD458" t="s">
        <v>3443</v>
      </c>
      <c r="AE458" t="s">
        <v>3457</v>
      </c>
      <c r="AF458" t="s">
        <v>3895</v>
      </c>
      <c r="AG458" t="s">
        <v>3359</v>
      </c>
      <c r="AH458" t="s">
        <v>4906</v>
      </c>
      <c r="AL458" t="s">
        <v>2115</v>
      </c>
      <c r="AN458" t="s">
        <v>3415</v>
      </c>
    </row>
    <row r="459" spans="1:41">
      <c r="A459" s="1" t="s">
        <v>495</v>
      </c>
      <c r="B459" t="s">
        <v>2001</v>
      </c>
      <c r="C459" t="s">
        <v>1998</v>
      </c>
      <c r="D459" t="s">
        <v>2054</v>
      </c>
      <c r="E459" t="s">
        <v>2112</v>
      </c>
      <c r="F459" t="s">
        <v>2114</v>
      </c>
      <c r="G459" t="s">
        <v>2213</v>
      </c>
      <c r="H459">
        <v>10456</v>
      </c>
      <c r="I459" t="s">
        <v>2229</v>
      </c>
      <c r="J459">
        <v>2</v>
      </c>
      <c r="K459">
        <v>1</v>
      </c>
      <c r="L459" t="s">
        <v>2385</v>
      </c>
      <c r="M459" t="s">
        <v>2677</v>
      </c>
      <c r="P459" t="s">
        <v>2801</v>
      </c>
      <c r="Q459" t="s">
        <v>2113</v>
      </c>
      <c r="R459" t="s">
        <v>3259</v>
      </c>
      <c r="S459" t="s">
        <v>3267</v>
      </c>
      <c r="T459" t="s">
        <v>3294</v>
      </c>
      <c r="U459" t="s">
        <v>2801</v>
      </c>
      <c r="X459" t="s">
        <v>3354</v>
      </c>
      <c r="Y459" t="s">
        <v>2678</v>
      </c>
      <c r="Z459" t="s">
        <v>3380</v>
      </c>
      <c r="AA459" t="s">
        <v>3406</v>
      </c>
      <c r="AB459" t="s">
        <v>3415</v>
      </c>
      <c r="AC459">
        <f>HYPERLINK("https://lsnyc.legalserver.org/matter/dynamic-profile/view/1903652","19-1903652")</f>
        <v>0</v>
      </c>
      <c r="AD459" t="s">
        <v>3442</v>
      </c>
      <c r="AE459" t="s">
        <v>3460</v>
      </c>
      <c r="AF459" t="s">
        <v>3863</v>
      </c>
      <c r="AG459" t="s">
        <v>3380</v>
      </c>
      <c r="AH459" t="s">
        <v>4906</v>
      </c>
      <c r="AL459" t="s">
        <v>2114</v>
      </c>
      <c r="AM459" t="s">
        <v>3294</v>
      </c>
      <c r="AN459" t="s">
        <v>3415</v>
      </c>
    </row>
    <row r="460" spans="1:41">
      <c r="A460" s="1" t="s">
        <v>496</v>
      </c>
      <c r="B460" t="s">
        <v>1998</v>
      </c>
      <c r="C460" t="s">
        <v>2000</v>
      </c>
      <c r="D460" t="s">
        <v>2045</v>
      </c>
      <c r="E460" t="s">
        <v>2111</v>
      </c>
      <c r="G460" t="s">
        <v>2212</v>
      </c>
      <c r="H460">
        <v>11373</v>
      </c>
      <c r="I460" t="s">
        <v>2229</v>
      </c>
      <c r="J460">
        <v>1</v>
      </c>
      <c r="K460">
        <v>0</v>
      </c>
      <c r="L460" t="s">
        <v>2331</v>
      </c>
      <c r="M460" t="s">
        <v>2677</v>
      </c>
      <c r="P460" t="s">
        <v>2805</v>
      </c>
      <c r="Q460" t="s">
        <v>3255</v>
      </c>
      <c r="R460" t="s">
        <v>3259</v>
      </c>
      <c r="S460" t="s">
        <v>3287</v>
      </c>
      <c r="X460" t="s">
        <v>3354</v>
      </c>
      <c r="Y460" t="s">
        <v>2678</v>
      </c>
      <c r="Z460" t="s">
        <v>3378</v>
      </c>
      <c r="AB460" t="s">
        <v>3435</v>
      </c>
      <c r="AC460">
        <f>HYPERLINK("https://lsnyc.legalserver.org/matter/dynamic-profile/view/1903655","19-1903655")</f>
        <v>0</v>
      </c>
      <c r="AD460" t="s">
        <v>3443</v>
      </c>
      <c r="AE460" t="s">
        <v>3467</v>
      </c>
      <c r="AF460" t="s">
        <v>3896</v>
      </c>
      <c r="AG460" t="s">
        <v>3378</v>
      </c>
      <c r="AI460" t="s">
        <v>4909</v>
      </c>
      <c r="AN460" t="s">
        <v>3435</v>
      </c>
    </row>
    <row r="461" spans="1:41">
      <c r="A461" s="1" t="s">
        <v>497</v>
      </c>
      <c r="B461" t="s">
        <v>2016</v>
      </c>
      <c r="C461" t="s">
        <v>2001</v>
      </c>
      <c r="D461" t="s">
        <v>2060</v>
      </c>
      <c r="E461" t="s">
        <v>2112</v>
      </c>
      <c r="F461" t="s">
        <v>2142</v>
      </c>
      <c r="G461" t="s">
        <v>2216</v>
      </c>
      <c r="H461">
        <v>10310</v>
      </c>
      <c r="I461" t="s">
        <v>2230</v>
      </c>
      <c r="J461">
        <v>2</v>
      </c>
      <c r="K461">
        <v>1</v>
      </c>
      <c r="L461" t="s">
        <v>2396</v>
      </c>
      <c r="M461" t="s">
        <v>2677</v>
      </c>
      <c r="P461" t="s">
        <v>2805</v>
      </c>
      <c r="Q461" t="s">
        <v>2113</v>
      </c>
      <c r="R461" t="s">
        <v>3258</v>
      </c>
      <c r="S461" t="s">
        <v>3279</v>
      </c>
      <c r="X461" t="s">
        <v>3354</v>
      </c>
      <c r="Y461" t="s">
        <v>2678</v>
      </c>
      <c r="Z461" t="s">
        <v>3377</v>
      </c>
      <c r="AA461" t="s">
        <v>3406</v>
      </c>
      <c r="AB461" t="s">
        <v>3427</v>
      </c>
      <c r="AC461">
        <f>HYPERLINK("https://lsnyc.legalserver.org/matter/dynamic-profile/view/1903657","19-1903657")</f>
        <v>0</v>
      </c>
      <c r="AD461" t="s">
        <v>3447</v>
      </c>
      <c r="AE461" t="s">
        <v>3462</v>
      </c>
      <c r="AF461" t="s">
        <v>3897</v>
      </c>
      <c r="AG461" t="s">
        <v>3377</v>
      </c>
      <c r="AH461" t="s">
        <v>4904</v>
      </c>
      <c r="AI461" t="s">
        <v>4909</v>
      </c>
      <c r="AL461" t="s">
        <v>2142</v>
      </c>
      <c r="AN461" t="s">
        <v>3427</v>
      </c>
    </row>
    <row r="462" spans="1:41">
      <c r="A462" s="1" t="s">
        <v>498</v>
      </c>
      <c r="B462" t="s">
        <v>2012</v>
      </c>
      <c r="C462" t="s">
        <v>2000</v>
      </c>
      <c r="D462" t="s">
        <v>2036</v>
      </c>
      <c r="E462" t="s">
        <v>2111</v>
      </c>
      <c r="F462" t="s">
        <v>2117</v>
      </c>
      <c r="G462" t="s">
        <v>2211</v>
      </c>
      <c r="H462">
        <v>10033</v>
      </c>
      <c r="I462" t="s">
        <v>2229</v>
      </c>
      <c r="J462">
        <v>1</v>
      </c>
      <c r="K462">
        <v>1</v>
      </c>
      <c r="L462" t="s">
        <v>2260</v>
      </c>
      <c r="M462" t="s">
        <v>2677</v>
      </c>
      <c r="P462" t="s">
        <v>2805</v>
      </c>
      <c r="Q462" t="s">
        <v>2113</v>
      </c>
      <c r="R462" t="s">
        <v>3259</v>
      </c>
      <c r="S462" t="s">
        <v>3267</v>
      </c>
      <c r="X462" t="s">
        <v>3354</v>
      </c>
      <c r="Y462" t="s">
        <v>2678</v>
      </c>
      <c r="Z462" t="s">
        <v>3359</v>
      </c>
      <c r="AA462" t="s">
        <v>3406</v>
      </c>
      <c r="AB462" t="s">
        <v>3415</v>
      </c>
      <c r="AC462">
        <f>HYPERLINK("https://lsnyc.legalserver.org/matter/dynamic-profile/view/1904265","19-1904265")</f>
        <v>0</v>
      </c>
      <c r="AD462" t="s">
        <v>3442</v>
      </c>
      <c r="AE462" t="s">
        <v>3448</v>
      </c>
      <c r="AF462" t="s">
        <v>3898</v>
      </c>
      <c r="AG462" t="s">
        <v>3359</v>
      </c>
      <c r="AH462" t="s">
        <v>4906</v>
      </c>
      <c r="AK462" t="s">
        <v>4911</v>
      </c>
      <c r="AL462" t="s">
        <v>2117</v>
      </c>
      <c r="AN462" t="s">
        <v>3415</v>
      </c>
    </row>
    <row r="463" spans="1:41">
      <c r="A463" s="1" t="s">
        <v>499</v>
      </c>
      <c r="B463" t="s">
        <v>2012</v>
      </c>
      <c r="C463" t="s">
        <v>2000</v>
      </c>
      <c r="D463" t="s">
        <v>2036</v>
      </c>
      <c r="E463" t="s">
        <v>2111</v>
      </c>
      <c r="F463" t="s">
        <v>2117</v>
      </c>
      <c r="G463" t="s">
        <v>2211</v>
      </c>
      <c r="H463">
        <v>10033</v>
      </c>
      <c r="I463" t="s">
        <v>2229</v>
      </c>
      <c r="J463">
        <v>1</v>
      </c>
      <c r="K463">
        <v>1</v>
      </c>
      <c r="L463" t="s">
        <v>2260</v>
      </c>
      <c r="M463" t="s">
        <v>2677</v>
      </c>
      <c r="P463" t="s">
        <v>2805</v>
      </c>
      <c r="Q463" t="s">
        <v>2113</v>
      </c>
      <c r="R463" t="s">
        <v>3259</v>
      </c>
      <c r="S463" t="s">
        <v>3267</v>
      </c>
      <c r="X463" t="s">
        <v>3354</v>
      </c>
      <c r="Y463" t="s">
        <v>2678</v>
      </c>
      <c r="Z463" t="s">
        <v>3380</v>
      </c>
      <c r="AA463" t="s">
        <v>3406</v>
      </c>
      <c r="AB463" t="s">
        <v>3415</v>
      </c>
      <c r="AC463">
        <f>HYPERLINK("https://lsnyc.legalserver.org/matter/dynamic-profile/view/1904269","19-1904269")</f>
        <v>0</v>
      </c>
      <c r="AD463" t="s">
        <v>3442</v>
      </c>
      <c r="AE463" t="s">
        <v>3448</v>
      </c>
      <c r="AF463" t="s">
        <v>3898</v>
      </c>
      <c r="AG463" t="s">
        <v>3380</v>
      </c>
      <c r="AH463" t="s">
        <v>4906</v>
      </c>
      <c r="AK463" t="s">
        <v>4911</v>
      </c>
      <c r="AL463" t="s">
        <v>2117</v>
      </c>
      <c r="AN463" t="s">
        <v>3415</v>
      </c>
    </row>
    <row r="464" spans="1:41">
      <c r="A464" s="1" t="s">
        <v>500</v>
      </c>
      <c r="B464" t="s">
        <v>2012</v>
      </c>
      <c r="C464" t="s">
        <v>2000</v>
      </c>
      <c r="D464" t="s">
        <v>2036</v>
      </c>
      <c r="E464" t="s">
        <v>2111</v>
      </c>
      <c r="F464" t="s">
        <v>2117</v>
      </c>
      <c r="G464" t="s">
        <v>2211</v>
      </c>
      <c r="H464">
        <v>10033</v>
      </c>
      <c r="I464" t="s">
        <v>2229</v>
      </c>
      <c r="J464">
        <v>1</v>
      </c>
      <c r="K464">
        <v>1</v>
      </c>
      <c r="L464" t="s">
        <v>2260</v>
      </c>
      <c r="M464" t="s">
        <v>2677</v>
      </c>
      <c r="P464" t="s">
        <v>2712</v>
      </c>
      <c r="Q464" t="s">
        <v>3255</v>
      </c>
      <c r="R464" t="s">
        <v>3259</v>
      </c>
      <c r="S464" t="s">
        <v>3272</v>
      </c>
      <c r="T464" t="s">
        <v>3294</v>
      </c>
      <c r="U464" t="s">
        <v>2712</v>
      </c>
      <c r="X464" t="s">
        <v>3354</v>
      </c>
      <c r="Y464" t="s">
        <v>2678</v>
      </c>
      <c r="Z464" t="s">
        <v>3383</v>
      </c>
      <c r="AA464" t="s">
        <v>3406</v>
      </c>
      <c r="AB464" t="s">
        <v>3420</v>
      </c>
      <c r="AC464">
        <f>HYPERLINK("https://lsnyc.legalserver.org/matter/dynamic-profile/view/1904285","19-1904285")</f>
        <v>0</v>
      </c>
      <c r="AD464" t="s">
        <v>3442</v>
      </c>
      <c r="AE464" t="s">
        <v>3448</v>
      </c>
      <c r="AF464" t="s">
        <v>3898</v>
      </c>
      <c r="AG464" t="s">
        <v>3383</v>
      </c>
      <c r="AH464" t="s">
        <v>4906</v>
      </c>
      <c r="AL464" t="s">
        <v>2117</v>
      </c>
      <c r="AM464" t="s">
        <v>3294</v>
      </c>
      <c r="AN464" t="s">
        <v>3420</v>
      </c>
    </row>
    <row r="465" spans="1:40">
      <c r="A465" s="1" t="s">
        <v>501</v>
      </c>
      <c r="B465" t="s">
        <v>1998</v>
      </c>
      <c r="C465" t="s">
        <v>2009</v>
      </c>
      <c r="D465" t="s">
        <v>2069</v>
      </c>
      <c r="E465" t="s">
        <v>2111</v>
      </c>
      <c r="F465" t="s">
        <v>2164</v>
      </c>
      <c r="G465" t="s">
        <v>2211</v>
      </c>
      <c r="H465">
        <v>10039</v>
      </c>
      <c r="I465" t="s">
        <v>2234</v>
      </c>
      <c r="J465">
        <v>1</v>
      </c>
      <c r="K465">
        <v>0</v>
      </c>
      <c r="L465" t="s">
        <v>2333</v>
      </c>
      <c r="M465" t="s">
        <v>2677</v>
      </c>
      <c r="P465" t="s">
        <v>2805</v>
      </c>
      <c r="Q465" t="s">
        <v>3255</v>
      </c>
      <c r="R465" t="s">
        <v>3259</v>
      </c>
      <c r="S465" t="s">
        <v>3272</v>
      </c>
      <c r="X465" t="s">
        <v>3354</v>
      </c>
      <c r="Y465" t="s">
        <v>2678</v>
      </c>
      <c r="Z465" t="s">
        <v>3383</v>
      </c>
      <c r="AA465" t="s">
        <v>3406</v>
      </c>
      <c r="AB465" t="s">
        <v>3420</v>
      </c>
      <c r="AC465">
        <f>HYPERLINK("https://lsnyc.legalserver.org/matter/dynamic-profile/view/1904296","19-1904296")</f>
        <v>0</v>
      </c>
      <c r="AD465" t="s">
        <v>3442</v>
      </c>
      <c r="AE465" t="s">
        <v>3448</v>
      </c>
      <c r="AF465" t="s">
        <v>3899</v>
      </c>
      <c r="AG465" t="s">
        <v>3383</v>
      </c>
      <c r="AH465" t="s">
        <v>4906</v>
      </c>
      <c r="AK465" t="s">
        <v>4911</v>
      </c>
      <c r="AL465" t="s">
        <v>2164</v>
      </c>
      <c r="AN465" t="s">
        <v>3420</v>
      </c>
    </row>
    <row r="466" spans="1:40">
      <c r="A466" s="1" t="s">
        <v>502</v>
      </c>
      <c r="B466" t="s">
        <v>2012</v>
      </c>
      <c r="C466" t="s">
        <v>2001</v>
      </c>
      <c r="D466" t="s">
        <v>2067</v>
      </c>
      <c r="E466" t="s">
        <v>2112</v>
      </c>
      <c r="F466" t="s">
        <v>2117</v>
      </c>
      <c r="G466" t="s">
        <v>2213</v>
      </c>
      <c r="H466">
        <v>10458</v>
      </c>
      <c r="I466" t="s">
        <v>2229</v>
      </c>
      <c r="J466">
        <v>5</v>
      </c>
      <c r="K466">
        <v>2</v>
      </c>
      <c r="L466" t="s">
        <v>2397</v>
      </c>
      <c r="M466" t="s">
        <v>2677</v>
      </c>
      <c r="P466" t="s">
        <v>2805</v>
      </c>
      <c r="Q466" t="s">
        <v>2113</v>
      </c>
      <c r="R466" t="s">
        <v>3259</v>
      </c>
      <c r="S466" t="s">
        <v>3267</v>
      </c>
      <c r="X466" t="s">
        <v>3354</v>
      </c>
      <c r="Y466" t="s">
        <v>2678</v>
      </c>
      <c r="Z466" t="s">
        <v>3359</v>
      </c>
      <c r="AA466" t="s">
        <v>3406</v>
      </c>
      <c r="AB466" t="s">
        <v>3415</v>
      </c>
      <c r="AC466">
        <f>HYPERLINK("https://lsnyc.legalserver.org/matter/dynamic-profile/view/1904320","19-1904320")</f>
        <v>0</v>
      </c>
      <c r="AD466" t="s">
        <v>3442</v>
      </c>
      <c r="AE466" t="s">
        <v>3448</v>
      </c>
      <c r="AF466" t="s">
        <v>3900</v>
      </c>
      <c r="AG466" t="s">
        <v>3359</v>
      </c>
      <c r="AH466" t="s">
        <v>4906</v>
      </c>
      <c r="AK466" t="s">
        <v>4911</v>
      </c>
      <c r="AL466" t="s">
        <v>2117</v>
      </c>
      <c r="AN466" t="s">
        <v>3415</v>
      </c>
    </row>
    <row r="467" spans="1:40">
      <c r="A467" s="1" t="s">
        <v>503</v>
      </c>
      <c r="B467" t="s">
        <v>2012</v>
      </c>
      <c r="C467" t="s">
        <v>2001</v>
      </c>
      <c r="D467" t="s">
        <v>2067</v>
      </c>
      <c r="E467" t="s">
        <v>2112</v>
      </c>
      <c r="F467" t="s">
        <v>2117</v>
      </c>
      <c r="G467" t="s">
        <v>2213</v>
      </c>
      <c r="H467">
        <v>10458</v>
      </c>
      <c r="I467" t="s">
        <v>2229</v>
      </c>
      <c r="J467">
        <v>5</v>
      </c>
      <c r="K467">
        <v>2</v>
      </c>
      <c r="L467" t="s">
        <v>2397</v>
      </c>
      <c r="M467" t="s">
        <v>2677</v>
      </c>
      <c r="P467" t="s">
        <v>2805</v>
      </c>
      <c r="Q467" t="s">
        <v>2113</v>
      </c>
      <c r="R467" t="s">
        <v>3259</v>
      </c>
      <c r="S467" t="s">
        <v>3267</v>
      </c>
      <c r="X467" t="s">
        <v>3354</v>
      </c>
      <c r="Y467" t="s">
        <v>2678</v>
      </c>
      <c r="Z467" t="s">
        <v>3380</v>
      </c>
      <c r="AA467" t="s">
        <v>3406</v>
      </c>
      <c r="AB467" t="s">
        <v>3415</v>
      </c>
      <c r="AC467">
        <f>HYPERLINK("https://lsnyc.legalserver.org/matter/dynamic-profile/view/1904323","19-1904323")</f>
        <v>0</v>
      </c>
      <c r="AD467" t="s">
        <v>3442</v>
      </c>
      <c r="AE467" t="s">
        <v>3448</v>
      </c>
      <c r="AF467" t="s">
        <v>3900</v>
      </c>
      <c r="AG467" t="s">
        <v>3380</v>
      </c>
      <c r="AH467" t="s">
        <v>4906</v>
      </c>
      <c r="AK467" t="s">
        <v>4911</v>
      </c>
      <c r="AL467" t="s">
        <v>2117</v>
      </c>
      <c r="AN467" t="s">
        <v>3415</v>
      </c>
    </row>
    <row r="468" spans="1:40">
      <c r="A468" s="1" t="s">
        <v>504</v>
      </c>
      <c r="B468" t="s">
        <v>2012</v>
      </c>
      <c r="C468" t="s">
        <v>2001</v>
      </c>
      <c r="D468" t="s">
        <v>2067</v>
      </c>
      <c r="E468" t="s">
        <v>2112</v>
      </c>
      <c r="F468" t="s">
        <v>2117</v>
      </c>
      <c r="G468" t="s">
        <v>2213</v>
      </c>
      <c r="H468">
        <v>10458</v>
      </c>
      <c r="I468" t="s">
        <v>2229</v>
      </c>
      <c r="J468">
        <v>5</v>
      </c>
      <c r="K468">
        <v>2</v>
      </c>
      <c r="L468" t="s">
        <v>2397</v>
      </c>
      <c r="M468" t="s">
        <v>2677</v>
      </c>
      <c r="P468" t="s">
        <v>2805</v>
      </c>
      <c r="Q468" t="s">
        <v>3255</v>
      </c>
      <c r="R468" t="s">
        <v>3259</v>
      </c>
      <c r="S468" t="s">
        <v>3272</v>
      </c>
      <c r="X468" t="s">
        <v>3354</v>
      </c>
      <c r="Y468" t="s">
        <v>2678</v>
      </c>
      <c r="Z468" t="s">
        <v>3383</v>
      </c>
      <c r="AA468" t="s">
        <v>3406</v>
      </c>
      <c r="AB468" t="s">
        <v>3420</v>
      </c>
      <c r="AC468">
        <f>HYPERLINK("https://lsnyc.legalserver.org/matter/dynamic-profile/view/1904336","19-1904336")</f>
        <v>0</v>
      </c>
      <c r="AD468" t="s">
        <v>3442</v>
      </c>
      <c r="AE468" t="s">
        <v>3448</v>
      </c>
      <c r="AF468" t="s">
        <v>3900</v>
      </c>
      <c r="AG468" t="s">
        <v>3383</v>
      </c>
      <c r="AH468" t="s">
        <v>4906</v>
      </c>
      <c r="AK468" t="s">
        <v>4911</v>
      </c>
      <c r="AL468" t="s">
        <v>2117</v>
      </c>
      <c r="AN468" t="s">
        <v>3420</v>
      </c>
    </row>
    <row r="469" spans="1:40">
      <c r="A469" s="1" t="s">
        <v>505</v>
      </c>
      <c r="B469" t="s">
        <v>2000</v>
      </c>
      <c r="C469" t="s">
        <v>2000</v>
      </c>
      <c r="D469" t="s">
        <v>2027</v>
      </c>
      <c r="E469" t="s">
        <v>2111</v>
      </c>
      <c r="F469" t="s">
        <v>2117</v>
      </c>
      <c r="G469" t="s">
        <v>2213</v>
      </c>
      <c r="H469">
        <v>10458</v>
      </c>
      <c r="I469" t="s">
        <v>2229</v>
      </c>
      <c r="J469">
        <v>5</v>
      </c>
      <c r="K469">
        <v>3</v>
      </c>
      <c r="L469" t="s">
        <v>2397</v>
      </c>
      <c r="M469" t="s">
        <v>2677</v>
      </c>
      <c r="P469" t="s">
        <v>2805</v>
      </c>
      <c r="Q469" t="s">
        <v>2113</v>
      </c>
      <c r="R469" t="s">
        <v>3259</v>
      </c>
      <c r="S469" t="s">
        <v>3267</v>
      </c>
      <c r="X469" t="s">
        <v>3354</v>
      </c>
      <c r="Y469" t="s">
        <v>2678</v>
      </c>
      <c r="Z469" t="s">
        <v>3359</v>
      </c>
      <c r="AA469" t="s">
        <v>3406</v>
      </c>
      <c r="AB469" t="s">
        <v>3415</v>
      </c>
      <c r="AC469">
        <f>HYPERLINK("https://lsnyc.legalserver.org/matter/dynamic-profile/view/1904349","19-1904349")</f>
        <v>0</v>
      </c>
      <c r="AD469" t="s">
        <v>3442</v>
      </c>
      <c r="AE469" t="s">
        <v>3448</v>
      </c>
      <c r="AF469" t="s">
        <v>3901</v>
      </c>
      <c r="AG469" t="s">
        <v>3359</v>
      </c>
      <c r="AH469" t="s">
        <v>4906</v>
      </c>
      <c r="AK469" t="s">
        <v>4911</v>
      </c>
      <c r="AL469" t="s">
        <v>2117</v>
      </c>
      <c r="AN469" t="s">
        <v>3415</v>
      </c>
    </row>
    <row r="470" spans="1:40">
      <c r="A470" s="1" t="s">
        <v>506</v>
      </c>
      <c r="B470" t="s">
        <v>2000</v>
      </c>
      <c r="C470" t="s">
        <v>2000</v>
      </c>
      <c r="D470" t="s">
        <v>2027</v>
      </c>
      <c r="E470" t="s">
        <v>2111</v>
      </c>
      <c r="F470" t="s">
        <v>2117</v>
      </c>
      <c r="G470" t="s">
        <v>2213</v>
      </c>
      <c r="H470">
        <v>10458</v>
      </c>
      <c r="I470" t="s">
        <v>2229</v>
      </c>
      <c r="J470">
        <v>5</v>
      </c>
      <c r="K470">
        <v>3</v>
      </c>
      <c r="L470" t="s">
        <v>2397</v>
      </c>
      <c r="M470" t="s">
        <v>2677</v>
      </c>
      <c r="P470" t="s">
        <v>2805</v>
      </c>
      <c r="Q470" t="s">
        <v>2113</v>
      </c>
      <c r="R470" t="s">
        <v>3259</v>
      </c>
      <c r="S470" t="s">
        <v>3267</v>
      </c>
      <c r="X470" t="s">
        <v>3354</v>
      </c>
      <c r="Y470" t="s">
        <v>2678</v>
      </c>
      <c r="Z470" t="s">
        <v>3380</v>
      </c>
      <c r="AA470" t="s">
        <v>3406</v>
      </c>
      <c r="AB470" t="s">
        <v>3415</v>
      </c>
      <c r="AC470">
        <f>HYPERLINK("https://lsnyc.legalserver.org/matter/dynamic-profile/view/1904352","19-1904352")</f>
        <v>0</v>
      </c>
      <c r="AD470" t="s">
        <v>3442</v>
      </c>
      <c r="AE470" t="s">
        <v>3448</v>
      </c>
      <c r="AF470" t="s">
        <v>3901</v>
      </c>
      <c r="AG470" t="s">
        <v>3380</v>
      </c>
      <c r="AH470" t="s">
        <v>4906</v>
      </c>
      <c r="AK470" t="s">
        <v>4911</v>
      </c>
      <c r="AL470" t="s">
        <v>2117</v>
      </c>
      <c r="AN470" t="s">
        <v>3415</v>
      </c>
    </row>
    <row r="471" spans="1:40">
      <c r="A471" s="1" t="s">
        <v>507</v>
      </c>
      <c r="B471" t="s">
        <v>2000</v>
      </c>
      <c r="C471" t="s">
        <v>2000</v>
      </c>
      <c r="D471" t="s">
        <v>2027</v>
      </c>
      <c r="E471" t="s">
        <v>2111</v>
      </c>
      <c r="F471" t="s">
        <v>2117</v>
      </c>
      <c r="G471" t="s">
        <v>2213</v>
      </c>
      <c r="H471">
        <v>10458</v>
      </c>
      <c r="I471" t="s">
        <v>2229</v>
      </c>
      <c r="J471">
        <v>5</v>
      </c>
      <c r="K471">
        <v>3</v>
      </c>
      <c r="L471" t="s">
        <v>2397</v>
      </c>
      <c r="M471" t="s">
        <v>2677</v>
      </c>
      <c r="P471" t="s">
        <v>2805</v>
      </c>
      <c r="Q471" t="s">
        <v>3255</v>
      </c>
      <c r="R471" t="s">
        <v>3259</v>
      </c>
      <c r="S471" t="s">
        <v>3272</v>
      </c>
      <c r="X471" t="s">
        <v>3354</v>
      </c>
      <c r="Y471" t="s">
        <v>2678</v>
      </c>
      <c r="Z471" t="s">
        <v>3383</v>
      </c>
      <c r="AA471" t="s">
        <v>3406</v>
      </c>
      <c r="AB471" t="s">
        <v>3420</v>
      </c>
      <c r="AC471">
        <f>HYPERLINK("https://lsnyc.legalserver.org/matter/dynamic-profile/view/1904353","19-1904353")</f>
        <v>0</v>
      </c>
      <c r="AD471" t="s">
        <v>3442</v>
      </c>
      <c r="AE471" t="s">
        <v>3448</v>
      </c>
      <c r="AF471" t="s">
        <v>3901</v>
      </c>
      <c r="AG471" t="s">
        <v>3383</v>
      </c>
      <c r="AH471" t="s">
        <v>4906</v>
      </c>
      <c r="AK471" t="s">
        <v>4911</v>
      </c>
      <c r="AL471" t="s">
        <v>2117</v>
      </c>
      <c r="AN471" t="s">
        <v>3420</v>
      </c>
    </row>
    <row r="472" spans="1:40">
      <c r="A472" s="1" t="s">
        <v>508</v>
      </c>
      <c r="B472" t="s">
        <v>2002</v>
      </c>
      <c r="C472" t="s">
        <v>2009</v>
      </c>
      <c r="D472" t="s">
        <v>2036</v>
      </c>
      <c r="E472" t="s">
        <v>2111</v>
      </c>
      <c r="F472" t="s">
        <v>2114</v>
      </c>
      <c r="G472" t="s">
        <v>2214</v>
      </c>
      <c r="H472">
        <v>11219</v>
      </c>
      <c r="I472" t="s">
        <v>2229</v>
      </c>
      <c r="J472">
        <v>2</v>
      </c>
      <c r="K472">
        <v>1</v>
      </c>
      <c r="L472" t="s">
        <v>2306</v>
      </c>
      <c r="M472" t="s">
        <v>2677</v>
      </c>
      <c r="P472" t="s">
        <v>2806</v>
      </c>
      <c r="Q472" t="s">
        <v>2113</v>
      </c>
      <c r="R472" t="s">
        <v>3259</v>
      </c>
      <c r="S472" t="s">
        <v>3267</v>
      </c>
      <c r="X472" t="s">
        <v>3354</v>
      </c>
      <c r="Y472" t="s">
        <v>2678</v>
      </c>
      <c r="Z472" t="s">
        <v>3359</v>
      </c>
      <c r="AA472" t="s">
        <v>3406</v>
      </c>
      <c r="AB472" t="s">
        <v>3415</v>
      </c>
      <c r="AC472">
        <f>HYPERLINK("https://lsnyc.legalserver.org/matter/dynamic-profile/view/1903582","19-1903582")</f>
        <v>0</v>
      </c>
      <c r="AD472" t="s">
        <v>3446</v>
      </c>
      <c r="AE472" t="s">
        <v>3456</v>
      </c>
      <c r="AF472" t="s">
        <v>3744</v>
      </c>
      <c r="AG472" t="s">
        <v>3359</v>
      </c>
      <c r="AH472" t="s">
        <v>4906</v>
      </c>
      <c r="AL472" t="s">
        <v>2114</v>
      </c>
      <c r="AN472" t="s">
        <v>3415</v>
      </c>
    </row>
    <row r="473" spans="1:40">
      <c r="A473" s="1" t="s">
        <v>509</v>
      </c>
      <c r="B473" t="s">
        <v>1998</v>
      </c>
      <c r="C473" t="s">
        <v>2002</v>
      </c>
      <c r="D473" t="s">
        <v>2064</v>
      </c>
      <c r="E473" t="s">
        <v>2111</v>
      </c>
      <c r="F473" t="s">
        <v>2114</v>
      </c>
      <c r="G473" t="s">
        <v>2212</v>
      </c>
      <c r="H473">
        <v>11429</v>
      </c>
      <c r="I473" t="s">
        <v>2229</v>
      </c>
      <c r="J473">
        <v>2</v>
      </c>
      <c r="K473">
        <v>1</v>
      </c>
      <c r="L473" t="s">
        <v>2381</v>
      </c>
      <c r="M473" t="s">
        <v>2677</v>
      </c>
      <c r="P473" t="s">
        <v>2806</v>
      </c>
      <c r="Q473" t="s">
        <v>2113</v>
      </c>
      <c r="R473" t="s">
        <v>3260</v>
      </c>
      <c r="S473" t="s">
        <v>3266</v>
      </c>
      <c r="X473" t="s">
        <v>3354</v>
      </c>
      <c r="Y473" t="s">
        <v>2678</v>
      </c>
      <c r="AB473" t="s">
        <v>3414</v>
      </c>
      <c r="AC473">
        <f>HYPERLINK("https://lsnyc.legalserver.org/matter/dynamic-profile/view/1903585","19-1903585")</f>
        <v>0</v>
      </c>
      <c r="AD473" t="s">
        <v>3443</v>
      </c>
      <c r="AE473" t="s">
        <v>3482</v>
      </c>
      <c r="AF473" t="s">
        <v>3902</v>
      </c>
      <c r="AI473" t="s">
        <v>4909</v>
      </c>
      <c r="AL473" t="s">
        <v>2114</v>
      </c>
      <c r="AN473" t="s">
        <v>3414</v>
      </c>
    </row>
    <row r="474" spans="1:40">
      <c r="A474" s="1" t="s">
        <v>510</v>
      </c>
      <c r="B474" t="s">
        <v>2001</v>
      </c>
      <c r="C474" t="s">
        <v>2001</v>
      </c>
      <c r="D474" t="s">
        <v>2029</v>
      </c>
      <c r="E474" t="s">
        <v>2112</v>
      </c>
      <c r="F474" t="s">
        <v>2120</v>
      </c>
      <c r="G474" t="s">
        <v>2214</v>
      </c>
      <c r="H474">
        <v>11203</v>
      </c>
      <c r="I474" t="s">
        <v>2230</v>
      </c>
      <c r="J474">
        <v>1</v>
      </c>
      <c r="K474">
        <v>0</v>
      </c>
      <c r="L474" t="s">
        <v>2260</v>
      </c>
      <c r="M474" t="s">
        <v>2677</v>
      </c>
      <c r="P474" t="s">
        <v>2807</v>
      </c>
      <c r="Q474" t="s">
        <v>2113</v>
      </c>
      <c r="R474" t="s">
        <v>3259</v>
      </c>
      <c r="S474" t="s">
        <v>3287</v>
      </c>
      <c r="X474" t="s">
        <v>3354</v>
      </c>
      <c r="Y474" t="s">
        <v>2677</v>
      </c>
      <c r="Z474" t="s">
        <v>3378</v>
      </c>
      <c r="AA474" t="s">
        <v>3406</v>
      </c>
      <c r="AB474" t="s">
        <v>3435</v>
      </c>
      <c r="AC474">
        <f>HYPERLINK("https://lsnyc.legalserver.org/matter/dynamic-profile/view/1901619","19-1901619")</f>
        <v>0</v>
      </c>
      <c r="AD474" t="s">
        <v>3445</v>
      </c>
      <c r="AE474" t="s">
        <v>3452</v>
      </c>
      <c r="AF474" t="s">
        <v>3903</v>
      </c>
      <c r="AG474" t="s">
        <v>3378</v>
      </c>
      <c r="AH474" t="s">
        <v>4904</v>
      </c>
      <c r="AL474" t="s">
        <v>2120</v>
      </c>
      <c r="AN474" t="s">
        <v>3435</v>
      </c>
    </row>
    <row r="475" spans="1:40">
      <c r="A475" s="1" t="s">
        <v>511</v>
      </c>
      <c r="B475" t="s">
        <v>2001</v>
      </c>
      <c r="C475" t="s">
        <v>2016</v>
      </c>
      <c r="D475" t="s">
        <v>2036</v>
      </c>
      <c r="E475" t="s">
        <v>2111</v>
      </c>
      <c r="F475" t="s">
        <v>2115</v>
      </c>
      <c r="G475" t="s">
        <v>2214</v>
      </c>
      <c r="H475">
        <v>11204</v>
      </c>
      <c r="I475" t="s">
        <v>2229</v>
      </c>
      <c r="J475">
        <v>3</v>
      </c>
      <c r="K475">
        <v>2</v>
      </c>
      <c r="L475" t="s">
        <v>2398</v>
      </c>
      <c r="M475" t="s">
        <v>2677</v>
      </c>
      <c r="P475" t="s">
        <v>2807</v>
      </c>
      <c r="Q475" t="s">
        <v>3255</v>
      </c>
      <c r="R475" t="s">
        <v>3258</v>
      </c>
      <c r="S475" t="s">
        <v>3262</v>
      </c>
      <c r="X475" t="s">
        <v>3354</v>
      </c>
      <c r="Y475" t="s">
        <v>2677</v>
      </c>
      <c r="Z475" t="s">
        <v>3355</v>
      </c>
      <c r="AA475" t="s">
        <v>3406</v>
      </c>
      <c r="AB475" t="s">
        <v>3410</v>
      </c>
      <c r="AC475">
        <f>HYPERLINK("https://lsnyc.legalserver.org/matter/dynamic-profile/view/1903366","19-1903366")</f>
        <v>0</v>
      </c>
      <c r="AD475" t="s">
        <v>3445</v>
      </c>
      <c r="AE475" t="s">
        <v>3455</v>
      </c>
      <c r="AF475" t="s">
        <v>3904</v>
      </c>
      <c r="AG475" t="s">
        <v>3355</v>
      </c>
      <c r="AH475" t="s">
        <v>4904</v>
      </c>
      <c r="AK475" t="s">
        <v>4911</v>
      </c>
      <c r="AL475" t="s">
        <v>2115</v>
      </c>
      <c r="AN475" t="s">
        <v>3410</v>
      </c>
    </row>
    <row r="476" spans="1:40">
      <c r="A476" s="1" t="s">
        <v>512</v>
      </c>
      <c r="B476" t="s">
        <v>1998</v>
      </c>
      <c r="C476" t="s">
        <v>2016</v>
      </c>
      <c r="D476" t="s">
        <v>2040</v>
      </c>
      <c r="E476" t="s">
        <v>2112</v>
      </c>
      <c r="F476" t="s">
        <v>2117</v>
      </c>
      <c r="G476" t="s">
        <v>2211</v>
      </c>
      <c r="H476">
        <v>10457</v>
      </c>
      <c r="I476" t="s">
        <v>2229</v>
      </c>
      <c r="J476">
        <v>1</v>
      </c>
      <c r="K476">
        <v>0</v>
      </c>
      <c r="L476" t="s">
        <v>2288</v>
      </c>
      <c r="M476" t="s">
        <v>2677</v>
      </c>
      <c r="P476" t="s">
        <v>2807</v>
      </c>
      <c r="Q476" t="s">
        <v>3255</v>
      </c>
      <c r="R476" t="s">
        <v>3258</v>
      </c>
      <c r="S476" t="s">
        <v>3262</v>
      </c>
      <c r="X476" t="s">
        <v>3354</v>
      </c>
      <c r="Y476" t="s">
        <v>2677</v>
      </c>
      <c r="Z476" t="s">
        <v>3355</v>
      </c>
      <c r="AA476" t="s">
        <v>3406</v>
      </c>
      <c r="AB476" t="s">
        <v>3410</v>
      </c>
      <c r="AC476">
        <f>HYPERLINK("https://lsnyc.legalserver.org/matter/dynamic-profile/view/1903383","19-1903383")</f>
        <v>0</v>
      </c>
      <c r="AD476" t="s">
        <v>3445</v>
      </c>
      <c r="AE476" t="s">
        <v>3455</v>
      </c>
      <c r="AF476" t="s">
        <v>3905</v>
      </c>
      <c r="AG476" t="s">
        <v>3355</v>
      </c>
      <c r="AH476" t="s">
        <v>4904</v>
      </c>
      <c r="AK476" t="s">
        <v>4911</v>
      </c>
      <c r="AL476" t="s">
        <v>2117</v>
      </c>
      <c r="AN476" t="s">
        <v>3410</v>
      </c>
    </row>
    <row r="477" spans="1:40">
      <c r="A477" s="1" t="s">
        <v>513</v>
      </c>
      <c r="B477" t="s">
        <v>2012</v>
      </c>
      <c r="C477" t="s">
        <v>2003</v>
      </c>
      <c r="D477" t="s">
        <v>2027</v>
      </c>
      <c r="E477" t="s">
        <v>2111</v>
      </c>
      <c r="F477" t="s">
        <v>2117</v>
      </c>
      <c r="G477" t="s">
        <v>2212</v>
      </c>
      <c r="H477">
        <v>11692</v>
      </c>
      <c r="I477" t="s">
        <v>2229</v>
      </c>
      <c r="J477">
        <v>6</v>
      </c>
      <c r="K477">
        <v>2</v>
      </c>
      <c r="L477" t="s">
        <v>2399</v>
      </c>
      <c r="M477" t="s">
        <v>2677</v>
      </c>
      <c r="P477" t="s">
        <v>2807</v>
      </c>
      <c r="Q477" t="s">
        <v>3255</v>
      </c>
      <c r="R477" t="s">
        <v>3258</v>
      </c>
      <c r="S477" t="s">
        <v>3262</v>
      </c>
      <c r="X477" t="s">
        <v>3354</v>
      </c>
      <c r="Y477" t="s">
        <v>2677</v>
      </c>
      <c r="Z477" t="s">
        <v>3355</v>
      </c>
      <c r="AA477" t="s">
        <v>3406</v>
      </c>
      <c r="AB477" t="s">
        <v>3410</v>
      </c>
      <c r="AC477">
        <f>HYPERLINK("https://lsnyc.legalserver.org/matter/dynamic-profile/view/1903403","19-1903403")</f>
        <v>0</v>
      </c>
      <c r="AD477" t="s">
        <v>3445</v>
      </c>
      <c r="AE477" t="s">
        <v>3455</v>
      </c>
      <c r="AF477" t="s">
        <v>3906</v>
      </c>
      <c r="AG477" t="s">
        <v>3355</v>
      </c>
      <c r="AH477" t="s">
        <v>4904</v>
      </c>
      <c r="AK477" t="s">
        <v>4911</v>
      </c>
      <c r="AL477" t="s">
        <v>2117</v>
      </c>
      <c r="AN477" t="s">
        <v>3410</v>
      </c>
    </row>
    <row r="478" spans="1:40">
      <c r="A478" s="1" t="s">
        <v>514</v>
      </c>
      <c r="B478" t="s">
        <v>2012</v>
      </c>
      <c r="C478" t="s">
        <v>2001</v>
      </c>
      <c r="D478" t="s">
        <v>2091</v>
      </c>
      <c r="E478" t="s">
        <v>2112</v>
      </c>
      <c r="F478" t="s">
        <v>2129</v>
      </c>
      <c r="G478" t="s">
        <v>2212</v>
      </c>
      <c r="H478">
        <v>11692</v>
      </c>
      <c r="I478" t="s">
        <v>2229</v>
      </c>
      <c r="J478">
        <v>6</v>
      </c>
      <c r="K478">
        <v>2</v>
      </c>
      <c r="L478" t="s">
        <v>2399</v>
      </c>
      <c r="M478" t="s">
        <v>2677</v>
      </c>
      <c r="P478" t="s">
        <v>2807</v>
      </c>
      <c r="Q478" t="s">
        <v>3255</v>
      </c>
      <c r="R478" t="s">
        <v>3258</v>
      </c>
      <c r="S478" t="s">
        <v>3262</v>
      </c>
      <c r="X478" t="s">
        <v>3354</v>
      </c>
      <c r="Y478" t="s">
        <v>2677</v>
      </c>
      <c r="Z478" t="s">
        <v>3355</v>
      </c>
      <c r="AA478" t="s">
        <v>3406</v>
      </c>
      <c r="AB478" t="s">
        <v>3410</v>
      </c>
      <c r="AC478">
        <f>HYPERLINK("https://lsnyc.legalserver.org/matter/dynamic-profile/view/1903405","19-1903405")</f>
        <v>0</v>
      </c>
      <c r="AD478" t="s">
        <v>3445</v>
      </c>
      <c r="AE478" t="s">
        <v>3455</v>
      </c>
      <c r="AF478" t="s">
        <v>3907</v>
      </c>
      <c r="AG478" t="s">
        <v>3355</v>
      </c>
      <c r="AH478" t="s">
        <v>4904</v>
      </c>
      <c r="AK478" t="s">
        <v>4911</v>
      </c>
      <c r="AL478" t="s">
        <v>2129</v>
      </c>
      <c r="AN478" t="s">
        <v>3410</v>
      </c>
    </row>
    <row r="479" spans="1:40">
      <c r="A479" s="1" t="s">
        <v>515</v>
      </c>
      <c r="B479" t="s">
        <v>2009</v>
      </c>
      <c r="C479" t="s">
        <v>2005</v>
      </c>
      <c r="D479" t="s">
        <v>2036</v>
      </c>
      <c r="E479" t="s">
        <v>2111</v>
      </c>
      <c r="F479" t="s">
        <v>2129</v>
      </c>
      <c r="G479" t="s">
        <v>2214</v>
      </c>
      <c r="H479">
        <v>11224</v>
      </c>
      <c r="I479" t="s">
        <v>2232</v>
      </c>
      <c r="J479">
        <v>4</v>
      </c>
      <c r="K479">
        <v>2</v>
      </c>
      <c r="L479" t="s">
        <v>2260</v>
      </c>
      <c r="M479" t="s">
        <v>2677</v>
      </c>
      <c r="P479" t="s">
        <v>2807</v>
      </c>
      <c r="Q479" t="s">
        <v>3255</v>
      </c>
      <c r="R479" t="s">
        <v>3258</v>
      </c>
      <c r="S479" t="s">
        <v>3262</v>
      </c>
      <c r="X479" t="s">
        <v>3354</v>
      </c>
      <c r="Y479" t="s">
        <v>2677</v>
      </c>
      <c r="Z479" t="s">
        <v>3355</v>
      </c>
      <c r="AA479" t="s">
        <v>3406</v>
      </c>
      <c r="AB479" t="s">
        <v>3410</v>
      </c>
      <c r="AC479">
        <f>HYPERLINK("https://lsnyc.legalserver.org/matter/dynamic-profile/view/1903407","19-1903407")</f>
        <v>0</v>
      </c>
      <c r="AD479" t="s">
        <v>3445</v>
      </c>
      <c r="AE479" t="s">
        <v>3455</v>
      </c>
      <c r="AF479" t="s">
        <v>3908</v>
      </c>
      <c r="AG479" t="s">
        <v>3355</v>
      </c>
      <c r="AH479" t="s">
        <v>4904</v>
      </c>
      <c r="AK479" t="s">
        <v>4911</v>
      </c>
      <c r="AL479" t="s">
        <v>2129</v>
      </c>
      <c r="AN479" t="s">
        <v>3410</v>
      </c>
    </row>
    <row r="480" spans="1:40">
      <c r="A480" s="1" t="s">
        <v>516</v>
      </c>
      <c r="B480" t="s">
        <v>2016</v>
      </c>
      <c r="C480" t="s">
        <v>2005</v>
      </c>
      <c r="D480" t="s">
        <v>2072</v>
      </c>
      <c r="E480" t="s">
        <v>2112</v>
      </c>
      <c r="F480" t="s">
        <v>2117</v>
      </c>
      <c r="G480" t="s">
        <v>2213</v>
      </c>
      <c r="H480">
        <v>10451</v>
      </c>
      <c r="I480" t="s">
        <v>2229</v>
      </c>
      <c r="J480">
        <v>2</v>
      </c>
      <c r="K480">
        <v>1</v>
      </c>
      <c r="L480" t="s">
        <v>2400</v>
      </c>
      <c r="M480" t="s">
        <v>2677</v>
      </c>
      <c r="P480" t="s">
        <v>2807</v>
      </c>
      <c r="Q480" t="s">
        <v>3255</v>
      </c>
      <c r="R480" t="s">
        <v>3258</v>
      </c>
      <c r="S480" t="s">
        <v>3262</v>
      </c>
      <c r="X480" t="s">
        <v>3354</v>
      </c>
      <c r="Y480" t="s">
        <v>2677</v>
      </c>
      <c r="Z480" t="s">
        <v>3355</v>
      </c>
      <c r="AA480" t="s">
        <v>3406</v>
      </c>
      <c r="AB480" t="s">
        <v>3410</v>
      </c>
      <c r="AC480">
        <f>HYPERLINK("https://lsnyc.legalserver.org/matter/dynamic-profile/view/1903411","19-1903411")</f>
        <v>0</v>
      </c>
      <c r="AD480" t="s">
        <v>3445</v>
      </c>
      <c r="AE480" t="s">
        <v>3455</v>
      </c>
      <c r="AF480" t="s">
        <v>3585</v>
      </c>
      <c r="AG480" t="s">
        <v>3355</v>
      </c>
      <c r="AH480" t="s">
        <v>4904</v>
      </c>
      <c r="AK480" t="s">
        <v>4911</v>
      </c>
      <c r="AL480" t="s">
        <v>2117</v>
      </c>
      <c r="AN480" t="s">
        <v>3410</v>
      </c>
    </row>
    <row r="481" spans="1:40">
      <c r="A481" s="1" t="s">
        <v>517</v>
      </c>
      <c r="B481" t="s">
        <v>2001</v>
      </c>
      <c r="C481" t="s">
        <v>2001</v>
      </c>
      <c r="D481" t="s">
        <v>2027</v>
      </c>
      <c r="E481" t="s">
        <v>2112</v>
      </c>
      <c r="F481" t="s">
        <v>2117</v>
      </c>
      <c r="G481" t="s">
        <v>2212</v>
      </c>
      <c r="H481">
        <v>11433</v>
      </c>
      <c r="I481" t="s">
        <v>2229</v>
      </c>
      <c r="J481">
        <v>4</v>
      </c>
      <c r="K481">
        <v>2</v>
      </c>
      <c r="L481" t="s">
        <v>2306</v>
      </c>
      <c r="M481" t="s">
        <v>2677</v>
      </c>
      <c r="P481" t="s">
        <v>2807</v>
      </c>
      <c r="Q481" t="s">
        <v>3255</v>
      </c>
      <c r="R481" t="s">
        <v>3258</v>
      </c>
      <c r="S481" t="s">
        <v>3262</v>
      </c>
      <c r="X481" t="s">
        <v>3354</v>
      </c>
      <c r="Y481" t="s">
        <v>2677</v>
      </c>
      <c r="Z481" t="s">
        <v>3355</v>
      </c>
      <c r="AA481" t="s">
        <v>3406</v>
      </c>
      <c r="AB481" t="s">
        <v>3410</v>
      </c>
      <c r="AC481">
        <f>HYPERLINK("https://lsnyc.legalserver.org/matter/dynamic-profile/view/1903414","19-1903414")</f>
        <v>0</v>
      </c>
      <c r="AD481" t="s">
        <v>3445</v>
      </c>
      <c r="AE481" t="s">
        <v>3455</v>
      </c>
      <c r="AF481" t="s">
        <v>3909</v>
      </c>
      <c r="AG481" t="s">
        <v>3355</v>
      </c>
      <c r="AH481" t="s">
        <v>4904</v>
      </c>
      <c r="AK481" t="s">
        <v>4911</v>
      </c>
      <c r="AL481" t="s">
        <v>2117</v>
      </c>
      <c r="AN481" t="s">
        <v>3410</v>
      </c>
    </row>
    <row r="482" spans="1:40">
      <c r="A482" s="1" t="s">
        <v>518</v>
      </c>
      <c r="B482" t="s">
        <v>2001</v>
      </c>
      <c r="C482" t="s">
        <v>1998</v>
      </c>
      <c r="D482" t="s">
        <v>2069</v>
      </c>
      <c r="E482" t="s">
        <v>2111</v>
      </c>
      <c r="F482" t="s">
        <v>2117</v>
      </c>
      <c r="G482" t="s">
        <v>2213</v>
      </c>
      <c r="H482">
        <v>10474</v>
      </c>
      <c r="I482" t="s">
        <v>2229</v>
      </c>
      <c r="J482">
        <v>1</v>
      </c>
      <c r="K482">
        <v>0</v>
      </c>
      <c r="L482" t="s">
        <v>2260</v>
      </c>
      <c r="M482" t="s">
        <v>2677</v>
      </c>
      <c r="P482" t="s">
        <v>2807</v>
      </c>
      <c r="Q482" t="s">
        <v>3255</v>
      </c>
      <c r="R482" t="s">
        <v>3258</v>
      </c>
      <c r="S482" t="s">
        <v>3262</v>
      </c>
      <c r="X482" t="s">
        <v>3354</v>
      </c>
      <c r="Y482" t="s">
        <v>2677</v>
      </c>
      <c r="Z482" t="s">
        <v>3355</v>
      </c>
      <c r="AA482" t="s">
        <v>3406</v>
      </c>
      <c r="AB482" t="s">
        <v>3410</v>
      </c>
      <c r="AC482">
        <f>HYPERLINK("https://lsnyc.legalserver.org/matter/dynamic-profile/view/1903422","19-1903422")</f>
        <v>0</v>
      </c>
      <c r="AD482" t="s">
        <v>3445</v>
      </c>
      <c r="AE482" t="s">
        <v>3455</v>
      </c>
      <c r="AF482" t="s">
        <v>3910</v>
      </c>
      <c r="AG482" t="s">
        <v>3355</v>
      </c>
      <c r="AH482" t="s">
        <v>4904</v>
      </c>
      <c r="AI482" t="s">
        <v>4909</v>
      </c>
      <c r="AK482" t="s">
        <v>4911</v>
      </c>
      <c r="AL482" t="s">
        <v>2117</v>
      </c>
      <c r="AN482" t="s">
        <v>3410</v>
      </c>
    </row>
    <row r="483" spans="1:40">
      <c r="A483" s="1" t="s">
        <v>519</v>
      </c>
      <c r="B483" t="s">
        <v>1998</v>
      </c>
      <c r="C483" t="s">
        <v>1998</v>
      </c>
      <c r="D483" t="s">
        <v>2052</v>
      </c>
      <c r="E483" t="s">
        <v>2112</v>
      </c>
      <c r="F483" t="s">
        <v>2117</v>
      </c>
      <c r="G483" t="s">
        <v>2213</v>
      </c>
      <c r="H483">
        <v>10458</v>
      </c>
      <c r="I483" t="s">
        <v>2229</v>
      </c>
      <c r="J483">
        <v>2</v>
      </c>
      <c r="K483">
        <v>1</v>
      </c>
      <c r="L483" t="s">
        <v>2333</v>
      </c>
      <c r="M483" t="s">
        <v>2677</v>
      </c>
      <c r="P483" t="s">
        <v>2807</v>
      </c>
      <c r="Q483" t="s">
        <v>2113</v>
      </c>
      <c r="R483" t="s">
        <v>3259</v>
      </c>
      <c r="S483" t="s">
        <v>3267</v>
      </c>
      <c r="X483" t="s">
        <v>3354</v>
      </c>
      <c r="Y483" t="s">
        <v>2677</v>
      </c>
      <c r="Z483" t="s">
        <v>3359</v>
      </c>
      <c r="AA483" t="s">
        <v>3406</v>
      </c>
      <c r="AB483" t="s">
        <v>3415</v>
      </c>
      <c r="AC483">
        <f>HYPERLINK("https://lsnyc.legalserver.org/matter/dynamic-profile/view/1903444","19-1903444")</f>
        <v>0</v>
      </c>
      <c r="AD483" t="s">
        <v>3445</v>
      </c>
      <c r="AE483" t="s">
        <v>3452</v>
      </c>
      <c r="AF483" t="s">
        <v>3911</v>
      </c>
      <c r="AG483" t="s">
        <v>3359</v>
      </c>
      <c r="AH483" t="s">
        <v>4906</v>
      </c>
      <c r="AK483" t="s">
        <v>4911</v>
      </c>
      <c r="AL483" t="s">
        <v>2117</v>
      </c>
      <c r="AN483" t="s">
        <v>3415</v>
      </c>
    </row>
    <row r="484" spans="1:40">
      <c r="A484" s="1" t="s">
        <v>520</v>
      </c>
      <c r="B484" t="s">
        <v>2009</v>
      </c>
      <c r="C484" t="s">
        <v>1998</v>
      </c>
      <c r="D484" t="s">
        <v>2069</v>
      </c>
      <c r="E484" t="s">
        <v>2112</v>
      </c>
      <c r="F484" t="s">
        <v>2114</v>
      </c>
      <c r="G484" t="s">
        <v>2214</v>
      </c>
      <c r="H484">
        <v>11235</v>
      </c>
      <c r="J484">
        <v>1</v>
      </c>
      <c r="K484">
        <v>0</v>
      </c>
      <c r="L484" t="s">
        <v>2401</v>
      </c>
      <c r="M484" t="s">
        <v>2677</v>
      </c>
      <c r="P484" t="s">
        <v>2807</v>
      </c>
      <c r="Q484" t="s">
        <v>3255</v>
      </c>
      <c r="R484" t="s">
        <v>3259</v>
      </c>
      <c r="S484" t="s">
        <v>3267</v>
      </c>
      <c r="X484" t="s">
        <v>3354</v>
      </c>
      <c r="Y484" t="s">
        <v>2677</v>
      </c>
      <c r="Z484" t="s">
        <v>3367</v>
      </c>
      <c r="AA484" t="s">
        <v>3406</v>
      </c>
      <c r="AB484" t="s">
        <v>3415</v>
      </c>
      <c r="AC484">
        <f>HYPERLINK("https://lsnyc.legalserver.org/matter/dynamic-profile/view/1903452","19-1903452")</f>
        <v>0</v>
      </c>
      <c r="AD484" t="s">
        <v>3445</v>
      </c>
      <c r="AE484" t="s">
        <v>3455</v>
      </c>
      <c r="AF484" t="s">
        <v>3912</v>
      </c>
      <c r="AG484" t="s">
        <v>3367</v>
      </c>
      <c r="AH484" t="s">
        <v>4904</v>
      </c>
      <c r="AK484" t="s">
        <v>4911</v>
      </c>
      <c r="AL484" t="s">
        <v>2114</v>
      </c>
      <c r="AN484" t="s">
        <v>3415</v>
      </c>
    </row>
    <row r="485" spans="1:40">
      <c r="A485" s="1" t="s">
        <v>521</v>
      </c>
      <c r="B485" t="s">
        <v>2009</v>
      </c>
      <c r="C485" t="s">
        <v>2000</v>
      </c>
      <c r="D485" t="s">
        <v>2081</v>
      </c>
      <c r="E485" t="s">
        <v>2111</v>
      </c>
      <c r="F485" t="s">
        <v>2135</v>
      </c>
      <c r="G485" t="s">
        <v>2212</v>
      </c>
      <c r="H485">
        <v>11432</v>
      </c>
      <c r="I485" t="s">
        <v>2229</v>
      </c>
      <c r="J485">
        <v>1</v>
      </c>
      <c r="K485">
        <v>0</v>
      </c>
      <c r="L485" t="s">
        <v>2392</v>
      </c>
      <c r="M485" t="s">
        <v>2677</v>
      </c>
      <c r="P485" t="s">
        <v>2807</v>
      </c>
      <c r="Q485" t="s">
        <v>2113</v>
      </c>
      <c r="R485" t="s">
        <v>3259</v>
      </c>
      <c r="S485" t="s">
        <v>3276</v>
      </c>
      <c r="X485" t="s">
        <v>3354</v>
      </c>
      <c r="Y485" t="s">
        <v>2678</v>
      </c>
      <c r="Z485" t="s">
        <v>3373</v>
      </c>
      <c r="AA485" t="s">
        <v>3406</v>
      </c>
      <c r="AB485" t="s">
        <v>3424</v>
      </c>
      <c r="AC485">
        <f>HYPERLINK("https://lsnyc.legalserver.org/matter/dynamic-profile/view/1903531","19-1903531")</f>
        <v>0</v>
      </c>
      <c r="AD485" t="s">
        <v>3443</v>
      </c>
      <c r="AE485" t="s">
        <v>3471</v>
      </c>
      <c r="AF485" t="s">
        <v>3913</v>
      </c>
      <c r="AG485" t="s">
        <v>3373</v>
      </c>
      <c r="AH485" t="s">
        <v>4904</v>
      </c>
      <c r="AK485" t="s">
        <v>4911</v>
      </c>
      <c r="AL485" t="s">
        <v>2135</v>
      </c>
      <c r="AN485" t="s">
        <v>3424</v>
      </c>
    </row>
    <row r="486" spans="1:40">
      <c r="A486" s="1" t="s">
        <v>522</v>
      </c>
      <c r="B486" t="s">
        <v>2009</v>
      </c>
      <c r="C486" t="s">
        <v>2000</v>
      </c>
      <c r="D486" t="s">
        <v>2096</v>
      </c>
      <c r="E486" t="s">
        <v>2111</v>
      </c>
      <c r="F486" t="s">
        <v>2135</v>
      </c>
      <c r="G486" t="s">
        <v>2212</v>
      </c>
      <c r="H486">
        <v>11417</v>
      </c>
      <c r="I486" t="s">
        <v>2229</v>
      </c>
      <c r="J486">
        <v>4</v>
      </c>
      <c r="K486">
        <v>3</v>
      </c>
      <c r="L486" t="s">
        <v>2288</v>
      </c>
      <c r="M486" t="s">
        <v>2677</v>
      </c>
      <c r="P486" t="s">
        <v>2730</v>
      </c>
      <c r="Q486" t="s">
        <v>3255</v>
      </c>
      <c r="R486" t="s">
        <v>3259</v>
      </c>
      <c r="S486" t="s">
        <v>3276</v>
      </c>
      <c r="X486" t="s">
        <v>3354</v>
      </c>
      <c r="Y486" t="s">
        <v>2678</v>
      </c>
      <c r="Z486" t="s">
        <v>3373</v>
      </c>
      <c r="AB486" t="s">
        <v>3424</v>
      </c>
      <c r="AC486">
        <f>HYPERLINK("https://lsnyc.legalserver.org/matter/dynamic-profile/view/1903563","19-1903563")</f>
        <v>0</v>
      </c>
      <c r="AD486" t="s">
        <v>3443</v>
      </c>
      <c r="AE486" t="s">
        <v>3471</v>
      </c>
      <c r="AF486" t="s">
        <v>3914</v>
      </c>
      <c r="AG486" t="s">
        <v>3373</v>
      </c>
      <c r="AL486" t="s">
        <v>2135</v>
      </c>
      <c r="AN486" t="s">
        <v>3424</v>
      </c>
    </row>
    <row r="487" spans="1:40">
      <c r="A487" s="1" t="s">
        <v>523</v>
      </c>
      <c r="B487" t="s">
        <v>2000</v>
      </c>
      <c r="C487" t="s">
        <v>1998</v>
      </c>
      <c r="D487" t="s">
        <v>2058</v>
      </c>
      <c r="E487" t="s">
        <v>2111</v>
      </c>
      <c r="F487" t="s">
        <v>2114</v>
      </c>
      <c r="G487" t="s">
        <v>2214</v>
      </c>
      <c r="H487">
        <v>11230</v>
      </c>
      <c r="J487">
        <v>4</v>
      </c>
      <c r="K487">
        <v>2</v>
      </c>
      <c r="L487" t="s">
        <v>2402</v>
      </c>
      <c r="M487" t="s">
        <v>2677</v>
      </c>
      <c r="P487" t="s">
        <v>2808</v>
      </c>
      <c r="Q487" t="s">
        <v>3255</v>
      </c>
      <c r="R487" t="s">
        <v>3259</v>
      </c>
      <c r="S487" t="s">
        <v>3288</v>
      </c>
      <c r="X487" t="s">
        <v>3354</v>
      </c>
      <c r="Y487" t="s">
        <v>2677</v>
      </c>
      <c r="Z487" t="s">
        <v>3389</v>
      </c>
      <c r="AA487" t="s">
        <v>3406</v>
      </c>
      <c r="AB487" t="s">
        <v>3436</v>
      </c>
      <c r="AC487">
        <f>HYPERLINK("https://lsnyc.legalserver.org/matter/dynamic-profile/view/1903205","19-1903205")</f>
        <v>0</v>
      </c>
      <c r="AD487" t="s">
        <v>3445</v>
      </c>
      <c r="AE487" t="s">
        <v>3455</v>
      </c>
      <c r="AF487" t="s">
        <v>3915</v>
      </c>
      <c r="AG487" t="s">
        <v>3389</v>
      </c>
      <c r="AH487" t="s">
        <v>4906</v>
      </c>
      <c r="AK487" t="s">
        <v>4911</v>
      </c>
      <c r="AL487" t="s">
        <v>2114</v>
      </c>
      <c r="AN487" t="s">
        <v>3436</v>
      </c>
    </row>
    <row r="488" spans="1:40">
      <c r="A488" s="1" t="s">
        <v>524</v>
      </c>
      <c r="B488" t="s">
        <v>2000</v>
      </c>
      <c r="C488" t="s">
        <v>1998</v>
      </c>
      <c r="D488" t="s">
        <v>2058</v>
      </c>
      <c r="E488" t="s">
        <v>2111</v>
      </c>
      <c r="F488" t="s">
        <v>2114</v>
      </c>
      <c r="G488" t="s">
        <v>2214</v>
      </c>
      <c r="H488">
        <v>11230</v>
      </c>
      <c r="J488">
        <v>4</v>
      </c>
      <c r="K488">
        <v>2</v>
      </c>
      <c r="L488" t="s">
        <v>2402</v>
      </c>
      <c r="M488" t="s">
        <v>2677</v>
      </c>
      <c r="P488" t="s">
        <v>2808</v>
      </c>
      <c r="Q488" t="s">
        <v>3255</v>
      </c>
      <c r="R488" t="s">
        <v>3259</v>
      </c>
      <c r="S488" t="s">
        <v>3267</v>
      </c>
      <c r="X488" t="s">
        <v>3354</v>
      </c>
      <c r="Y488" t="s">
        <v>2677</v>
      </c>
      <c r="Z488" t="s">
        <v>3359</v>
      </c>
      <c r="AA488" t="s">
        <v>3406</v>
      </c>
      <c r="AB488" t="s">
        <v>3415</v>
      </c>
      <c r="AC488">
        <f>HYPERLINK("https://lsnyc.legalserver.org/matter/dynamic-profile/view/1903285","19-1903285")</f>
        <v>0</v>
      </c>
      <c r="AD488" t="s">
        <v>3445</v>
      </c>
      <c r="AE488" t="s">
        <v>3455</v>
      </c>
      <c r="AF488" t="s">
        <v>3915</v>
      </c>
      <c r="AG488" t="s">
        <v>3359</v>
      </c>
      <c r="AH488" t="s">
        <v>4906</v>
      </c>
      <c r="AK488" t="s">
        <v>4911</v>
      </c>
      <c r="AL488" t="s">
        <v>2114</v>
      </c>
      <c r="AN488" t="s">
        <v>3415</v>
      </c>
    </row>
    <row r="489" spans="1:40">
      <c r="A489" s="1" t="s">
        <v>525</v>
      </c>
      <c r="B489" t="s">
        <v>2000</v>
      </c>
      <c r="C489" t="s">
        <v>2001</v>
      </c>
      <c r="D489" t="s">
        <v>2075</v>
      </c>
      <c r="E489" t="s">
        <v>2111</v>
      </c>
      <c r="F489" t="s">
        <v>2114</v>
      </c>
      <c r="G489" t="s">
        <v>2214</v>
      </c>
      <c r="H489">
        <v>11230</v>
      </c>
      <c r="J489">
        <v>4</v>
      </c>
      <c r="K489">
        <v>2</v>
      </c>
      <c r="L489" t="s">
        <v>2403</v>
      </c>
      <c r="M489" t="s">
        <v>2677</v>
      </c>
      <c r="P489" t="s">
        <v>2808</v>
      </c>
      <c r="Q489" t="s">
        <v>3255</v>
      </c>
      <c r="R489" t="s">
        <v>3259</v>
      </c>
      <c r="S489" t="s">
        <v>3267</v>
      </c>
      <c r="X489" t="s">
        <v>3354</v>
      </c>
      <c r="Y489" t="s">
        <v>2677</v>
      </c>
      <c r="Z489" t="s">
        <v>3359</v>
      </c>
      <c r="AA489" t="s">
        <v>3406</v>
      </c>
      <c r="AB489" t="s">
        <v>3415</v>
      </c>
      <c r="AC489">
        <f>HYPERLINK("https://lsnyc.legalserver.org/matter/dynamic-profile/view/1903286","19-1903286")</f>
        <v>0</v>
      </c>
      <c r="AD489" t="s">
        <v>3445</v>
      </c>
      <c r="AE489" t="s">
        <v>3455</v>
      </c>
      <c r="AF489" t="s">
        <v>3916</v>
      </c>
      <c r="AG489" t="s">
        <v>3359</v>
      </c>
      <c r="AH489" t="s">
        <v>4906</v>
      </c>
      <c r="AK489" t="s">
        <v>4911</v>
      </c>
      <c r="AL489" t="s">
        <v>2114</v>
      </c>
      <c r="AN489" t="s">
        <v>3415</v>
      </c>
    </row>
    <row r="490" spans="1:40">
      <c r="A490" s="1" t="s">
        <v>526</v>
      </c>
      <c r="B490" t="s">
        <v>2000</v>
      </c>
      <c r="C490" t="s">
        <v>2001</v>
      </c>
      <c r="D490" t="s">
        <v>2075</v>
      </c>
      <c r="E490" t="s">
        <v>2111</v>
      </c>
      <c r="F490" t="s">
        <v>2114</v>
      </c>
      <c r="G490" t="s">
        <v>2214</v>
      </c>
      <c r="H490">
        <v>11230</v>
      </c>
      <c r="J490">
        <v>4</v>
      </c>
      <c r="K490">
        <v>2</v>
      </c>
      <c r="L490" t="s">
        <v>2403</v>
      </c>
      <c r="M490" t="s">
        <v>2677</v>
      </c>
      <c r="P490" t="s">
        <v>2808</v>
      </c>
      <c r="Q490" t="s">
        <v>3255</v>
      </c>
      <c r="R490" t="s">
        <v>3259</v>
      </c>
      <c r="S490" t="s">
        <v>3288</v>
      </c>
      <c r="X490" t="s">
        <v>3354</v>
      </c>
      <c r="Y490" t="s">
        <v>2677</v>
      </c>
      <c r="Z490" t="s">
        <v>3389</v>
      </c>
      <c r="AA490" t="s">
        <v>3406</v>
      </c>
      <c r="AB490" t="s">
        <v>3436</v>
      </c>
      <c r="AC490">
        <f>HYPERLINK("https://lsnyc.legalserver.org/matter/dynamic-profile/view/1903290","19-1903290")</f>
        <v>0</v>
      </c>
      <c r="AD490" t="s">
        <v>3445</v>
      </c>
      <c r="AE490" t="s">
        <v>3455</v>
      </c>
      <c r="AF490" t="s">
        <v>3916</v>
      </c>
      <c r="AG490" t="s">
        <v>3389</v>
      </c>
      <c r="AH490" t="s">
        <v>4905</v>
      </c>
      <c r="AK490" t="s">
        <v>4911</v>
      </c>
      <c r="AL490" t="s">
        <v>2114</v>
      </c>
      <c r="AN490" t="s">
        <v>3436</v>
      </c>
    </row>
    <row r="491" spans="1:40">
      <c r="A491" s="1" t="s">
        <v>527</v>
      </c>
      <c r="B491" t="s">
        <v>1998</v>
      </c>
      <c r="C491" t="s">
        <v>2001</v>
      </c>
      <c r="D491" t="s">
        <v>2027</v>
      </c>
      <c r="E491" t="s">
        <v>2112</v>
      </c>
      <c r="F491" t="s">
        <v>2117</v>
      </c>
      <c r="G491" t="s">
        <v>2213</v>
      </c>
      <c r="H491">
        <v>10454</v>
      </c>
      <c r="I491" t="s">
        <v>2229</v>
      </c>
      <c r="J491">
        <v>4</v>
      </c>
      <c r="K491">
        <v>2</v>
      </c>
      <c r="L491" t="s">
        <v>2404</v>
      </c>
      <c r="M491" t="s">
        <v>2677</v>
      </c>
      <c r="P491" t="s">
        <v>2808</v>
      </c>
      <c r="Q491" t="s">
        <v>3255</v>
      </c>
      <c r="R491" t="s">
        <v>3259</v>
      </c>
      <c r="S491" t="s">
        <v>3268</v>
      </c>
      <c r="X491" t="s">
        <v>3354</v>
      </c>
      <c r="Y491" t="s">
        <v>2677</v>
      </c>
      <c r="Z491" t="s">
        <v>3368</v>
      </c>
      <c r="AA491" t="s">
        <v>3406</v>
      </c>
      <c r="AB491" t="s">
        <v>3416</v>
      </c>
      <c r="AC491">
        <f>HYPERLINK("https://lsnyc.legalserver.org/matter/dynamic-profile/view/1903293","19-1903293")</f>
        <v>0</v>
      </c>
      <c r="AD491" t="s">
        <v>3445</v>
      </c>
      <c r="AE491" t="s">
        <v>3455</v>
      </c>
      <c r="AF491" t="s">
        <v>3917</v>
      </c>
      <c r="AG491" t="s">
        <v>3368</v>
      </c>
      <c r="AH491" t="s">
        <v>4904</v>
      </c>
      <c r="AK491" t="s">
        <v>4911</v>
      </c>
      <c r="AL491" t="s">
        <v>2117</v>
      </c>
      <c r="AN491" t="s">
        <v>3416</v>
      </c>
    </row>
    <row r="492" spans="1:40">
      <c r="A492" s="1" t="s">
        <v>528</v>
      </c>
      <c r="B492" t="s">
        <v>2001</v>
      </c>
      <c r="C492" t="s">
        <v>2001</v>
      </c>
      <c r="D492" t="s">
        <v>2027</v>
      </c>
      <c r="E492" t="s">
        <v>2112</v>
      </c>
      <c r="F492" t="s">
        <v>2117</v>
      </c>
      <c r="G492" t="s">
        <v>2212</v>
      </c>
      <c r="H492">
        <v>11433</v>
      </c>
      <c r="I492" t="s">
        <v>2229</v>
      </c>
      <c r="J492">
        <v>4</v>
      </c>
      <c r="K492">
        <v>2</v>
      </c>
      <c r="L492" t="s">
        <v>2306</v>
      </c>
      <c r="M492" t="s">
        <v>2677</v>
      </c>
      <c r="P492" t="s">
        <v>2808</v>
      </c>
      <c r="Q492" t="s">
        <v>3255</v>
      </c>
      <c r="R492" t="s">
        <v>3259</v>
      </c>
      <c r="S492" t="s">
        <v>3267</v>
      </c>
      <c r="X492" t="s">
        <v>3354</v>
      </c>
      <c r="Y492" t="s">
        <v>2677</v>
      </c>
      <c r="Z492" t="s">
        <v>3359</v>
      </c>
      <c r="AA492" t="s">
        <v>3406</v>
      </c>
      <c r="AB492" t="s">
        <v>3415</v>
      </c>
      <c r="AC492">
        <f>HYPERLINK("https://lsnyc.legalserver.org/matter/dynamic-profile/view/1903297","19-1903297")</f>
        <v>0</v>
      </c>
      <c r="AD492" t="s">
        <v>3445</v>
      </c>
      <c r="AE492" t="s">
        <v>3455</v>
      </c>
      <c r="AF492" t="s">
        <v>3909</v>
      </c>
      <c r="AG492" t="s">
        <v>3359</v>
      </c>
      <c r="AH492" t="s">
        <v>4906</v>
      </c>
      <c r="AK492" t="s">
        <v>4911</v>
      </c>
      <c r="AL492" t="s">
        <v>2117</v>
      </c>
      <c r="AN492" t="s">
        <v>3415</v>
      </c>
    </row>
    <row r="493" spans="1:40">
      <c r="A493" s="1" t="s">
        <v>529</v>
      </c>
      <c r="B493" t="s">
        <v>2012</v>
      </c>
      <c r="C493" t="s">
        <v>2003</v>
      </c>
      <c r="D493" t="s">
        <v>2027</v>
      </c>
      <c r="E493" t="s">
        <v>2111</v>
      </c>
      <c r="F493" t="s">
        <v>2117</v>
      </c>
      <c r="G493" t="s">
        <v>2212</v>
      </c>
      <c r="H493">
        <v>11692</v>
      </c>
      <c r="I493" t="s">
        <v>2229</v>
      </c>
      <c r="J493">
        <v>6</v>
      </c>
      <c r="K493">
        <v>2</v>
      </c>
      <c r="L493" t="s">
        <v>2399</v>
      </c>
      <c r="M493" t="s">
        <v>2677</v>
      </c>
      <c r="P493" t="s">
        <v>2808</v>
      </c>
      <c r="Q493" t="s">
        <v>3255</v>
      </c>
      <c r="R493" t="s">
        <v>3259</v>
      </c>
      <c r="S493" t="s">
        <v>3267</v>
      </c>
      <c r="X493" t="s">
        <v>3354</v>
      </c>
      <c r="Y493" t="s">
        <v>2677</v>
      </c>
      <c r="Z493" t="s">
        <v>3359</v>
      </c>
      <c r="AA493" t="s">
        <v>3406</v>
      </c>
      <c r="AB493" t="s">
        <v>3415</v>
      </c>
      <c r="AC493">
        <f>HYPERLINK("https://lsnyc.legalserver.org/matter/dynamic-profile/view/1903302","19-1903302")</f>
        <v>0</v>
      </c>
      <c r="AD493" t="s">
        <v>3445</v>
      </c>
      <c r="AE493" t="s">
        <v>3455</v>
      </c>
      <c r="AF493" t="s">
        <v>3906</v>
      </c>
      <c r="AG493" t="s">
        <v>3359</v>
      </c>
      <c r="AH493" t="s">
        <v>4906</v>
      </c>
      <c r="AK493" t="s">
        <v>4911</v>
      </c>
      <c r="AL493" t="s">
        <v>2117</v>
      </c>
      <c r="AN493" t="s">
        <v>3415</v>
      </c>
    </row>
    <row r="494" spans="1:40">
      <c r="A494" s="1" t="s">
        <v>530</v>
      </c>
      <c r="B494" t="s">
        <v>2012</v>
      </c>
      <c r="C494" t="s">
        <v>2001</v>
      </c>
      <c r="D494" t="s">
        <v>2091</v>
      </c>
      <c r="E494" t="s">
        <v>2112</v>
      </c>
      <c r="F494" t="s">
        <v>2117</v>
      </c>
      <c r="G494" t="s">
        <v>2212</v>
      </c>
      <c r="H494">
        <v>11692</v>
      </c>
      <c r="I494" t="s">
        <v>2229</v>
      </c>
      <c r="J494">
        <v>6</v>
      </c>
      <c r="K494">
        <v>2</v>
      </c>
      <c r="L494" t="s">
        <v>2399</v>
      </c>
      <c r="M494" t="s">
        <v>2677</v>
      </c>
      <c r="P494" t="s">
        <v>2808</v>
      </c>
      <c r="Q494" t="s">
        <v>3255</v>
      </c>
      <c r="R494" t="s">
        <v>3259</v>
      </c>
      <c r="S494" t="s">
        <v>3268</v>
      </c>
      <c r="X494" t="s">
        <v>3354</v>
      </c>
      <c r="Y494" t="s">
        <v>2677</v>
      </c>
      <c r="Z494" t="s">
        <v>3368</v>
      </c>
      <c r="AA494" t="s">
        <v>3406</v>
      </c>
      <c r="AB494" t="s">
        <v>3416</v>
      </c>
      <c r="AC494">
        <f>HYPERLINK("https://lsnyc.legalserver.org/matter/dynamic-profile/view/1903304","19-1903304")</f>
        <v>0</v>
      </c>
      <c r="AD494" t="s">
        <v>3445</v>
      </c>
      <c r="AE494" t="s">
        <v>3455</v>
      </c>
      <c r="AF494" t="s">
        <v>3907</v>
      </c>
      <c r="AG494" t="s">
        <v>3368</v>
      </c>
      <c r="AH494" t="s">
        <v>4904</v>
      </c>
      <c r="AK494" t="s">
        <v>4911</v>
      </c>
      <c r="AL494" t="s">
        <v>2117</v>
      </c>
      <c r="AN494" t="s">
        <v>3416</v>
      </c>
    </row>
    <row r="495" spans="1:40">
      <c r="A495" s="1" t="s">
        <v>531</v>
      </c>
      <c r="B495" t="s">
        <v>1998</v>
      </c>
      <c r="C495" t="s">
        <v>1998</v>
      </c>
      <c r="D495" t="s">
        <v>2037</v>
      </c>
      <c r="E495" t="s">
        <v>2111</v>
      </c>
      <c r="F495" t="s">
        <v>2117</v>
      </c>
      <c r="G495" t="s">
        <v>2213</v>
      </c>
      <c r="H495">
        <v>10473</v>
      </c>
      <c r="I495" t="s">
        <v>2229</v>
      </c>
      <c r="J495">
        <v>7</v>
      </c>
      <c r="K495">
        <v>2</v>
      </c>
      <c r="L495" t="s">
        <v>2300</v>
      </c>
      <c r="M495" t="s">
        <v>2677</v>
      </c>
      <c r="P495" t="s">
        <v>2808</v>
      </c>
      <c r="Q495" t="s">
        <v>3255</v>
      </c>
      <c r="R495" t="s">
        <v>3258</v>
      </c>
      <c r="S495" t="s">
        <v>3262</v>
      </c>
      <c r="X495" t="s">
        <v>3354</v>
      </c>
      <c r="Y495" t="s">
        <v>2677</v>
      </c>
      <c r="Z495" t="s">
        <v>3355</v>
      </c>
      <c r="AA495" t="s">
        <v>3406</v>
      </c>
      <c r="AB495" t="s">
        <v>3410</v>
      </c>
      <c r="AC495">
        <f>HYPERLINK("https://lsnyc.legalserver.org/matter/dynamic-profile/view/1903337","19-1903337")</f>
        <v>0</v>
      </c>
      <c r="AD495" t="s">
        <v>3445</v>
      </c>
      <c r="AE495" t="s">
        <v>3455</v>
      </c>
      <c r="AF495" t="s">
        <v>3918</v>
      </c>
      <c r="AG495" t="s">
        <v>3355</v>
      </c>
      <c r="AH495" t="s">
        <v>4904</v>
      </c>
      <c r="AK495" t="s">
        <v>4911</v>
      </c>
      <c r="AL495" t="s">
        <v>2117</v>
      </c>
      <c r="AN495" t="s">
        <v>3410</v>
      </c>
    </row>
    <row r="496" spans="1:40">
      <c r="A496" s="1" t="s">
        <v>532</v>
      </c>
      <c r="B496" t="s">
        <v>2001</v>
      </c>
      <c r="C496" t="s">
        <v>1998</v>
      </c>
      <c r="D496" t="s">
        <v>2037</v>
      </c>
      <c r="E496" t="s">
        <v>2111</v>
      </c>
      <c r="F496" t="s">
        <v>2115</v>
      </c>
      <c r="G496" t="s">
        <v>2214</v>
      </c>
      <c r="H496">
        <v>11204</v>
      </c>
      <c r="I496" t="s">
        <v>2229</v>
      </c>
      <c r="J496">
        <v>3</v>
      </c>
      <c r="K496">
        <v>2</v>
      </c>
      <c r="L496" t="s">
        <v>2398</v>
      </c>
      <c r="M496" t="s">
        <v>2677</v>
      </c>
      <c r="P496" t="s">
        <v>2808</v>
      </c>
      <c r="Q496" t="s">
        <v>3255</v>
      </c>
      <c r="R496" t="s">
        <v>3258</v>
      </c>
      <c r="S496" t="s">
        <v>3262</v>
      </c>
      <c r="X496" t="s">
        <v>3354</v>
      </c>
      <c r="Y496" t="s">
        <v>2677</v>
      </c>
      <c r="Z496" t="s">
        <v>3355</v>
      </c>
      <c r="AA496" t="s">
        <v>3406</v>
      </c>
      <c r="AB496" t="s">
        <v>3410</v>
      </c>
      <c r="AC496">
        <f>HYPERLINK("https://lsnyc.legalserver.org/matter/dynamic-profile/view/1903341","19-1903341")</f>
        <v>0</v>
      </c>
      <c r="AD496" t="s">
        <v>3445</v>
      </c>
      <c r="AE496" t="s">
        <v>3455</v>
      </c>
      <c r="AF496" t="s">
        <v>3919</v>
      </c>
      <c r="AG496" t="s">
        <v>3355</v>
      </c>
      <c r="AH496" t="s">
        <v>4904</v>
      </c>
      <c r="AK496" t="s">
        <v>4911</v>
      </c>
      <c r="AL496" t="s">
        <v>2115</v>
      </c>
      <c r="AN496" t="s">
        <v>3410</v>
      </c>
    </row>
    <row r="497" spans="1:41">
      <c r="A497" s="1" t="s">
        <v>533</v>
      </c>
      <c r="B497" t="s">
        <v>2001</v>
      </c>
      <c r="C497" t="s">
        <v>2001</v>
      </c>
      <c r="D497" t="s">
        <v>2068</v>
      </c>
      <c r="E497" t="s">
        <v>2112</v>
      </c>
      <c r="F497" t="s">
        <v>2177</v>
      </c>
      <c r="G497" t="s">
        <v>2211</v>
      </c>
      <c r="H497">
        <v>10065</v>
      </c>
      <c r="I497" t="s">
        <v>2230</v>
      </c>
      <c r="J497">
        <v>1</v>
      </c>
      <c r="K497">
        <v>0</v>
      </c>
      <c r="L497" t="s">
        <v>2260</v>
      </c>
      <c r="M497" t="s">
        <v>2677</v>
      </c>
      <c r="P497" t="s">
        <v>2809</v>
      </c>
      <c r="Q497" t="s">
        <v>3257</v>
      </c>
      <c r="R497" t="s">
        <v>3258</v>
      </c>
      <c r="S497" t="s">
        <v>3274</v>
      </c>
      <c r="T497" t="s">
        <v>3298</v>
      </c>
      <c r="U497" t="s">
        <v>2752</v>
      </c>
      <c r="X497" t="s">
        <v>3354</v>
      </c>
      <c r="Y497" t="s">
        <v>2678</v>
      </c>
      <c r="Z497" t="s">
        <v>3371</v>
      </c>
      <c r="AA497" t="s">
        <v>3406</v>
      </c>
      <c r="AB497" t="s">
        <v>3422</v>
      </c>
      <c r="AC497">
        <f>HYPERLINK("https://lsnyc.legalserver.org/matter/dynamic-profile/view/1903180","19-1903180")</f>
        <v>0</v>
      </c>
      <c r="AD497" t="s">
        <v>3442</v>
      </c>
      <c r="AE497" t="s">
        <v>3470</v>
      </c>
      <c r="AF497" t="s">
        <v>3885</v>
      </c>
      <c r="AG497" t="s">
        <v>3371</v>
      </c>
      <c r="AH497" t="s">
        <v>4904</v>
      </c>
      <c r="AK497" t="s">
        <v>4911</v>
      </c>
      <c r="AL497" t="s">
        <v>2177</v>
      </c>
      <c r="AM497" t="s">
        <v>3298</v>
      </c>
      <c r="AN497" t="s">
        <v>3422</v>
      </c>
    </row>
    <row r="498" spans="1:41">
      <c r="A498" s="1" t="s">
        <v>534</v>
      </c>
      <c r="B498" t="s">
        <v>1998</v>
      </c>
      <c r="C498" t="s">
        <v>2003</v>
      </c>
      <c r="D498" t="s">
        <v>2036</v>
      </c>
      <c r="E498" t="s">
        <v>2111</v>
      </c>
      <c r="F498" t="s">
        <v>2115</v>
      </c>
      <c r="G498" t="s">
        <v>2214</v>
      </c>
      <c r="H498">
        <v>11226</v>
      </c>
      <c r="I498" t="s">
        <v>2229</v>
      </c>
      <c r="J498">
        <v>2</v>
      </c>
      <c r="K498">
        <v>1</v>
      </c>
      <c r="L498" t="s">
        <v>2306</v>
      </c>
      <c r="M498" t="s">
        <v>2677</v>
      </c>
      <c r="P498" t="s">
        <v>2809</v>
      </c>
      <c r="Q498" t="s">
        <v>2113</v>
      </c>
      <c r="R498" t="s">
        <v>3259</v>
      </c>
      <c r="S498" t="s">
        <v>3272</v>
      </c>
      <c r="X498" t="s">
        <v>3354</v>
      </c>
      <c r="Y498" t="s">
        <v>2677</v>
      </c>
      <c r="Z498" t="s">
        <v>3364</v>
      </c>
      <c r="AA498" t="s">
        <v>3406</v>
      </c>
      <c r="AB498" t="s">
        <v>3420</v>
      </c>
      <c r="AC498">
        <f>HYPERLINK("https://lsnyc.legalserver.org/matter/dynamic-profile/view/1903181","19-1903181")</f>
        <v>0</v>
      </c>
      <c r="AD498" t="s">
        <v>3445</v>
      </c>
      <c r="AE498" t="s">
        <v>3452</v>
      </c>
      <c r="AF498" t="s">
        <v>3920</v>
      </c>
      <c r="AG498" t="s">
        <v>3364</v>
      </c>
      <c r="AH498" t="s">
        <v>4904</v>
      </c>
      <c r="AI498" t="s">
        <v>4909</v>
      </c>
      <c r="AK498" t="s">
        <v>4911</v>
      </c>
      <c r="AL498" t="s">
        <v>2115</v>
      </c>
      <c r="AN498" t="s">
        <v>3420</v>
      </c>
    </row>
    <row r="499" spans="1:41">
      <c r="A499" s="1" t="s">
        <v>535</v>
      </c>
      <c r="B499" t="s">
        <v>1998</v>
      </c>
      <c r="C499" t="s">
        <v>2003</v>
      </c>
      <c r="D499" t="s">
        <v>2036</v>
      </c>
      <c r="E499" t="s">
        <v>2111</v>
      </c>
      <c r="F499" t="s">
        <v>2115</v>
      </c>
      <c r="G499" t="s">
        <v>2214</v>
      </c>
      <c r="H499">
        <v>11226</v>
      </c>
      <c r="I499" t="s">
        <v>2229</v>
      </c>
      <c r="J499">
        <v>2</v>
      </c>
      <c r="K499">
        <v>1</v>
      </c>
      <c r="L499" t="s">
        <v>2306</v>
      </c>
      <c r="M499" t="s">
        <v>2677</v>
      </c>
      <c r="P499" t="s">
        <v>2809</v>
      </c>
      <c r="Q499" t="s">
        <v>3255</v>
      </c>
      <c r="R499" t="s">
        <v>3259</v>
      </c>
      <c r="S499" t="s">
        <v>3267</v>
      </c>
      <c r="X499" t="s">
        <v>3354</v>
      </c>
      <c r="Y499" t="s">
        <v>2677</v>
      </c>
      <c r="Z499" t="s">
        <v>3367</v>
      </c>
      <c r="AA499" t="s">
        <v>3406</v>
      </c>
      <c r="AB499" t="s">
        <v>3415</v>
      </c>
      <c r="AC499">
        <f>HYPERLINK("https://lsnyc.legalserver.org/matter/dynamic-profile/view/1903182","19-1903182")</f>
        <v>0</v>
      </c>
      <c r="AD499" t="s">
        <v>3445</v>
      </c>
      <c r="AE499" t="s">
        <v>3452</v>
      </c>
      <c r="AF499" t="s">
        <v>3920</v>
      </c>
      <c r="AG499" t="s">
        <v>3367</v>
      </c>
      <c r="AH499" t="s">
        <v>4904</v>
      </c>
      <c r="AI499" t="s">
        <v>4909</v>
      </c>
      <c r="AK499" t="s">
        <v>4911</v>
      </c>
      <c r="AL499" t="s">
        <v>2115</v>
      </c>
      <c r="AN499" t="s">
        <v>3415</v>
      </c>
    </row>
    <row r="500" spans="1:41">
      <c r="A500" s="1" t="s">
        <v>536</v>
      </c>
      <c r="B500" t="s">
        <v>2001</v>
      </c>
      <c r="C500" t="s">
        <v>2016</v>
      </c>
      <c r="D500" t="s">
        <v>2040</v>
      </c>
      <c r="E500" t="s">
        <v>2111</v>
      </c>
      <c r="F500" t="s">
        <v>2117</v>
      </c>
      <c r="G500" t="s">
        <v>2212</v>
      </c>
      <c r="H500">
        <v>11691</v>
      </c>
      <c r="I500" t="s">
        <v>2229</v>
      </c>
      <c r="J500">
        <v>4</v>
      </c>
      <c r="K500">
        <v>1</v>
      </c>
      <c r="L500" t="s">
        <v>2314</v>
      </c>
      <c r="M500" t="s">
        <v>2677</v>
      </c>
      <c r="P500" t="s">
        <v>2809</v>
      </c>
      <c r="Q500" t="s">
        <v>3255</v>
      </c>
      <c r="R500" t="s">
        <v>3259</v>
      </c>
      <c r="S500" t="s">
        <v>3267</v>
      </c>
      <c r="X500" t="s">
        <v>3354</v>
      </c>
      <c r="Y500" t="s">
        <v>2677</v>
      </c>
      <c r="Z500" t="s">
        <v>3367</v>
      </c>
      <c r="AA500" t="s">
        <v>3406</v>
      </c>
      <c r="AB500" t="s">
        <v>3415</v>
      </c>
      <c r="AC500">
        <f>HYPERLINK("https://lsnyc.legalserver.org/matter/dynamic-profile/view/1903188","19-1903188")</f>
        <v>0</v>
      </c>
      <c r="AD500" t="s">
        <v>3445</v>
      </c>
      <c r="AE500" t="s">
        <v>3455</v>
      </c>
      <c r="AF500" t="s">
        <v>3921</v>
      </c>
      <c r="AG500" t="s">
        <v>3367</v>
      </c>
      <c r="AH500" t="s">
        <v>4904</v>
      </c>
      <c r="AK500" t="s">
        <v>4911</v>
      </c>
      <c r="AL500" t="s">
        <v>2117</v>
      </c>
      <c r="AN500" t="s">
        <v>3415</v>
      </c>
    </row>
    <row r="501" spans="1:41">
      <c r="A501" s="1" t="s">
        <v>537</v>
      </c>
      <c r="B501" t="s">
        <v>2001</v>
      </c>
      <c r="C501" t="s">
        <v>2004</v>
      </c>
      <c r="D501" t="s">
        <v>2027</v>
      </c>
      <c r="E501" t="s">
        <v>2111</v>
      </c>
      <c r="F501" t="s">
        <v>2114</v>
      </c>
      <c r="G501" t="s">
        <v>2214</v>
      </c>
      <c r="H501">
        <v>11220</v>
      </c>
      <c r="I501" t="s">
        <v>2229</v>
      </c>
      <c r="J501">
        <v>5</v>
      </c>
      <c r="K501">
        <v>3</v>
      </c>
      <c r="L501" t="s">
        <v>2272</v>
      </c>
      <c r="M501" t="s">
        <v>2677</v>
      </c>
      <c r="P501" t="s">
        <v>2809</v>
      </c>
      <c r="Q501" t="s">
        <v>3255</v>
      </c>
      <c r="R501" t="s">
        <v>3259</v>
      </c>
      <c r="S501" t="s">
        <v>3268</v>
      </c>
      <c r="X501" t="s">
        <v>3354</v>
      </c>
      <c r="Y501" t="s">
        <v>2677</v>
      </c>
      <c r="Z501" t="s">
        <v>3368</v>
      </c>
      <c r="AA501" t="s">
        <v>3406</v>
      </c>
      <c r="AB501" t="s">
        <v>3416</v>
      </c>
      <c r="AC501">
        <f>HYPERLINK("https://lsnyc.legalserver.org/matter/dynamic-profile/view/1903191","19-1903191")</f>
        <v>0</v>
      </c>
      <c r="AD501" t="s">
        <v>3445</v>
      </c>
      <c r="AE501" t="s">
        <v>3455</v>
      </c>
      <c r="AF501" t="s">
        <v>3922</v>
      </c>
      <c r="AG501" t="s">
        <v>3368</v>
      </c>
      <c r="AH501" t="s">
        <v>4904</v>
      </c>
      <c r="AI501" t="s">
        <v>4909</v>
      </c>
      <c r="AK501" t="s">
        <v>4911</v>
      </c>
      <c r="AL501" t="s">
        <v>2114</v>
      </c>
      <c r="AN501" t="s">
        <v>3416</v>
      </c>
    </row>
    <row r="502" spans="1:41">
      <c r="A502" s="1" t="s">
        <v>538</v>
      </c>
      <c r="B502" t="s">
        <v>2000</v>
      </c>
      <c r="C502" t="s">
        <v>2012</v>
      </c>
      <c r="D502" t="s">
        <v>2069</v>
      </c>
      <c r="E502" t="s">
        <v>2111</v>
      </c>
      <c r="F502" t="s">
        <v>2118</v>
      </c>
      <c r="G502" t="s">
        <v>2214</v>
      </c>
      <c r="H502">
        <v>11218</v>
      </c>
      <c r="I502" t="s">
        <v>2231</v>
      </c>
      <c r="J502">
        <v>2</v>
      </c>
      <c r="K502">
        <v>0</v>
      </c>
      <c r="L502" t="s">
        <v>2293</v>
      </c>
      <c r="M502" t="s">
        <v>2677</v>
      </c>
      <c r="P502" t="s">
        <v>2809</v>
      </c>
      <c r="Q502" t="s">
        <v>3255</v>
      </c>
      <c r="R502" t="s">
        <v>3259</v>
      </c>
      <c r="S502" t="s">
        <v>3275</v>
      </c>
      <c r="X502" t="s">
        <v>3354</v>
      </c>
      <c r="Y502" t="s">
        <v>2677</v>
      </c>
      <c r="Z502" t="s">
        <v>3392</v>
      </c>
      <c r="AA502" t="s">
        <v>3406</v>
      </c>
      <c r="AB502" t="s">
        <v>3423</v>
      </c>
      <c r="AC502">
        <f>HYPERLINK("https://lsnyc.legalserver.org/matter/dynamic-profile/view/1903194","19-1903194")</f>
        <v>0</v>
      </c>
      <c r="AD502" t="s">
        <v>3445</v>
      </c>
      <c r="AE502" t="s">
        <v>3455</v>
      </c>
      <c r="AF502" t="s">
        <v>3923</v>
      </c>
      <c r="AG502" t="s">
        <v>3392</v>
      </c>
      <c r="AH502" t="s">
        <v>4904</v>
      </c>
      <c r="AK502" t="s">
        <v>4911</v>
      </c>
      <c r="AL502" t="s">
        <v>2118</v>
      </c>
      <c r="AN502" t="s">
        <v>3423</v>
      </c>
    </row>
    <row r="503" spans="1:41">
      <c r="A503" s="1" t="s">
        <v>539</v>
      </c>
      <c r="B503" t="s">
        <v>2000</v>
      </c>
      <c r="C503" t="s">
        <v>2012</v>
      </c>
      <c r="D503" t="s">
        <v>2069</v>
      </c>
      <c r="E503" t="s">
        <v>2111</v>
      </c>
      <c r="F503" t="s">
        <v>2118</v>
      </c>
      <c r="G503" t="s">
        <v>2214</v>
      </c>
      <c r="H503">
        <v>11218</v>
      </c>
      <c r="I503" t="s">
        <v>2231</v>
      </c>
      <c r="J503">
        <v>2</v>
      </c>
      <c r="K503">
        <v>0</v>
      </c>
      <c r="L503" t="s">
        <v>2293</v>
      </c>
      <c r="M503" t="s">
        <v>2677</v>
      </c>
      <c r="P503" t="s">
        <v>2809</v>
      </c>
      <c r="Q503" t="s">
        <v>3255</v>
      </c>
      <c r="R503" t="s">
        <v>3259</v>
      </c>
      <c r="S503" t="s">
        <v>3276</v>
      </c>
      <c r="X503" t="s">
        <v>3354</v>
      </c>
      <c r="Y503" t="s">
        <v>2677</v>
      </c>
      <c r="Z503" t="s">
        <v>3373</v>
      </c>
      <c r="AA503" t="s">
        <v>3406</v>
      </c>
      <c r="AB503" t="s">
        <v>3424</v>
      </c>
      <c r="AC503">
        <f>HYPERLINK("https://lsnyc.legalserver.org/matter/dynamic-profile/view/1903197","19-1903197")</f>
        <v>0</v>
      </c>
      <c r="AD503" t="s">
        <v>3445</v>
      </c>
      <c r="AE503" t="s">
        <v>3455</v>
      </c>
      <c r="AF503" t="s">
        <v>3923</v>
      </c>
      <c r="AG503" t="s">
        <v>3373</v>
      </c>
      <c r="AH503" t="s">
        <v>4904</v>
      </c>
      <c r="AK503" t="s">
        <v>4911</v>
      </c>
      <c r="AL503" t="s">
        <v>2118</v>
      </c>
      <c r="AN503" t="s">
        <v>3424</v>
      </c>
    </row>
    <row r="504" spans="1:41">
      <c r="A504" s="1" t="s">
        <v>540</v>
      </c>
      <c r="B504" t="s">
        <v>2002</v>
      </c>
      <c r="C504" t="s">
        <v>2000</v>
      </c>
      <c r="D504" t="s">
        <v>2038</v>
      </c>
      <c r="E504" t="s">
        <v>2111</v>
      </c>
      <c r="F504" t="s">
        <v>2132</v>
      </c>
      <c r="G504" t="s">
        <v>2219</v>
      </c>
      <c r="H504">
        <v>10701</v>
      </c>
      <c r="J504">
        <v>1</v>
      </c>
      <c r="K504">
        <v>0</v>
      </c>
      <c r="L504" t="s">
        <v>2260</v>
      </c>
      <c r="M504" t="s">
        <v>2677</v>
      </c>
      <c r="P504" t="s">
        <v>2810</v>
      </c>
      <c r="Q504" t="s">
        <v>2113</v>
      </c>
      <c r="R504" t="s">
        <v>3259</v>
      </c>
      <c r="S504" t="s">
        <v>3268</v>
      </c>
      <c r="T504" t="s">
        <v>3294</v>
      </c>
      <c r="U504" t="s">
        <v>2820</v>
      </c>
      <c r="V504" t="s">
        <v>3352</v>
      </c>
      <c r="X504" t="s">
        <v>3354</v>
      </c>
      <c r="Y504" t="s">
        <v>2678</v>
      </c>
      <c r="Z504" t="s">
        <v>3368</v>
      </c>
      <c r="AA504" t="s">
        <v>3406</v>
      </c>
      <c r="AB504" t="s">
        <v>3416</v>
      </c>
      <c r="AC504">
        <f>HYPERLINK("https://lsnyc.legalserver.org/matter/dynamic-profile/view/1903057","19-1903057")</f>
        <v>0</v>
      </c>
      <c r="AD504" t="s">
        <v>3446</v>
      </c>
      <c r="AE504" t="s">
        <v>3481</v>
      </c>
      <c r="AF504" t="s">
        <v>3924</v>
      </c>
      <c r="AG504" t="s">
        <v>3368</v>
      </c>
      <c r="AH504" t="s">
        <v>4904</v>
      </c>
      <c r="AL504" t="s">
        <v>2132</v>
      </c>
      <c r="AM504" t="s">
        <v>3294</v>
      </c>
      <c r="AN504" t="s">
        <v>3416</v>
      </c>
      <c r="AO504" t="s">
        <v>3352</v>
      </c>
    </row>
    <row r="505" spans="1:41">
      <c r="A505" s="1" t="s">
        <v>541</v>
      </c>
      <c r="B505" t="s">
        <v>2001</v>
      </c>
      <c r="C505" t="s">
        <v>1998</v>
      </c>
      <c r="D505" t="s">
        <v>2063</v>
      </c>
      <c r="E505" t="s">
        <v>2112</v>
      </c>
      <c r="F505" t="s">
        <v>2135</v>
      </c>
      <c r="G505" t="s">
        <v>2212</v>
      </c>
      <c r="H505">
        <v>11368</v>
      </c>
      <c r="I505" t="s">
        <v>2229</v>
      </c>
      <c r="J505">
        <v>1</v>
      </c>
      <c r="K505">
        <v>0</v>
      </c>
      <c r="L505" t="s">
        <v>2285</v>
      </c>
      <c r="M505" t="s">
        <v>2677</v>
      </c>
      <c r="P505" t="s">
        <v>2744</v>
      </c>
      <c r="Q505" t="s">
        <v>3255</v>
      </c>
      <c r="R505" t="s">
        <v>3259</v>
      </c>
      <c r="S505" t="s">
        <v>3276</v>
      </c>
      <c r="T505" t="s">
        <v>3294</v>
      </c>
      <c r="U505" t="s">
        <v>2744</v>
      </c>
      <c r="V505" t="s">
        <v>3353</v>
      </c>
      <c r="X505" t="s">
        <v>3354</v>
      </c>
      <c r="Y505" t="s">
        <v>2678</v>
      </c>
      <c r="Z505" t="s">
        <v>3373</v>
      </c>
      <c r="AA505" t="s">
        <v>3406</v>
      </c>
      <c r="AB505" t="s">
        <v>3424</v>
      </c>
      <c r="AC505">
        <f>HYPERLINK("https://lsnyc.legalserver.org/matter/dynamic-profile/view/1902737","19-1902737")</f>
        <v>0</v>
      </c>
      <c r="AD505" t="s">
        <v>3443</v>
      </c>
      <c r="AE505" t="s">
        <v>3450</v>
      </c>
      <c r="AF505" t="s">
        <v>3925</v>
      </c>
      <c r="AG505" t="s">
        <v>3373</v>
      </c>
      <c r="AH505" t="s">
        <v>4904</v>
      </c>
      <c r="AL505" t="s">
        <v>2135</v>
      </c>
      <c r="AM505" t="s">
        <v>3294</v>
      </c>
      <c r="AN505" t="s">
        <v>3424</v>
      </c>
      <c r="AO505" t="s">
        <v>3353</v>
      </c>
    </row>
    <row r="506" spans="1:41">
      <c r="A506" s="1" t="s">
        <v>542</v>
      </c>
      <c r="B506" t="s">
        <v>1998</v>
      </c>
      <c r="C506" t="s">
        <v>2000</v>
      </c>
      <c r="D506" t="s">
        <v>2034</v>
      </c>
      <c r="E506" t="s">
        <v>2113</v>
      </c>
      <c r="F506" t="s">
        <v>2117</v>
      </c>
      <c r="G506" t="s">
        <v>2211</v>
      </c>
      <c r="H506">
        <v>10031</v>
      </c>
      <c r="I506" t="s">
        <v>2229</v>
      </c>
      <c r="J506">
        <v>1</v>
      </c>
      <c r="K506">
        <v>0</v>
      </c>
      <c r="L506" t="s">
        <v>2260</v>
      </c>
      <c r="M506" t="s">
        <v>2677</v>
      </c>
      <c r="P506" t="s">
        <v>2733</v>
      </c>
      <c r="Q506" t="s">
        <v>2113</v>
      </c>
      <c r="R506" t="s">
        <v>3259</v>
      </c>
      <c r="S506" t="s">
        <v>3272</v>
      </c>
      <c r="T506" t="s">
        <v>3294</v>
      </c>
      <c r="U506" t="s">
        <v>2733</v>
      </c>
      <c r="V506" t="s">
        <v>3353</v>
      </c>
      <c r="X506" t="s">
        <v>3354</v>
      </c>
      <c r="Y506" t="s">
        <v>2678</v>
      </c>
      <c r="Z506" t="s">
        <v>3364</v>
      </c>
      <c r="AA506" t="s">
        <v>3406</v>
      </c>
      <c r="AB506" t="s">
        <v>3420</v>
      </c>
      <c r="AC506">
        <f>HYPERLINK("https://lsnyc.legalserver.org/matter/dynamic-profile/view/1902897","19-1902897")</f>
        <v>0</v>
      </c>
      <c r="AD506" t="s">
        <v>3446</v>
      </c>
      <c r="AE506" t="s">
        <v>3465</v>
      </c>
      <c r="AF506" t="s">
        <v>3842</v>
      </c>
      <c r="AG506" t="s">
        <v>3364</v>
      </c>
      <c r="AH506" t="s">
        <v>4906</v>
      </c>
      <c r="AL506" t="s">
        <v>2117</v>
      </c>
      <c r="AM506" t="s">
        <v>3294</v>
      </c>
      <c r="AN506" t="s">
        <v>3420</v>
      </c>
      <c r="AO506" t="s">
        <v>3353</v>
      </c>
    </row>
    <row r="507" spans="1:41">
      <c r="A507" s="1" t="s">
        <v>543</v>
      </c>
      <c r="B507" t="s">
        <v>1998</v>
      </c>
      <c r="C507" t="s">
        <v>2009</v>
      </c>
      <c r="D507" t="s">
        <v>2044</v>
      </c>
      <c r="E507" t="s">
        <v>2112</v>
      </c>
      <c r="F507" t="s">
        <v>2116</v>
      </c>
      <c r="G507" t="s">
        <v>2212</v>
      </c>
      <c r="H507">
        <v>11368</v>
      </c>
      <c r="I507" t="s">
        <v>2229</v>
      </c>
      <c r="J507">
        <v>2</v>
      </c>
      <c r="K507">
        <v>1</v>
      </c>
      <c r="L507" t="s">
        <v>2277</v>
      </c>
      <c r="M507" t="s">
        <v>2677</v>
      </c>
      <c r="P507" t="s">
        <v>2804</v>
      </c>
      <c r="Q507" t="s">
        <v>3255</v>
      </c>
      <c r="R507" t="s">
        <v>3259</v>
      </c>
      <c r="S507" t="s">
        <v>3276</v>
      </c>
      <c r="T507" t="s">
        <v>3294</v>
      </c>
      <c r="U507" t="s">
        <v>2804</v>
      </c>
      <c r="X507" t="s">
        <v>3354</v>
      </c>
      <c r="Y507" t="s">
        <v>2678</v>
      </c>
      <c r="Z507" t="s">
        <v>3373</v>
      </c>
      <c r="AA507" t="s">
        <v>3406</v>
      </c>
      <c r="AB507" t="s">
        <v>3424</v>
      </c>
      <c r="AC507">
        <f>HYPERLINK("https://lsnyc.legalserver.org/matter/dynamic-profile/view/1902931","19-1902931")</f>
        <v>0</v>
      </c>
      <c r="AD507" t="s">
        <v>3443</v>
      </c>
      <c r="AE507" t="s">
        <v>3471</v>
      </c>
      <c r="AF507" t="s">
        <v>3926</v>
      </c>
      <c r="AG507" t="s">
        <v>3373</v>
      </c>
      <c r="AH507" t="s">
        <v>4904</v>
      </c>
      <c r="AL507" t="s">
        <v>2116</v>
      </c>
      <c r="AM507" t="s">
        <v>3294</v>
      </c>
      <c r="AN507" t="s">
        <v>3424</v>
      </c>
    </row>
    <row r="508" spans="1:41">
      <c r="A508" s="1" t="s">
        <v>544</v>
      </c>
      <c r="B508" t="s">
        <v>1998</v>
      </c>
      <c r="C508" t="s">
        <v>2005</v>
      </c>
      <c r="D508" t="s">
        <v>2084</v>
      </c>
      <c r="E508" t="s">
        <v>2112</v>
      </c>
      <c r="F508" t="s">
        <v>2123</v>
      </c>
      <c r="G508" t="s">
        <v>2213</v>
      </c>
      <c r="H508">
        <v>10457</v>
      </c>
      <c r="I508" t="s">
        <v>2230</v>
      </c>
      <c r="J508">
        <v>2</v>
      </c>
      <c r="K508">
        <v>1</v>
      </c>
      <c r="L508" t="s">
        <v>2305</v>
      </c>
      <c r="M508" t="s">
        <v>2677</v>
      </c>
      <c r="P508" t="s">
        <v>2757</v>
      </c>
      <c r="Q508" t="s">
        <v>3255</v>
      </c>
      <c r="R508" t="s">
        <v>3258</v>
      </c>
      <c r="S508" t="s">
        <v>3269</v>
      </c>
      <c r="T508" t="s">
        <v>3294</v>
      </c>
      <c r="U508" t="s">
        <v>2809</v>
      </c>
      <c r="X508" t="s">
        <v>3354</v>
      </c>
      <c r="Y508" t="s">
        <v>2678</v>
      </c>
      <c r="Z508" t="s">
        <v>3361</v>
      </c>
      <c r="AA508" t="s">
        <v>3406</v>
      </c>
      <c r="AB508" t="s">
        <v>3417</v>
      </c>
      <c r="AC508">
        <f>HYPERLINK("https://lsnyc.legalserver.org/matter/dynamic-profile/view/1902933","19-1902933")</f>
        <v>0</v>
      </c>
      <c r="AD508" t="s">
        <v>3443</v>
      </c>
      <c r="AE508" t="s">
        <v>3471</v>
      </c>
      <c r="AF508" t="s">
        <v>3927</v>
      </c>
      <c r="AG508" t="s">
        <v>3361</v>
      </c>
      <c r="AH508" t="s">
        <v>4904</v>
      </c>
      <c r="AL508" t="s">
        <v>2123</v>
      </c>
      <c r="AM508" t="s">
        <v>3294</v>
      </c>
      <c r="AN508" t="s">
        <v>3417</v>
      </c>
    </row>
    <row r="509" spans="1:41">
      <c r="A509" s="1" t="s">
        <v>545</v>
      </c>
      <c r="B509" t="s">
        <v>1998</v>
      </c>
      <c r="C509" t="s">
        <v>1999</v>
      </c>
      <c r="D509" t="s">
        <v>2048</v>
      </c>
      <c r="E509" t="s">
        <v>2111</v>
      </c>
      <c r="F509" t="s">
        <v>2116</v>
      </c>
      <c r="G509" t="s">
        <v>2216</v>
      </c>
      <c r="H509">
        <v>10310</v>
      </c>
      <c r="I509" t="s">
        <v>2229</v>
      </c>
      <c r="J509">
        <v>2</v>
      </c>
      <c r="K509">
        <v>0</v>
      </c>
      <c r="L509" t="s">
        <v>2272</v>
      </c>
      <c r="M509" t="s">
        <v>2677</v>
      </c>
      <c r="P509" t="s">
        <v>2811</v>
      </c>
      <c r="Q509" t="s">
        <v>3255</v>
      </c>
      <c r="R509" t="s">
        <v>3258</v>
      </c>
      <c r="S509" t="s">
        <v>3273</v>
      </c>
      <c r="X509" t="s">
        <v>3354</v>
      </c>
      <c r="Y509" t="s">
        <v>2678</v>
      </c>
      <c r="Z509" t="s">
        <v>3365</v>
      </c>
      <c r="AA509" t="s">
        <v>3406</v>
      </c>
      <c r="AB509" t="s">
        <v>3421</v>
      </c>
      <c r="AC509">
        <f>HYPERLINK("https://lsnyc.legalserver.org/matter/dynamic-profile/view/1902736","19-1902736")</f>
        <v>0</v>
      </c>
      <c r="AD509" t="s">
        <v>3447</v>
      </c>
      <c r="AE509" t="s">
        <v>3462</v>
      </c>
      <c r="AF509" t="s">
        <v>3928</v>
      </c>
      <c r="AG509" t="s">
        <v>3365</v>
      </c>
      <c r="AH509" t="s">
        <v>4904</v>
      </c>
      <c r="AI509" t="s">
        <v>4909</v>
      </c>
      <c r="AL509" t="s">
        <v>2116</v>
      </c>
      <c r="AN509" t="s">
        <v>3421</v>
      </c>
    </row>
    <row r="510" spans="1:41">
      <c r="A510" s="1" t="s">
        <v>546</v>
      </c>
      <c r="B510" t="s">
        <v>1998</v>
      </c>
      <c r="C510" t="s">
        <v>2002</v>
      </c>
      <c r="D510" t="s">
        <v>2060</v>
      </c>
      <c r="E510" t="s">
        <v>2111</v>
      </c>
      <c r="F510" t="s">
        <v>2117</v>
      </c>
      <c r="G510" t="s">
        <v>2213</v>
      </c>
      <c r="H510">
        <v>10473</v>
      </c>
      <c r="I510" t="s">
        <v>2229</v>
      </c>
      <c r="J510">
        <v>7</v>
      </c>
      <c r="K510">
        <v>2</v>
      </c>
      <c r="L510" t="s">
        <v>2300</v>
      </c>
      <c r="M510" t="s">
        <v>2677</v>
      </c>
      <c r="P510" t="s">
        <v>2811</v>
      </c>
      <c r="Q510" t="s">
        <v>3255</v>
      </c>
      <c r="R510" t="s">
        <v>3259</v>
      </c>
      <c r="S510" t="s">
        <v>3267</v>
      </c>
      <c r="X510" t="s">
        <v>3354</v>
      </c>
      <c r="Y510" t="s">
        <v>2677</v>
      </c>
      <c r="Z510" t="s">
        <v>3380</v>
      </c>
      <c r="AA510" t="s">
        <v>3406</v>
      </c>
      <c r="AB510" t="s">
        <v>3415</v>
      </c>
      <c r="AC510">
        <f>HYPERLINK("https://lsnyc.legalserver.org/matter/dynamic-profile/view/1902746","19-1902746")</f>
        <v>0</v>
      </c>
      <c r="AD510" t="s">
        <v>3445</v>
      </c>
      <c r="AE510" t="s">
        <v>3455</v>
      </c>
      <c r="AF510" t="s">
        <v>3929</v>
      </c>
      <c r="AG510" t="s">
        <v>3380</v>
      </c>
      <c r="AH510" t="s">
        <v>4906</v>
      </c>
      <c r="AK510" t="s">
        <v>4911</v>
      </c>
      <c r="AL510" t="s">
        <v>2117</v>
      </c>
      <c r="AN510" t="s">
        <v>3415</v>
      </c>
    </row>
    <row r="511" spans="1:41">
      <c r="A511" s="1" t="s">
        <v>547</v>
      </c>
      <c r="B511" t="s">
        <v>2001</v>
      </c>
      <c r="C511" t="s">
        <v>2001</v>
      </c>
      <c r="D511" t="s">
        <v>2068</v>
      </c>
      <c r="E511" t="s">
        <v>2111</v>
      </c>
      <c r="F511" t="s">
        <v>2135</v>
      </c>
      <c r="G511" t="s">
        <v>2212</v>
      </c>
      <c r="H511">
        <v>11368</v>
      </c>
      <c r="I511" t="s">
        <v>2229</v>
      </c>
      <c r="J511">
        <v>2</v>
      </c>
      <c r="K511">
        <v>0</v>
      </c>
      <c r="L511" t="s">
        <v>2405</v>
      </c>
      <c r="M511" t="s">
        <v>2677</v>
      </c>
      <c r="P511" t="s">
        <v>2811</v>
      </c>
      <c r="Q511" t="s">
        <v>2113</v>
      </c>
      <c r="R511" t="s">
        <v>3261</v>
      </c>
      <c r="S511" t="s">
        <v>3283</v>
      </c>
      <c r="X511" t="s">
        <v>3354</v>
      </c>
      <c r="Y511" t="s">
        <v>2678</v>
      </c>
      <c r="AA511" t="s">
        <v>3408</v>
      </c>
      <c r="AB511" t="s">
        <v>3431</v>
      </c>
      <c r="AC511">
        <f>HYPERLINK("https://lsnyc.legalserver.org/matter/dynamic-profile/view/1902801","19-1902801")</f>
        <v>0</v>
      </c>
      <c r="AD511" t="s">
        <v>3443</v>
      </c>
      <c r="AE511" t="s">
        <v>3477</v>
      </c>
      <c r="AF511" t="s">
        <v>3930</v>
      </c>
      <c r="AH511" t="s">
        <v>3408</v>
      </c>
      <c r="AL511" t="s">
        <v>2135</v>
      </c>
      <c r="AN511" t="s">
        <v>3431</v>
      </c>
    </row>
    <row r="512" spans="1:41">
      <c r="A512" s="1" t="s">
        <v>548</v>
      </c>
      <c r="B512" t="s">
        <v>1998</v>
      </c>
      <c r="C512" t="s">
        <v>2000</v>
      </c>
      <c r="D512" t="s">
        <v>2034</v>
      </c>
      <c r="E512" t="s">
        <v>2113</v>
      </c>
      <c r="F512" t="s">
        <v>2117</v>
      </c>
      <c r="G512" t="s">
        <v>2211</v>
      </c>
      <c r="H512">
        <v>10031</v>
      </c>
      <c r="I512" t="s">
        <v>2229</v>
      </c>
      <c r="J512">
        <v>1</v>
      </c>
      <c r="K512">
        <v>0</v>
      </c>
      <c r="L512" t="s">
        <v>2260</v>
      </c>
      <c r="M512" t="s">
        <v>2677</v>
      </c>
      <c r="P512" t="s">
        <v>2713</v>
      </c>
      <c r="Q512" t="s">
        <v>2113</v>
      </c>
      <c r="R512" t="s">
        <v>3259</v>
      </c>
      <c r="S512" t="s">
        <v>3267</v>
      </c>
      <c r="X512" t="s">
        <v>3354</v>
      </c>
      <c r="Y512" t="s">
        <v>2678</v>
      </c>
      <c r="Z512" t="s">
        <v>3359</v>
      </c>
      <c r="AA512" t="s">
        <v>3406</v>
      </c>
      <c r="AB512" t="s">
        <v>3415</v>
      </c>
      <c r="AC512">
        <f>HYPERLINK("https://lsnyc.legalserver.org/matter/dynamic-profile/view/1902824","19-1902824")</f>
        <v>0</v>
      </c>
      <c r="AD512" t="s">
        <v>3446</v>
      </c>
      <c r="AE512" t="s">
        <v>3465</v>
      </c>
      <c r="AF512" t="s">
        <v>3842</v>
      </c>
      <c r="AG512" t="s">
        <v>3359</v>
      </c>
      <c r="AH512" t="s">
        <v>4906</v>
      </c>
      <c r="AL512" t="s">
        <v>2117</v>
      </c>
      <c r="AN512" t="s">
        <v>3415</v>
      </c>
    </row>
    <row r="513" spans="1:41">
      <c r="A513" s="1" t="s">
        <v>549</v>
      </c>
      <c r="B513" t="s">
        <v>2000</v>
      </c>
      <c r="C513" t="s">
        <v>1998</v>
      </c>
      <c r="D513" t="s">
        <v>2062</v>
      </c>
      <c r="E513" t="s">
        <v>2112</v>
      </c>
      <c r="F513" t="s">
        <v>2178</v>
      </c>
      <c r="G513" t="s">
        <v>2212</v>
      </c>
      <c r="H513">
        <v>11368</v>
      </c>
      <c r="I513" t="s">
        <v>2230</v>
      </c>
      <c r="J513">
        <v>3</v>
      </c>
      <c r="K513">
        <v>2</v>
      </c>
      <c r="L513" t="s">
        <v>2406</v>
      </c>
      <c r="M513" t="s">
        <v>2677</v>
      </c>
      <c r="P513" t="s">
        <v>2812</v>
      </c>
      <c r="Q513" t="s">
        <v>2113</v>
      </c>
      <c r="R513" t="s">
        <v>3258</v>
      </c>
      <c r="S513" t="s">
        <v>3271</v>
      </c>
      <c r="T513" t="s">
        <v>3294</v>
      </c>
      <c r="U513" t="s">
        <v>2812</v>
      </c>
      <c r="X513" t="s">
        <v>3354</v>
      </c>
      <c r="Y513" t="s">
        <v>2678</v>
      </c>
      <c r="Z513" t="s">
        <v>3369</v>
      </c>
      <c r="AA513" t="s">
        <v>3406</v>
      </c>
      <c r="AB513" t="s">
        <v>3419</v>
      </c>
      <c r="AC513">
        <f>HYPERLINK("https://lsnyc.legalserver.org/matter/dynamic-profile/view/1902690","19-1902690")</f>
        <v>0</v>
      </c>
      <c r="AD513" t="s">
        <v>3443</v>
      </c>
      <c r="AE513" t="s">
        <v>3477</v>
      </c>
      <c r="AF513" t="s">
        <v>3931</v>
      </c>
      <c r="AG513" t="s">
        <v>3369</v>
      </c>
      <c r="AH513" t="s">
        <v>4904</v>
      </c>
      <c r="AL513" t="s">
        <v>2178</v>
      </c>
      <c r="AM513" t="s">
        <v>3294</v>
      </c>
      <c r="AN513" t="s">
        <v>3419</v>
      </c>
    </row>
    <row r="514" spans="1:41">
      <c r="A514" s="1" t="s">
        <v>550</v>
      </c>
      <c r="B514" t="s">
        <v>2016</v>
      </c>
      <c r="C514" t="s">
        <v>2000</v>
      </c>
      <c r="D514" t="s">
        <v>2038</v>
      </c>
      <c r="E514" t="s">
        <v>2112</v>
      </c>
      <c r="F514" t="s">
        <v>2123</v>
      </c>
      <c r="G514" t="s">
        <v>2213</v>
      </c>
      <c r="H514">
        <v>10462</v>
      </c>
      <c r="I514" t="s">
        <v>2229</v>
      </c>
      <c r="J514">
        <v>1</v>
      </c>
      <c r="K514">
        <v>0</v>
      </c>
      <c r="L514" t="s">
        <v>2337</v>
      </c>
      <c r="M514" t="s">
        <v>2677</v>
      </c>
      <c r="P514" t="s">
        <v>2813</v>
      </c>
      <c r="Q514" t="s">
        <v>2113</v>
      </c>
      <c r="R514" t="s">
        <v>3260</v>
      </c>
      <c r="S514" t="s">
        <v>3266</v>
      </c>
      <c r="X514" t="s">
        <v>3354</v>
      </c>
      <c r="Y514" t="s">
        <v>2677</v>
      </c>
      <c r="AB514" t="s">
        <v>3414</v>
      </c>
      <c r="AC514">
        <f>HYPERLINK("https://lsnyc.legalserver.org/matter/dynamic-profile/view/1917892","20-1917892")</f>
        <v>0</v>
      </c>
      <c r="AD514" t="s">
        <v>3445</v>
      </c>
      <c r="AE514" t="s">
        <v>3452</v>
      </c>
      <c r="AF514" t="s">
        <v>3932</v>
      </c>
      <c r="AI514" t="s">
        <v>4909</v>
      </c>
      <c r="AL514" t="s">
        <v>2123</v>
      </c>
      <c r="AN514" t="s">
        <v>3414</v>
      </c>
    </row>
    <row r="515" spans="1:41">
      <c r="A515" s="1" t="s">
        <v>551</v>
      </c>
      <c r="B515" t="s">
        <v>1998</v>
      </c>
      <c r="C515" t="s">
        <v>2004</v>
      </c>
      <c r="D515" t="s">
        <v>2070</v>
      </c>
      <c r="E515" t="s">
        <v>2112</v>
      </c>
      <c r="F515" t="s">
        <v>2118</v>
      </c>
      <c r="G515" t="s">
        <v>2212</v>
      </c>
      <c r="H515">
        <v>11377</v>
      </c>
      <c r="I515" t="s">
        <v>2230</v>
      </c>
      <c r="J515">
        <v>2</v>
      </c>
      <c r="K515">
        <v>1</v>
      </c>
      <c r="L515" t="s">
        <v>2407</v>
      </c>
      <c r="M515" t="s">
        <v>2677</v>
      </c>
      <c r="P515" t="s">
        <v>2758</v>
      </c>
      <c r="Q515" t="s">
        <v>2113</v>
      </c>
      <c r="R515" t="s">
        <v>3258</v>
      </c>
      <c r="S515" t="s">
        <v>3271</v>
      </c>
      <c r="X515" t="s">
        <v>3354</v>
      </c>
      <c r="Y515" t="s">
        <v>2678</v>
      </c>
      <c r="Z515" t="s">
        <v>3362</v>
      </c>
      <c r="AA515" t="s">
        <v>3406</v>
      </c>
      <c r="AB515" t="s">
        <v>3419</v>
      </c>
      <c r="AC515">
        <f>HYPERLINK("https://lsnyc.legalserver.org/matter/dynamic-profile/view/1902554","19-1902554")</f>
        <v>0</v>
      </c>
      <c r="AD515" t="s">
        <v>3443</v>
      </c>
      <c r="AE515" t="s">
        <v>3477</v>
      </c>
      <c r="AF515" t="s">
        <v>3933</v>
      </c>
      <c r="AG515" t="s">
        <v>3362</v>
      </c>
      <c r="AH515" t="s">
        <v>4904</v>
      </c>
      <c r="AI515" t="s">
        <v>4909</v>
      </c>
      <c r="AL515" t="s">
        <v>2118</v>
      </c>
      <c r="AN515" t="s">
        <v>3419</v>
      </c>
    </row>
    <row r="516" spans="1:41">
      <c r="A516" s="1" t="s">
        <v>552</v>
      </c>
      <c r="B516" t="s">
        <v>2000</v>
      </c>
      <c r="C516" t="s">
        <v>1998</v>
      </c>
      <c r="D516" t="s">
        <v>2028</v>
      </c>
      <c r="E516" t="s">
        <v>2112</v>
      </c>
      <c r="F516" t="s">
        <v>2116</v>
      </c>
      <c r="G516" t="s">
        <v>2211</v>
      </c>
      <c r="H516">
        <v>10002</v>
      </c>
      <c r="I516" t="s">
        <v>2229</v>
      </c>
      <c r="J516">
        <v>1</v>
      </c>
      <c r="K516">
        <v>0</v>
      </c>
      <c r="L516" t="s">
        <v>2408</v>
      </c>
      <c r="M516" t="s">
        <v>2677</v>
      </c>
      <c r="P516" t="s">
        <v>2814</v>
      </c>
      <c r="Q516" t="s">
        <v>2113</v>
      </c>
      <c r="R516" t="s">
        <v>3258</v>
      </c>
      <c r="S516" t="s">
        <v>3286</v>
      </c>
      <c r="X516" t="s">
        <v>3354</v>
      </c>
      <c r="Y516" t="s">
        <v>2677</v>
      </c>
      <c r="Z516" t="s">
        <v>3388</v>
      </c>
      <c r="AA516" t="s">
        <v>3406</v>
      </c>
      <c r="AB516" t="s">
        <v>3434</v>
      </c>
      <c r="AC516">
        <f>HYPERLINK("https://lsnyc.legalserver.org/matter/dynamic-profile/view/1902556","19-1902556")</f>
        <v>0</v>
      </c>
      <c r="AD516" t="s">
        <v>3445</v>
      </c>
      <c r="AE516" t="s">
        <v>3455</v>
      </c>
      <c r="AF516" t="s">
        <v>3934</v>
      </c>
      <c r="AG516" t="s">
        <v>3388</v>
      </c>
      <c r="AH516" t="s">
        <v>4904</v>
      </c>
      <c r="AK516" t="s">
        <v>4911</v>
      </c>
      <c r="AL516" t="s">
        <v>2116</v>
      </c>
      <c r="AN516" t="s">
        <v>3434</v>
      </c>
    </row>
    <row r="517" spans="1:41">
      <c r="A517" s="1" t="s">
        <v>553</v>
      </c>
      <c r="B517" t="s">
        <v>1998</v>
      </c>
      <c r="C517" t="s">
        <v>2005</v>
      </c>
      <c r="D517" t="s">
        <v>2052</v>
      </c>
      <c r="E517" t="s">
        <v>2112</v>
      </c>
      <c r="F517" t="s">
        <v>2115</v>
      </c>
      <c r="G517" t="s">
        <v>2214</v>
      </c>
      <c r="H517">
        <v>11206</v>
      </c>
      <c r="J517">
        <v>3</v>
      </c>
      <c r="K517">
        <v>2</v>
      </c>
      <c r="L517" t="s">
        <v>2260</v>
      </c>
      <c r="M517" t="s">
        <v>2677</v>
      </c>
      <c r="P517" t="s">
        <v>2814</v>
      </c>
      <c r="Q517" t="s">
        <v>2113</v>
      </c>
      <c r="R517" t="s">
        <v>3258</v>
      </c>
      <c r="S517" t="s">
        <v>3286</v>
      </c>
      <c r="T517" t="s">
        <v>3294</v>
      </c>
      <c r="U517" t="s">
        <v>2814</v>
      </c>
      <c r="X517" t="s">
        <v>3354</v>
      </c>
      <c r="Y517" t="s">
        <v>2677</v>
      </c>
      <c r="Z517" t="s">
        <v>3388</v>
      </c>
      <c r="AA517" t="s">
        <v>3406</v>
      </c>
      <c r="AB517" t="s">
        <v>3434</v>
      </c>
      <c r="AC517">
        <f>HYPERLINK("https://lsnyc.legalserver.org/matter/dynamic-profile/view/1902560","19-1902560")</f>
        <v>0</v>
      </c>
      <c r="AD517" t="s">
        <v>3445</v>
      </c>
      <c r="AE517" t="s">
        <v>3452</v>
      </c>
      <c r="AF517" t="s">
        <v>3935</v>
      </c>
      <c r="AG517" t="s">
        <v>3388</v>
      </c>
      <c r="AH517" t="s">
        <v>4904</v>
      </c>
      <c r="AL517" t="s">
        <v>2115</v>
      </c>
      <c r="AM517" t="s">
        <v>3294</v>
      </c>
      <c r="AN517" t="s">
        <v>3434</v>
      </c>
    </row>
    <row r="518" spans="1:41">
      <c r="A518" s="1" t="s">
        <v>554</v>
      </c>
      <c r="B518" t="s">
        <v>1998</v>
      </c>
      <c r="C518" t="s">
        <v>2005</v>
      </c>
      <c r="D518" t="s">
        <v>2052</v>
      </c>
      <c r="E518" t="s">
        <v>2112</v>
      </c>
      <c r="F518" t="s">
        <v>2115</v>
      </c>
      <c r="G518" t="s">
        <v>2214</v>
      </c>
      <c r="H518">
        <v>11206</v>
      </c>
      <c r="I518" t="s">
        <v>2229</v>
      </c>
      <c r="J518">
        <v>3</v>
      </c>
      <c r="K518">
        <v>2</v>
      </c>
      <c r="L518" t="s">
        <v>2260</v>
      </c>
      <c r="M518" t="s">
        <v>2677</v>
      </c>
      <c r="P518" t="s">
        <v>2814</v>
      </c>
      <c r="Q518" t="s">
        <v>2113</v>
      </c>
      <c r="R518" t="s">
        <v>3259</v>
      </c>
      <c r="S518" t="s">
        <v>3276</v>
      </c>
      <c r="T518" t="s">
        <v>3294</v>
      </c>
      <c r="U518" t="s">
        <v>2814</v>
      </c>
      <c r="X518" t="s">
        <v>3354</v>
      </c>
      <c r="Y518" t="s">
        <v>2677</v>
      </c>
      <c r="Z518" t="s">
        <v>3373</v>
      </c>
      <c r="AA518" t="s">
        <v>3406</v>
      </c>
      <c r="AB518" t="s">
        <v>3424</v>
      </c>
      <c r="AC518">
        <f>HYPERLINK("https://lsnyc.legalserver.org/matter/dynamic-profile/view/1902562","19-1902562")</f>
        <v>0</v>
      </c>
      <c r="AD518" t="s">
        <v>3445</v>
      </c>
      <c r="AE518" t="s">
        <v>3452</v>
      </c>
      <c r="AF518" t="s">
        <v>3935</v>
      </c>
      <c r="AG518" t="s">
        <v>3373</v>
      </c>
      <c r="AH518" t="s">
        <v>4904</v>
      </c>
      <c r="AL518" t="s">
        <v>2115</v>
      </c>
      <c r="AM518" t="s">
        <v>3294</v>
      </c>
      <c r="AN518" t="s">
        <v>3424</v>
      </c>
    </row>
    <row r="519" spans="1:41">
      <c r="A519" s="1" t="s">
        <v>555</v>
      </c>
      <c r="B519" t="s">
        <v>1998</v>
      </c>
      <c r="C519" t="s">
        <v>2001</v>
      </c>
      <c r="D519" t="s">
        <v>2064</v>
      </c>
      <c r="E519" t="s">
        <v>2111</v>
      </c>
      <c r="F519" t="s">
        <v>2123</v>
      </c>
      <c r="G519" t="s">
        <v>2211</v>
      </c>
      <c r="H519">
        <v>10033</v>
      </c>
      <c r="I519" t="s">
        <v>2229</v>
      </c>
      <c r="J519">
        <v>5</v>
      </c>
      <c r="K519">
        <v>2</v>
      </c>
      <c r="L519" t="s">
        <v>2283</v>
      </c>
      <c r="M519" t="s">
        <v>2677</v>
      </c>
      <c r="P519" t="s">
        <v>2814</v>
      </c>
      <c r="Q519" t="s">
        <v>2113</v>
      </c>
      <c r="R519" t="s">
        <v>3259</v>
      </c>
      <c r="S519" t="s">
        <v>3264</v>
      </c>
      <c r="T519" t="s">
        <v>3294</v>
      </c>
      <c r="U519" t="s">
        <v>2808</v>
      </c>
      <c r="X519" t="s">
        <v>3354</v>
      </c>
      <c r="Y519" t="s">
        <v>2677</v>
      </c>
      <c r="Z519" t="s">
        <v>3397</v>
      </c>
      <c r="AA519" t="s">
        <v>3406</v>
      </c>
      <c r="AB519" t="s">
        <v>3412</v>
      </c>
      <c r="AC519">
        <f>HYPERLINK("https://lsnyc.legalserver.org/matter/dynamic-profile/view/1902566","19-1902566")</f>
        <v>0</v>
      </c>
      <c r="AD519" t="s">
        <v>3445</v>
      </c>
      <c r="AE519" t="s">
        <v>3452</v>
      </c>
      <c r="AF519" t="s">
        <v>3936</v>
      </c>
      <c r="AG519" t="s">
        <v>3397</v>
      </c>
      <c r="AH519" t="s">
        <v>4904</v>
      </c>
      <c r="AK519" t="s">
        <v>4911</v>
      </c>
      <c r="AL519" t="s">
        <v>2123</v>
      </c>
      <c r="AM519" t="s">
        <v>3294</v>
      </c>
      <c r="AN519" t="s">
        <v>3412</v>
      </c>
    </row>
    <row r="520" spans="1:41">
      <c r="A520" s="1" t="s">
        <v>556</v>
      </c>
      <c r="B520" t="s">
        <v>2009</v>
      </c>
      <c r="C520" t="s">
        <v>2002</v>
      </c>
      <c r="D520" t="s">
        <v>2039</v>
      </c>
      <c r="E520" t="s">
        <v>2111</v>
      </c>
      <c r="F520" t="s">
        <v>2135</v>
      </c>
      <c r="G520" t="s">
        <v>2214</v>
      </c>
      <c r="H520">
        <v>11226</v>
      </c>
      <c r="I520" t="s">
        <v>2229</v>
      </c>
      <c r="J520">
        <v>4</v>
      </c>
      <c r="K520">
        <v>0</v>
      </c>
      <c r="L520" t="s">
        <v>2409</v>
      </c>
      <c r="M520" t="s">
        <v>2677</v>
      </c>
      <c r="P520" t="s">
        <v>2814</v>
      </c>
      <c r="Q520" t="s">
        <v>2113</v>
      </c>
      <c r="R520" t="s">
        <v>3258</v>
      </c>
      <c r="S520" t="s">
        <v>3286</v>
      </c>
      <c r="X520" t="s">
        <v>3354</v>
      </c>
      <c r="Y520" t="s">
        <v>2677</v>
      </c>
      <c r="Z520" t="s">
        <v>3388</v>
      </c>
      <c r="AA520" t="s">
        <v>3406</v>
      </c>
      <c r="AB520" t="s">
        <v>3434</v>
      </c>
      <c r="AC520">
        <f>HYPERLINK("https://lsnyc.legalserver.org/matter/dynamic-profile/view/1902585","19-1902585")</f>
        <v>0</v>
      </c>
      <c r="AD520" t="s">
        <v>3445</v>
      </c>
      <c r="AE520" t="s">
        <v>3452</v>
      </c>
      <c r="AF520" t="s">
        <v>3937</v>
      </c>
      <c r="AG520" t="s">
        <v>3388</v>
      </c>
      <c r="AH520" t="s">
        <v>4904</v>
      </c>
      <c r="AK520" t="s">
        <v>4911</v>
      </c>
      <c r="AL520" t="s">
        <v>2135</v>
      </c>
      <c r="AN520" t="s">
        <v>3434</v>
      </c>
    </row>
    <row r="521" spans="1:41">
      <c r="A521" s="1" t="s">
        <v>557</v>
      </c>
      <c r="B521" t="s">
        <v>2000</v>
      </c>
      <c r="C521" t="s">
        <v>2002</v>
      </c>
      <c r="D521" t="s">
        <v>2040</v>
      </c>
      <c r="E521" t="s">
        <v>2111</v>
      </c>
      <c r="G521" t="s">
        <v>2216</v>
      </c>
      <c r="H521">
        <v>10303</v>
      </c>
      <c r="I521" t="s">
        <v>2229</v>
      </c>
      <c r="J521">
        <v>2</v>
      </c>
      <c r="K521">
        <v>0</v>
      </c>
      <c r="L521" t="s">
        <v>2281</v>
      </c>
      <c r="M521" t="s">
        <v>2677</v>
      </c>
      <c r="P521" t="s">
        <v>2814</v>
      </c>
      <c r="Q521" t="s">
        <v>3255</v>
      </c>
      <c r="R521" t="s">
        <v>3259</v>
      </c>
      <c r="S521" t="s">
        <v>3268</v>
      </c>
      <c r="X521" t="s">
        <v>3354</v>
      </c>
      <c r="Y521" t="s">
        <v>2678</v>
      </c>
      <c r="Z521" t="s">
        <v>3368</v>
      </c>
      <c r="AA521" t="s">
        <v>3406</v>
      </c>
      <c r="AB521" t="s">
        <v>3416</v>
      </c>
      <c r="AC521">
        <f>HYPERLINK("https://lsnyc.legalserver.org/matter/dynamic-profile/view/1902680","19-1902680")</f>
        <v>0</v>
      </c>
      <c r="AD521" t="s">
        <v>3447</v>
      </c>
      <c r="AE521" t="s">
        <v>3459</v>
      </c>
      <c r="AF521" t="s">
        <v>3938</v>
      </c>
      <c r="AG521" t="s">
        <v>3368</v>
      </c>
      <c r="AH521" t="s">
        <v>4904</v>
      </c>
      <c r="AI521" t="s">
        <v>4909</v>
      </c>
      <c r="AN521" t="s">
        <v>3416</v>
      </c>
    </row>
    <row r="522" spans="1:41">
      <c r="A522" s="1" t="s">
        <v>558</v>
      </c>
      <c r="B522" t="s">
        <v>2001</v>
      </c>
      <c r="C522" t="s">
        <v>2016</v>
      </c>
      <c r="D522" t="s">
        <v>2027</v>
      </c>
      <c r="E522" t="s">
        <v>2112</v>
      </c>
      <c r="G522" t="s">
        <v>2216</v>
      </c>
      <c r="H522">
        <v>10301</v>
      </c>
      <c r="I522" t="s">
        <v>2229</v>
      </c>
      <c r="J522">
        <v>4</v>
      </c>
      <c r="K522">
        <v>2</v>
      </c>
      <c r="L522" t="s">
        <v>2271</v>
      </c>
      <c r="M522" t="s">
        <v>2677</v>
      </c>
      <c r="P522" t="s">
        <v>2814</v>
      </c>
      <c r="Q522" t="s">
        <v>3255</v>
      </c>
      <c r="R522" t="s">
        <v>3260</v>
      </c>
      <c r="S522" t="s">
        <v>3266</v>
      </c>
      <c r="X522" t="s">
        <v>3354</v>
      </c>
      <c r="Y522" t="s">
        <v>2678</v>
      </c>
      <c r="AB522" t="s">
        <v>3414</v>
      </c>
      <c r="AC522">
        <f>HYPERLINK("https://lsnyc.legalserver.org/matter/dynamic-profile/view/1902902","19-1902902")</f>
        <v>0</v>
      </c>
      <c r="AD522" t="s">
        <v>3447</v>
      </c>
      <c r="AE522" t="s">
        <v>3463</v>
      </c>
      <c r="AF522" t="s">
        <v>3939</v>
      </c>
      <c r="AI522" t="s">
        <v>4909</v>
      </c>
      <c r="AN522" t="s">
        <v>3414</v>
      </c>
    </row>
    <row r="523" spans="1:41">
      <c r="A523" s="1" t="s">
        <v>559</v>
      </c>
      <c r="B523" t="s">
        <v>1998</v>
      </c>
      <c r="C523" t="s">
        <v>1998</v>
      </c>
      <c r="D523" t="s">
        <v>2084</v>
      </c>
      <c r="E523" t="s">
        <v>2112</v>
      </c>
      <c r="F523" t="s">
        <v>2146</v>
      </c>
      <c r="G523" t="s">
        <v>2213</v>
      </c>
      <c r="H523">
        <v>10463</v>
      </c>
      <c r="I523" t="s">
        <v>2230</v>
      </c>
      <c r="J523">
        <v>2</v>
      </c>
      <c r="K523">
        <v>1</v>
      </c>
      <c r="L523" t="s">
        <v>2333</v>
      </c>
      <c r="M523" t="s">
        <v>2677</v>
      </c>
      <c r="P523" t="s">
        <v>2814</v>
      </c>
      <c r="Q523" t="s">
        <v>2113</v>
      </c>
      <c r="R523" t="s">
        <v>3260</v>
      </c>
      <c r="S523" t="s">
        <v>3266</v>
      </c>
      <c r="V523" t="s">
        <v>3352</v>
      </c>
      <c r="X523" t="s">
        <v>3354</v>
      </c>
      <c r="Y523" t="s">
        <v>2677</v>
      </c>
      <c r="AA523" t="s">
        <v>3406</v>
      </c>
      <c r="AB523" t="s">
        <v>3414</v>
      </c>
      <c r="AC523">
        <f>HYPERLINK("https://lsnyc.legalserver.org/matter/dynamic-profile/view/1917882","20-1917882")</f>
        <v>0</v>
      </c>
      <c r="AD523" t="s">
        <v>3445</v>
      </c>
      <c r="AE523" t="s">
        <v>3452</v>
      </c>
      <c r="AF523" t="s">
        <v>3940</v>
      </c>
      <c r="AH523" t="s">
        <v>4904</v>
      </c>
      <c r="AL523" t="s">
        <v>2146</v>
      </c>
      <c r="AN523" t="s">
        <v>3414</v>
      </c>
      <c r="AO523" t="s">
        <v>3352</v>
      </c>
    </row>
    <row r="524" spans="1:41">
      <c r="A524" s="1" t="s">
        <v>560</v>
      </c>
      <c r="B524" t="s">
        <v>2001</v>
      </c>
      <c r="C524" t="s">
        <v>2001</v>
      </c>
      <c r="D524" t="s">
        <v>2076</v>
      </c>
      <c r="E524" t="s">
        <v>2111</v>
      </c>
      <c r="F524" t="s">
        <v>2117</v>
      </c>
      <c r="G524" t="s">
        <v>2213</v>
      </c>
      <c r="H524">
        <v>10456</v>
      </c>
      <c r="I524" t="s">
        <v>2229</v>
      </c>
      <c r="J524">
        <v>5</v>
      </c>
      <c r="K524">
        <v>2</v>
      </c>
      <c r="L524" t="s">
        <v>2410</v>
      </c>
      <c r="M524" t="s">
        <v>2677</v>
      </c>
      <c r="P524" t="s">
        <v>2815</v>
      </c>
      <c r="Q524" t="s">
        <v>3255</v>
      </c>
      <c r="R524" t="s">
        <v>3259</v>
      </c>
      <c r="S524" t="s">
        <v>3267</v>
      </c>
      <c r="X524" t="s">
        <v>3354</v>
      </c>
      <c r="Y524" t="s">
        <v>2677</v>
      </c>
      <c r="Z524" t="s">
        <v>3380</v>
      </c>
      <c r="AA524" t="s">
        <v>3406</v>
      </c>
      <c r="AB524" t="s">
        <v>3415</v>
      </c>
      <c r="AC524">
        <f>HYPERLINK("https://lsnyc.legalserver.org/matter/dynamic-profile/view/1902451","19-1902451")</f>
        <v>0</v>
      </c>
      <c r="AD524" t="s">
        <v>3445</v>
      </c>
      <c r="AE524" t="s">
        <v>3455</v>
      </c>
      <c r="AF524" t="s">
        <v>3941</v>
      </c>
      <c r="AG524" t="s">
        <v>3380</v>
      </c>
      <c r="AH524" t="s">
        <v>4906</v>
      </c>
      <c r="AK524" t="s">
        <v>4911</v>
      </c>
      <c r="AL524" t="s">
        <v>2117</v>
      </c>
      <c r="AN524" t="s">
        <v>3415</v>
      </c>
    </row>
    <row r="525" spans="1:41">
      <c r="A525" s="1" t="s">
        <v>561</v>
      </c>
      <c r="B525" t="s">
        <v>2009</v>
      </c>
      <c r="C525" t="s">
        <v>2005</v>
      </c>
      <c r="D525" t="s">
        <v>2061</v>
      </c>
      <c r="E525" t="s">
        <v>2111</v>
      </c>
      <c r="F525" t="s">
        <v>2117</v>
      </c>
      <c r="G525" t="s">
        <v>2212</v>
      </c>
      <c r="H525">
        <v>11432</v>
      </c>
      <c r="I525" t="s">
        <v>2229</v>
      </c>
      <c r="J525">
        <v>2</v>
      </c>
      <c r="K525">
        <v>1</v>
      </c>
      <c r="L525" t="s">
        <v>2260</v>
      </c>
      <c r="M525" t="s">
        <v>2677</v>
      </c>
      <c r="P525" t="s">
        <v>2739</v>
      </c>
      <c r="Q525" t="s">
        <v>2113</v>
      </c>
      <c r="R525" t="s">
        <v>3259</v>
      </c>
      <c r="S525" t="s">
        <v>3267</v>
      </c>
      <c r="V525" t="s">
        <v>3353</v>
      </c>
      <c r="X525" t="s">
        <v>3354</v>
      </c>
      <c r="Y525" t="s">
        <v>2678</v>
      </c>
      <c r="Z525" t="s">
        <v>3359</v>
      </c>
      <c r="AA525" t="s">
        <v>3406</v>
      </c>
      <c r="AB525" t="s">
        <v>3415</v>
      </c>
      <c r="AC525">
        <f>HYPERLINK("https://lsnyc.legalserver.org/matter/dynamic-profile/view/1912779","19-1912779")</f>
        <v>0</v>
      </c>
      <c r="AD525" t="s">
        <v>3443</v>
      </c>
      <c r="AE525" t="s">
        <v>3450</v>
      </c>
      <c r="AF525" t="s">
        <v>3942</v>
      </c>
      <c r="AG525" t="s">
        <v>3359</v>
      </c>
      <c r="AH525" t="s">
        <v>4906</v>
      </c>
      <c r="AL525" t="s">
        <v>2117</v>
      </c>
      <c r="AN525" t="s">
        <v>3415</v>
      </c>
      <c r="AO525" t="s">
        <v>3353</v>
      </c>
    </row>
    <row r="526" spans="1:41">
      <c r="A526" s="1" t="s">
        <v>562</v>
      </c>
      <c r="B526" t="s">
        <v>2000</v>
      </c>
      <c r="C526" t="s">
        <v>2001</v>
      </c>
      <c r="D526" t="s">
        <v>2098</v>
      </c>
      <c r="E526" t="s">
        <v>2111</v>
      </c>
      <c r="F526" t="s">
        <v>2123</v>
      </c>
      <c r="G526" t="s">
        <v>2211</v>
      </c>
      <c r="H526">
        <v>10002</v>
      </c>
      <c r="I526" t="s">
        <v>2229</v>
      </c>
      <c r="J526">
        <v>4</v>
      </c>
      <c r="K526">
        <v>0</v>
      </c>
      <c r="L526" t="s">
        <v>2411</v>
      </c>
      <c r="M526" t="s">
        <v>2677</v>
      </c>
      <c r="P526" t="s">
        <v>2816</v>
      </c>
      <c r="Q526" t="s">
        <v>2113</v>
      </c>
      <c r="R526" t="s">
        <v>3258</v>
      </c>
      <c r="S526" t="s">
        <v>3286</v>
      </c>
      <c r="X526" t="s">
        <v>3354</v>
      </c>
      <c r="Y526" t="s">
        <v>2677</v>
      </c>
      <c r="Z526" t="s">
        <v>3388</v>
      </c>
      <c r="AA526" t="s">
        <v>3406</v>
      </c>
      <c r="AB526" t="s">
        <v>3434</v>
      </c>
      <c r="AC526">
        <f>HYPERLINK("https://lsnyc.legalserver.org/matter/dynamic-profile/view/1902348","19-1902348")</f>
        <v>0</v>
      </c>
      <c r="AD526" t="s">
        <v>3445</v>
      </c>
      <c r="AE526" t="s">
        <v>3455</v>
      </c>
      <c r="AF526" t="s">
        <v>3943</v>
      </c>
      <c r="AG526" t="s">
        <v>3388</v>
      </c>
      <c r="AH526" t="s">
        <v>4904</v>
      </c>
      <c r="AK526" t="s">
        <v>4911</v>
      </c>
      <c r="AL526" t="s">
        <v>2123</v>
      </c>
      <c r="AN526" t="s">
        <v>3434</v>
      </c>
    </row>
    <row r="527" spans="1:41">
      <c r="A527" s="1" t="s">
        <v>563</v>
      </c>
      <c r="B527" t="s">
        <v>2000</v>
      </c>
      <c r="C527" t="s">
        <v>1998</v>
      </c>
      <c r="D527" t="s">
        <v>2026</v>
      </c>
      <c r="E527" t="s">
        <v>2111</v>
      </c>
      <c r="F527" t="s">
        <v>2120</v>
      </c>
      <c r="G527" t="s">
        <v>2212</v>
      </c>
      <c r="H527">
        <v>11434</v>
      </c>
      <c r="I527" t="s">
        <v>2230</v>
      </c>
      <c r="J527">
        <v>6</v>
      </c>
      <c r="K527">
        <v>4</v>
      </c>
      <c r="L527" t="s">
        <v>2412</v>
      </c>
      <c r="M527" t="s">
        <v>2677</v>
      </c>
      <c r="P527" t="s">
        <v>2817</v>
      </c>
      <c r="Q527" t="s">
        <v>2113</v>
      </c>
      <c r="R527" t="s">
        <v>3258</v>
      </c>
      <c r="S527" t="s">
        <v>3286</v>
      </c>
      <c r="X527" t="s">
        <v>3354</v>
      </c>
      <c r="Y527" t="s">
        <v>2677</v>
      </c>
      <c r="Z527" t="s">
        <v>3388</v>
      </c>
      <c r="AA527" t="s">
        <v>3406</v>
      </c>
      <c r="AB527" t="s">
        <v>3434</v>
      </c>
      <c r="AC527">
        <f>HYPERLINK("https://lsnyc.legalserver.org/matter/dynamic-profile/view/1902142","19-1902142")</f>
        <v>0</v>
      </c>
      <c r="AD527" t="s">
        <v>3445</v>
      </c>
      <c r="AE527" t="s">
        <v>3452</v>
      </c>
      <c r="AF527" t="s">
        <v>3944</v>
      </c>
      <c r="AG527" t="s">
        <v>3388</v>
      </c>
      <c r="AH527" t="s">
        <v>4904</v>
      </c>
      <c r="AK527" t="s">
        <v>4911</v>
      </c>
      <c r="AL527" t="s">
        <v>2120</v>
      </c>
      <c r="AN527" t="s">
        <v>3434</v>
      </c>
    </row>
    <row r="528" spans="1:41">
      <c r="A528" s="1" t="s">
        <v>564</v>
      </c>
      <c r="B528" t="s">
        <v>1998</v>
      </c>
      <c r="C528" t="s">
        <v>2016</v>
      </c>
      <c r="D528" t="s">
        <v>2048</v>
      </c>
      <c r="E528" t="s">
        <v>2112</v>
      </c>
      <c r="F528" t="s">
        <v>2120</v>
      </c>
      <c r="G528" t="s">
        <v>2213</v>
      </c>
      <c r="H528">
        <v>10469</v>
      </c>
      <c r="I528" t="s">
        <v>2230</v>
      </c>
      <c r="J528">
        <v>6</v>
      </c>
      <c r="K528">
        <v>4</v>
      </c>
      <c r="L528" t="s">
        <v>2377</v>
      </c>
      <c r="M528" t="s">
        <v>2677</v>
      </c>
      <c r="P528" t="s">
        <v>2817</v>
      </c>
      <c r="Q528" t="s">
        <v>2113</v>
      </c>
      <c r="R528" t="s">
        <v>3258</v>
      </c>
      <c r="S528" t="s">
        <v>3286</v>
      </c>
      <c r="X528" t="s">
        <v>3354</v>
      </c>
      <c r="Y528" t="s">
        <v>2677</v>
      </c>
      <c r="Z528" t="s">
        <v>3388</v>
      </c>
      <c r="AA528" t="s">
        <v>3406</v>
      </c>
      <c r="AB528" t="s">
        <v>3434</v>
      </c>
      <c r="AC528">
        <f>HYPERLINK("https://lsnyc.legalserver.org/matter/dynamic-profile/view/1902147","19-1902147")</f>
        <v>0</v>
      </c>
      <c r="AD528" t="s">
        <v>3445</v>
      </c>
      <c r="AE528" t="s">
        <v>3455</v>
      </c>
      <c r="AF528" t="s">
        <v>3945</v>
      </c>
      <c r="AG528" t="s">
        <v>3388</v>
      </c>
      <c r="AH528" t="s">
        <v>4904</v>
      </c>
      <c r="AK528" t="s">
        <v>4911</v>
      </c>
      <c r="AL528" t="s">
        <v>2120</v>
      </c>
      <c r="AN528" t="s">
        <v>3434</v>
      </c>
    </row>
    <row r="529" spans="1:40">
      <c r="A529" s="1" t="s">
        <v>565</v>
      </c>
      <c r="B529" t="s">
        <v>2009</v>
      </c>
      <c r="C529" t="s">
        <v>1998</v>
      </c>
      <c r="D529" t="s">
        <v>2086</v>
      </c>
      <c r="E529" t="s">
        <v>2112</v>
      </c>
      <c r="F529" t="s">
        <v>2123</v>
      </c>
      <c r="G529" t="s">
        <v>2213</v>
      </c>
      <c r="H529">
        <v>10456</v>
      </c>
      <c r="I529" t="s">
        <v>2229</v>
      </c>
      <c r="J529">
        <v>1</v>
      </c>
      <c r="K529">
        <v>0</v>
      </c>
      <c r="L529" t="s">
        <v>2262</v>
      </c>
      <c r="M529" t="s">
        <v>2677</v>
      </c>
      <c r="P529" t="s">
        <v>2817</v>
      </c>
      <c r="Q529" t="s">
        <v>2113</v>
      </c>
      <c r="R529" t="s">
        <v>3258</v>
      </c>
      <c r="S529" t="s">
        <v>3279</v>
      </c>
      <c r="X529" t="s">
        <v>3354</v>
      </c>
      <c r="Y529" t="s">
        <v>2677</v>
      </c>
      <c r="Z529" t="s">
        <v>3377</v>
      </c>
      <c r="AA529" t="s">
        <v>3406</v>
      </c>
      <c r="AB529" t="s">
        <v>3427</v>
      </c>
      <c r="AC529">
        <f>HYPERLINK("https://lsnyc.legalserver.org/matter/dynamic-profile/view/1902162","19-1902162")</f>
        <v>0</v>
      </c>
      <c r="AD529" t="s">
        <v>3445</v>
      </c>
      <c r="AE529" t="s">
        <v>3455</v>
      </c>
      <c r="AF529" t="s">
        <v>3946</v>
      </c>
      <c r="AG529" t="s">
        <v>3377</v>
      </c>
      <c r="AH529" t="s">
        <v>4904</v>
      </c>
      <c r="AK529" t="s">
        <v>4911</v>
      </c>
      <c r="AL529" t="s">
        <v>2123</v>
      </c>
      <c r="AN529" t="s">
        <v>3427</v>
      </c>
    </row>
    <row r="530" spans="1:40">
      <c r="A530" s="1" t="s">
        <v>566</v>
      </c>
      <c r="B530" t="s">
        <v>2009</v>
      </c>
      <c r="C530" t="s">
        <v>2000</v>
      </c>
      <c r="D530" t="s">
        <v>2038</v>
      </c>
      <c r="E530" t="s">
        <v>2112</v>
      </c>
      <c r="F530" t="s">
        <v>2117</v>
      </c>
      <c r="G530" t="s">
        <v>2213</v>
      </c>
      <c r="H530">
        <v>10456</v>
      </c>
      <c r="I530" t="s">
        <v>2229</v>
      </c>
      <c r="J530">
        <v>5</v>
      </c>
      <c r="K530">
        <v>2</v>
      </c>
      <c r="L530" t="s">
        <v>2410</v>
      </c>
      <c r="M530" t="s">
        <v>2677</v>
      </c>
      <c r="P530" t="s">
        <v>2817</v>
      </c>
      <c r="Q530" t="s">
        <v>3255</v>
      </c>
      <c r="R530" t="s">
        <v>3259</v>
      </c>
      <c r="S530" t="s">
        <v>3267</v>
      </c>
      <c r="X530" t="s">
        <v>3354</v>
      </c>
      <c r="Y530" t="s">
        <v>2677</v>
      </c>
      <c r="Z530" t="s">
        <v>3380</v>
      </c>
      <c r="AA530" t="s">
        <v>3406</v>
      </c>
      <c r="AB530" t="s">
        <v>3415</v>
      </c>
      <c r="AC530">
        <f>HYPERLINK("https://lsnyc.legalserver.org/matter/dynamic-profile/view/1902190","19-1902190")</f>
        <v>0</v>
      </c>
      <c r="AD530" t="s">
        <v>3445</v>
      </c>
      <c r="AE530" t="s">
        <v>3455</v>
      </c>
      <c r="AF530" t="s">
        <v>3947</v>
      </c>
      <c r="AG530" t="s">
        <v>3380</v>
      </c>
      <c r="AH530" t="s">
        <v>4906</v>
      </c>
      <c r="AK530" t="s">
        <v>4911</v>
      </c>
      <c r="AL530" t="s">
        <v>2117</v>
      </c>
      <c r="AN530" t="s">
        <v>3415</v>
      </c>
    </row>
    <row r="531" spans="1:40">
      <c r="A531" s="1" t="s">
        <v>567</v>
      </c>
      <c r="B531" t="s">
        <v>2001</v>
      </c>
      <c r="C531" t="s">
        <v>2016</v>
      </c>
      <c r="D531" t="s">
        <v>2054</v>
      </c>
      <c r="E531" t="s">
        <v>2111</v>
      </c>
      <c r="F531" t="s">
        <v>2117</v>
      </c>
      <c r="G531" t="s">
        <v>2213</v>
      </c>
      <c r="H531">
        <v>10456</v>
      </c>
      <c r="I531" t="s">
        <v>2229</v>
      </c>
      <c r="J531">
        <v>5</v>
      </c>
      <c r="K531">
        <v>2</v>
      </c>
      <c r="L531" t="s">
        <v>2410</v>
      </c>
      <c r="M531" t="s">
        <v>2677</v>
      </c>
      <c r="P531" t="s">
        <v>2817</v>
      </c>
      <c r="Q531" t="s">
        <v>3255</v>
      </c>
      <c r="R531" t="s">
        <v>3259</v>
      </c>
      <c r="S531" t="s">
        <v>3267</v>
      </c>
      <c r="X531" t="s">
        <v>3354</v>
      </c>
      <c r="Y531" t="s">
        <v>2677</v>
      </c>
      <c r="Z531" t="s">
        <v>3380</v>
      </c>
      <c r="AA531" t="s">
        <v>3406</v>
      </c>
      <c r="AB531" t="s">
        <v>3415</v>
      </c>
      <c r="AC531">
        <f>HYPERLINK("https://lsnyc.legalserver.org/matter/dynamic-profile/view/1902198","19-1902198")</f>
        <v>0</v>
      </c>
      <c r="AD531" t="s">
        <v>3445</v>
      </c>
      <c r="AE531" t="s">
        <v>3455</v>
      </c>
      <c r="AF531" t="s">
        <v>3948</v>
      </c>
      <c r="AG531" t="s">
        <v>3380</v>
      </c>
      <c r="AH531" t="s">
        <v>4906</v>
      </c>
      <c r="AK531" t="s">
        <v>4911</v>
      </c>
      <c r="AL531" t="s">
        <v>2117</v>
      </c>
      <c r="AN531" t="s">
        <v>3415</v>
      </c>
    </row>
    <row r="532" spans="1:40">
      <c r="A532" s="1" t="s">
        <v>568</v>
      </c>
      <c r="B532" t="s">
        <v>2001</v>
      </c>
      <c r="C532" t="s">
        <v>2016</v>
      </c>
      <c r="D532" t="s">
        <v>2073</v>
      </c>
      <c r="E532" t="s">
        <v>2112</v>
      </c>
      <c r="F532" t="s">
        <v>2117</v>
      </c>
      <c r="G532" t="s">
        <v>2213</v>
      </c>
      <c r="H532">
        <v>10456</v>
      </c>
      <c r="I532" t="s">
        <v>2229</v>
      </c>
      <c r="J532">
        <v>5</v>
      </c>
      <c r="K532">
        <v>2</v>
      </c>
      <c r="L532" t="s">
        <v>2410</v>
      </c>
      <c r="M532" t="s">
        <v>2677</v>
      </c>
      <c r="P532" t="s">
        <v>2817</v>
      </c>
      <c r="Q532" t="s">
        <v>3255</v>
      </c>
      <c r="R532" t="s">
        <v>3259</v>
      </c>
      <c r="S532" t="s">
        <v>3267</v>
      </c>
      <c r="X532" t="s">
        <v>3354</v>
      </c>
      <c r="Y532" t="s">
        <v>2677</v>
      </c>
      <c r="Z532" t="s">
        <v>3380</v>
      </c>
      <c r="AA532" t="s">
        <v>3406</v>
      </c>
      <c r="AB532" t="s">
        <v>3415</v>
      </c>
      <c r="AC532">
        <f>HYPERLINK("https://lsnyc.legalserver.org/matter/dynamic-profile/view/1902209","19-1902209")</f>
        <v>0</v>
      </c>
      <c r="AD532" t="s">
        <v>3445</v>
      </c>
      <c r="AE532" t="s">
        <v>3455</v>
      </c>
      <c r="AF532" t="s">
        <v>3949</v>
      </c>
      <c r="AG532" t="s">
        <v>3380</v>
      </c>
      <c r="AH532" t="s">
        <v>4906</v>
      </c>
      <c r="AK532" t="s">
        <v>4911</v>
      </c>
      <c r="AL532" t="s">
        <v>2117</v>
      </c>
      <c r="AN532" t="s">
        <v>3415</v>
      </c>
    </row>
    <row r="533" spans="1:40">
      <c r="A533" s="1" t="s">
        <v>569</v>
      </c>
      <c r="B533" t="s">
        <v>2001</v>
      </c>
      <c r="C533" t="s">
        <v>2009</v>
      </c>
      <c r="D533" t="s">
        <v>2080</v>
      </c>
      <c r="E533" t="s">
        <v>2112</v>
      </c>
      <c r="F533" t="s">
        <v>2114</v>
      </c>
      <c r="G533" t="s">
        <v>2214</v>
      </c>
      <c r="H533">
        <v>11235</v>
      </c>
      <c r="I533" t="s">
        <v>2229</v>
      </c>
      <c r="J533">
        <v>3</v>
      </c>
      <c r="K533">
        <v>2</v>
      </c>
      <c r="L533" t="s">
        <v>2260</v>
      </c>
      <c r="M533" t="s">
        <v>2677</v>
      </c>
      <c r="P533" t="s">
        <v>2817</v>
      </c>
      <c r="Q533" t="s">
        <v>2113</v>
      </c>
      <c r="R533" t="s">
        <v>3261</v>
      </c>
      <c r="S533" t="s">
        <v>3283</v>
      </c>
      <c r="X533" t="s">
        <v>3354</v>
      </c>
      <c r="Y533" t="s">
        <v>2678</v>
      </c>
      <c r="Z533" t="s">
        <v>3359</v>
      </c>
      <c r="AA533" t="s">
        <v>3408</v>
      </c>
      <c r="AB533" t="s">
        <v>3431</v>
      </c>
      <c r="AC533">
        <f>HYPERLINK("https://lsnyc.legalserver.org/matter/dynamic-profile/view/1902242","19-1902242")</f>
        <v>0</v>
      </c>
      <c r="AD533" t="s">
        <v>3443</v>
      </c>
      <c r="AE533" t="s">
        <v>3450</v>
      </c>
      <c r="AF533" t="s">
        <v>3950</v>
      </c>
      <c r="AG533" t="s">
        <v>3359</v>
      </c>
      <c r="AH533" t="s">
        <v>3408</v>
      </c>
      <c r="AK533" t="s">
        <v>4911</v>
      </c>
      <c r="AL533" t="s">
        <v>2114</v>
      </c>
      <c r="AN533" t="s">
        <v>3431</v>
      </c>
    </row>
    <row r="534" spans="1:40">
      <c r="A534" s="1" t="s">
        <v>570</v>
      </c>
      <c r="B534" t="s">
        <v>2012</v>
      </c>
      <c r="C534" t="s">
        <v>1998</v>
      </c>
      <c r="D534" t="s">
        <v>2099</v>
      </c>
      <c r="E534" t="s">
        <v>2111</v>
      </c>
      <c r="G534" t="s">
        <v>2214</v>
      </c>
      <c r="H534">
        <v>11235</v>
      </c>
      <c r="J534">
        <v>1</v>
      </c>
      <c r="K534">
        <v>0</v>
      </c>
      <c r="L534" t="s">
        <v>2260</v>
      </c>
      <c r="M534" t="s">
        <v>2677</v>
      </c>
      <c r="P534" t="s">
        <v>2817</v>
      </c>
      <c r="Q534" t="s">
        <v>3255</v>
      </c>
      <c r="R534" t="s">
        <v>3261</v>
      </c>
      <c r="S534" t="s">
        <v>3291</v>
      </c>
      <c r="X534" t="s">
        <v>3354</v>
      </c>
      <c r="Y534" t="s">
        <v>2678</v>
      </c>
      <c r="Z534" t="s">
        <v>3398</v>
      </c>
      <c r="AA534" t="s">
        <v>3409</v>
      </c>
      <c r="AB534" t="s">
        <v>3439</v>
      </c>
      <c r="AC534">
        <f>HYPERLINK("https://lsnyc.legalserver.org/matter/dynamic-profile/view/1902262","19-1902262")</f>
        <v>0</v>
      </c>
      <c r="AD534" t="s">
        <v>3446</v>
      </c>
      <c r="AE534" t="s">
        <v>3483</v>
      </c>
      <c r="AF534" t="s">
        <v>3951</v>
      </c>
      <c r="AG534" t="s">
        <v>3398</v>
      </c>
      <c r="AH534" t="s">
        <v>4907</v>
      </c>
      <c r="AI534" t="s">
        <v>4909</v>
      </c>
      <c r="AK534" t="s">
        <v>4911</v>
      </c>
      <c r="AN534" t="s">
        <v>3439</v>
      </c>
    </row>
    <row r="535" spans="1:40">
      <c r="A535" s="1" t="s">
        <v>571</v>
      </c>
      <c r="B535" t="s">
        <v>2016</v>
      </c>
      <c r="C535" t="s">
        <v>2001</v>
      </c>
      <c r="D535" t="s">
        <v>2092</v>
      </c>
      <c r="E535" t="s">
        <v>2111</v>
      </c>
      <c r="F535" t="s">
        <v>2116</v>
      </c>
      <c r="G535" t="s">
        <v>2214</v>
      </c>
      <c r="H535">
        <v>11215</v>
      </c>
      <c r="I535" t="s">
        <v>2229</v>
      </c>
      <c r="J535">
        <v>4</v>
      </c>
      <c r="K535">
        <v>1</v>
      </c>
      <c r="L535" t="s">
        <v>2280</v>
      </c>
      <c r="M535" t="s">
        <v>2677</v>
      </c>
      <c r="P535" t="s">
        <v>2818</v>
      </c>
      <c r="Q535" t="s">
        <v>2113</v>
      </c>
      <c r="R535" t="s">
        <v>3258</v>
      </c>
      <c r="S535" t="s">
        <v>3286</v>
      </c>
      <c r="X535" t="s">
        <v>3354</v>
      </c>
      <c r="Y535" t="s">
        <v>2677</v>
      </c>
      <c r="Z535" t="s">
        <v>3388</v>
      </c>
      <c r="AA535" t="s">
        <v>3406</v>
      </c>
      <c r="AB535" t="s">
        <v>3434</v>
      </c>
      <c r="AC535">
        <f>HYPERLINK("https://lsnyc.legalserver.org/matter/dynamic-profile/view/1902122","19-1902122")</f>
        <v>0</v>
      </c>
      <c r="AD535" t="s">
        <v>3445</v>
      </c>
      <c r="AE535" t="s">
        <v>3452</v>
      </c>
      <c r="AF535" t="s">
        <v>3952</v>
      </c>
      <c r="AG535" t="s">
        <v>3388</v>
      </c>
      <c r="AH535" t="s">
        <v>4904</v>
      </c>
      <c r="AK535" t="s">
        <v>4911</v>
      </c>
      <c r="AL535" t="s">
        <v>2116</v>
      </c>
      <c r="AN535" t="s">
        <v>3434</v>
      </c>
    </row>
    <row r="536" spans="1:40">
      <c r="A536" s="1" t="s">
        <v>572</v>
      </c>
      <c r="B536" t="s">
        <v>2002</v>
      </c>
      <c r="C536" t="s">
        <v>1998</v>
      </c>
      <c r="D536" t="s">
        <v>2050</v>
      </c>
      <c r="E536" t="s">
        <v>2112</v>
      </c>
      <c r="F536" t="s">
        <v>2135</v>
      </c>
      <c r="G536" t="s">
        <v>2213</v>
      </c>
      <c r="H536">
        <v>10467</v>
      </c>
      <c r="I536" t="s">
        <v>2230</v>
      </c>
      <c r="J536">
        <v>3</v>
      </c>
      <c r="K536">
        <v>2</v>
      </c>
      <c r="L536" t="s">
        <v>2277</v>
      </c>
      <c r="M536" t="s">
        <v>2677</v>
      </c>
      <c r="P536" t="s">
        <v>2818</v>
      </c>
      <c r="Q536" t="s">
        <v>2113</v>
      </c>
      <c r="R536" t="s">
        <v>3258</v>
      </c>
      <c r="S536" t="s">
        <v>3286</v>
      </c>
      <c r="X536" t="s">
        <v>3354</v>
      </c>
      <c r="Y536" t="s">
        <v>2677</v>
      </c>
      <c r="Z536" t="s">
        <v>3388</v>
      </c>
      <c r="AA536" t="s">
        <v>3406</v>
      </c>
      <c r="AB536" t="s">
        <v>3434</v>
      </c>
      <c r="AC536">
        <f>HYPERLINK("https://lsnyc.legalserver.org/matter/dynamic-profile/view/1902123","19-1902123")</f>
        <v>0</v>
      </c>
      <c r="AD536" t="s">
        <v>3445</v>
      </c>
      <c r="AE536" t="s">
        <v>3455</v>
      </c>
      <c r="AF536" t="s">
        <v>3953</v>
      </c>
      <c r="AG536" t="s">
        <v>3388</v>
      </c>
      <c r="AH536" t="s">
        <v>4904</v>
      </c>
      <c r="AK536" t="s">
        <v>4911</v>
      </c>
      <c r="AL536" t="s">
        <v>2135</v>
      </c>
      <c r="AN536" t="s">
        <v>3434</v>
      </c>
    </row>
    <row r="537" spans="1:40">
      <c r="A537" s="1" t="s">
        <v>573</v>
      </c>
      <c r="B537" t="s">
        <v>2016</v>
      </c>
      <c r="C537" t="s">
        <v>2000</v>
      </c>
      <c r="D537" t="s">
        <v>2055</v>
      </c>
      <c r="E537" t="s">
        <v>2111</v>
      </c>
      <c r="F537" t="s">
        <v>2139</v>
      </c>
      <c r="G537" t="s">
        <v>2214</v>
      </c>
      <c r="H537">
        <v>11207</v>
      </c>
      <c r="I537" t="s">
        <v>2230</v>
      </c>
      <c r="J537">
        <v>2</v>
      </c>
      <c r="K537">
        <v>0</v>
      </c>
      <c r="L537" t="s">
        <v>2413</v>
      </c>
      <c r="M537" t="s">
        <v>2677</v>
      </c>
      <c r="P537" t="s">
        <v>2818</v>
      </c>
      <c r="Q537" t="s">
        <v>2113</v>
      </c>
      <c r="R537" t="s">
        <v>3258</v>
      </c>
      <c r="S537" t="s">
        <v>3286</v>
      </c>
      <c r="X537" t="s">
        <v>3354</v>
      </c>
      <c r="Y537" t="s">
        <v>2677</v>
      </c>
      <c r="Z537" t="s">
        <v>3388</v>
      </c>
      <c r="AA537" t="s">
        <v>3406</v>
      </c>
      <c r="AB537" t="s">
        <v>3434</v>
      </c>
      <c r="AC537">
        <f>HYPERLINK("https://lsnyc.legalserver.org/matter/dynamic-profile/view/1902124","19-1902124")</f>
        <v>0</v>
      </c>
      <c r="AD537" t="s">
        <v>3445</v>
      </c>
      <c r="AE537" t="s">
        <v>3455</v>
      </c>
      <c r="AF537" t="s">
        <v>3954</v>
      </c>
      <c r="AG537" t="s">
        <v>3388</v>
      </c>
      <c r="AH537" t="s">
        <v>4904</v>
      </c>
      <c r="AK537" t="s">
        <v>4911</v>
      </c>
      <c r="AL537" t="s">
        <v>2139</v>
      </c>
      <c r="AN537" t="s">
        <v>3434</v>
      </c>
    </row>
    <row r="538" spans="1:40">
      <c r="A538" s="1" t="s">
        <v>574</v>
      </c>
      <c r="B538" t="s">
        <v>2002</v>
      </c>
      <c r="C538" t="s">
        <v>2001</v>
      </c>
      <c r="D538" t="s">
        <v>2100</v>
      </c>
      <c r="E538" t="s">
        <v>2111</v>
      </c>
      <c r="F538" t="s">
        <v>2123</v>
      </c>
      <c r="G538" t="s">
        <v>2213</v>
      </c>
      <c r="H538">
        <v>10467</v>
      </c>
      <c r="I538" t="s">
        <v>2229</v>
      </c>
      <c r="J538">
        <v>1</v>
      </c>
      <c r="K538">
        <v>0</v>
      </c>
      <c r="L538" t="s">
        <v>2414</v>
      </c>
      <c r="M538" t="s">
        <v>2677</v>
      </c>
      <c r="P538" t="s">
        <v>2818</v>
      </c>
      <c r="Q538" t="s">
        <v>2113</v>
      </c>
      <c r="R538" t="s">
        <v>3258</v>
      </c>
      <c r="S538" t="s">
        <v>3286</v>
      </c>
      <c r="X538" t="s">
        <v>3354</v>
      </c>
      <c r="Y538" t="s">
        <v>2677</v>
      </c>
      <c r="Z538" t="s">
        <v>3388</v>
      </c>
      <c r="AA538" t="s">
        <v>3406</v>
      </c>
      <c r="AB538" t="s">
        <v>3434</v>
      </c>
      <c r="AC538">
        <f>HYPERLINK("https://lsnyc.legalserver.org/matter/dynamic-profile/view/1902125","19-1902125")</f>
        <v>0</v>
      </c>
      <c r="AD538" t="s">
        <v>3445</v>
      </c>
      <c r="AE538" t="s">
        <v>3455</v>
      </c>
      <c r="AF538" t="s">
        <v>3955</v>
      </c>
      <c r="AG538" t="s">
        <v>3388</v>
      </c>
      <c r="AH538" t="s">
        <v>4904</v>
      </c>
      <c r="AK538" t="s">
        <v>4911</v>
      </c>
      <c r="AL538" t="s">
        <v>2123</v>
      </c>
      <c r="AN538" t="s">
        <v>3434</v>
      </c>
    </row>
    <row r="539" spans="1:40">
      <c r="A539" s="1" t="s">
        <v>575</v>
      </c>
      <c r="B539" t="s">
        <v>2009</v>
      </c>
      <c r="C539" t="s">
        <v>2004</v>
      </c>
      <c r="D539" t="s">
        <v>2067</v>
      </c>
      <c r="E539" t="s">
        <v>2112</v>
      </c>
      <c r="F539" t="s">
        <v>2122</v>
      </c>
      <c r="G539" t="s">
        <v>2214</v>
      </c>
      <c r="H539">
        <v>11212</v>
      </c>
      <c r="J539">
        <v>2</v>
      </c>
      <c r="K539">
        <v>1</v>
      </c>
      <c r="L539" t="s">
        <v>2415</v>
      </c>
      <c r="M539" t="s">
        <v>2677</v>
      </c>
      <c r="P539" t="s">
        <v>2818</v>
      </c>
      <c r="Q539" t="s">
        <v>2113</v>
      </c>
      <c r="R539" t="s">
        <v>3258</v>
      </c>
      <c r="S539" t="s">
        <v>3286</v>
      </c>
      <c r="X539" t="s">
        <v>3354</v>
      </c>
      <c r="Y539" t="s">
        <v>2677</v>
      </c>
      <c r="Z539" t="s">
        <v>3388</v>
      </c>
      <c r="AA539" t="s">
        <v>3406</v>
      </c>
      <c r="AB539" t="s">
        <v>3434</v>
      </c>
      <c r="AC539">
        <f>HYPERLINK("https://lsnyc.legalserver.org/matter/dynamic-profile/view/1902128","19-1902128")</f>
        <v>0</v>
      </c>
      <c r="AD539" t="s">
        <v>3445</v>
      </c>
      <c r="AE539" t="s">
        <v>3452</v>
      </c>
      <c r="AF539" t="s">
        <v>3956</v>
      </c>
      <c r="AG539" t="s">
        <v>3388</v>
      </c>
      <c r="AH539" t="s">
        <v>4904</v>
      </c>
      <c r="AK539" t="s">
        <v>4911</v>
      </c>
      <c r="AL539" t="s">
        <v>2122</v>
      </c>
      <c r="AN539" t="s">
        <v>3434</v>
      </c>
    </row>
    <row r="540" spans="1:40">
      <c r="A540" s="1" t="s">
        <v>576</v>
      </c>
      <c r="B540" t="s">
        <v>2000</v>
      </c>
      <c r="C540" t="s">
        <v>2004</v>
      </c>
      <c r="D540" t="s">
        <v>2054</v>
      </c>
      <c r="E540" t="s">
        <v>2112</v>
      </c>
      <c r="F540" t="s">
        <v>2120</v>
      </c>
      <c r="G540" t="s">
        <v>2212</v>
      </c>
      <c r="H540">
        <v>11434</v>
      </c>
      <c r="I540" t="s">
        <v>2230</v>
      </c>
      <c r="J540">
        <v>6</v>
      </c>
      <c r="K540">
        <v>4</v>
      </c>
      <c r="L540" t="s">
        <v>2412</v>
      </c>
      <c r="M540" t="s">
        <v>2677</v>
      </c>
      <c r="P540" t="s">
        <v>2818</v>
      </c>
      <c r="Q540" t="s">
        <v>2113</v>
      </c>
      <c r="R540" t="s">
        <v>3258</v>
      </c>
      <c r="S540" t="s">
        <v>3286</v>
      </c>
      <c r="X540" t="s">
        <v>3354</v>
      </c>
      <c r="Y540" t="s">
        <v>2677</v>
      </c>
      <c r="Z540" t="s">
        <v>3388</v>
      </c>
      <c r="AA540" t="s">
        <v>3406</v>
      </c>
      <c r="AB540" t="s">
        <v>3434</v>
      </c>
      <c r="AC540">
        <f>HYPERLINK("https://lsnyc.legalserver.org/matter/dynamic-profile/view/1902131","19-1902131")</f>
        <v>0</v>
      </c>
      <c r="AD540" t="s">
        <v>3445</v>
      </c>
      <c r="AE540" t="s">
        <v>3452</v>
      </c>
      <c r="AF540" t="s">
        <v>3957</v>
      </c>
      <c r="AG540" t="s">
        <v>3388</v>
      </c>
      <c r="AH540" t="s">
        <v>4904</v>
      </c>
      <c r="AK540" t="s">
        <v>4911</v>
      </c>
      <c r="AL540" t="s">
        <v>2120</v>
      </c>
      <c r="AN540" t="s">
        <v>3434</v>
      </c>
    </row>
    <row r="541" spans="1:40">
      <c r="A541" s="1" t="s">
        <v>577</v>
      </c>
      <c r="B541" t="s">
        <v>1998</v>
      </c>
      <c r="C541" t="s">
        <v>2005</v>
      </c>
      <c r="D541" t="s">
        <v>2094</v>
      </c>
      <c r="E541" t="s">
        <v>2112</v>
      </c>
      <c r="F541" t="s">
        <v>2114</v>
      </c>
      <c r="G541" t="s">
        <v>2214</v>
      </c>
      <c r="H541">
        <v>11220</v>
      </c>
      <c r="I541" t="s">
        <v>2229</v>
      </c>
      <c r="J541">
        <v>2</v>
      </c>
      <c r="K541">
        <v>1</v>
      </c>
      <c r="L541" t="s">
        <v>2260</v>
      </c>
      <c r="M541" t="s">
        <v>2677</v>
      </c>
      <c r="P541" t="s">
        <v>2819</v>
      </c>
      <c r="Q541" t="s">
        <v>2113</v>
      </c>
      <c r="R541" t="s">
        <v>3259</v>
      </c>
      <c r="S541" t="s">
        <v>3272</v>
      </c>
      <c r="T541" t="s">
        <v>3294</v>
      </c>
      <c r="X541" t="s">
        <v>3354</v>
      </c>
      <c r="Y541" t="s">
        <v>2678</v>
      </c>
      <c r="Z541" t="s">
        <v>3364</v>
      </c>
      <c r="AA541" t="s">
        <v>3406</v>
      </c>
      <c r="AB541" t="s">
        <v>3420</v>
      </c>
      <c r="AC541">
        <f>HYPERLINK("https://lsnyc.legalserver.org/matter/dynamic-profile/view/1901964","19-1901964")</f>
        <v>0</v>
      </c>
      <c r="AD541" t="s">
        <v>3446</v>
      </c>
      <c r="AE541" t="s">
        <v>3481</v>
      </c>
      <c r="AF541" t="s">
        <v>3958</v>
      </c>
      <c r="AG541" t="s">
        <v>3364</v>
      </c>
      <c r="AH541" t="s">
        <v>4904</v>
      </c>
      <c r="AK541" t="s">
        <v>4911</v>
      </c>
      <c r="AL541" t="s">
        <v>2114</v>
      </c>
      <c r="AM541" t="s">
        <v>3294</v>
      </c>
      <c r="AN541" t="s">
        <v>3420</v>
      </c>
    </row>
    <row r="542" spans="1:40">
      <c r="A542" s="1" t="s">
        <v>578</v>
      </c>
      <c r="B542" t="s">
        <v>1998</v>
      </c>
      <c r="C542" t="s">
        <v>2001</v>
      </c>
      <c r="D542" t="s">
        <v>2061</v>
      </c>
      <c r="E542" t="s">
        <v>2111</v>
      </c>
      <c r="F542" t="s">
        <v>2117</v>
      </c>
      <c r="G542" t="s">
        <v>2214</v>
      </c>
      <c r="H542">
        <v>11209</v>
      </c>
      <c r="I542" t="s">
        <v>2229</v>
      </c>
      <c r="J542">
        <v>2</v>
      </c>
      <c r="K542">
        <v>1</v>
      </c>
      <c r="L542" t="s">
        <v>2260</v>
      </c>
      <c r="M542" t="s">
        <v>2677</v>
      </c>
      <c r="P542" t="s">
        <v>2819</v>
      </c>
      <c r="Q542" t="s">
        <v>2113</v>
      </c>
      <c r="R542" t="s">
        <v>3259</v>
      </c>
      <c r="S542" t="s">
        <v>3267</v>
      </c>
      <c r="T542" t="s">
        <v>3294</v>
      </c>
      <c r="X542" t="s">
        <v>3354</v>
      </c>
      <c r="Y542" t="s">
        <v>2678</v>
      </c>
      <c r="Z542" t="s">
        <v>3380</v>
      </c>
      <c r="AA542" t="s">
        <v>3406</v>
      </c>
      <c r="AB542" t="s">
        <v>3415</v>
      </c>
      <c r="AC542">
        <f>HYPERLINK("https://lsnyc.legalserver.org/matter/dynamic-profile/view/1901965","19-1901965")</f>
        <v>0</v>
      </c>
      <c r="AD542" t="s">
        <v>3446</v>
      </c>
      <c r="AE542" t="s">
        <v>3481</v>
      </c>
      <c r="AF542" t="s">
        <v>3959</v>
      </c>
      <c r="AG542" t="s">
        <v>3380</v>
      </c>
      <c r="AH542" t="s">
        <v>4906</v>
      </c>
      <c r="AK542" t="s">
        <v>4911</v>
      </c>
      <c r="AL542" t="s">
        <v>2117</v>
      </c>
      <c r="AM542" t="s">
        <v>3294</v>
      </c>
      <c r="AN542" t="s">
        <v>3415</v>
      </c>
    </row>
    <row r="543" spans="1:40">
      <c r="A543" s="1" t="s">
        <v>579</v>
      </c>
      <c r="B543" t="s">
        <v>2001</v>
      </c>
      <c r="C543" t="s">
        <v>2003</v>
      </c>
      <c r="D543" t="s">
        <v>2053</v>
      </c>
      <c r="E543" t="s">
        <v>2111</v>
      </c>
      <c r="F543" t="s">
        <v>2115</v>
      </c>
      <c r="G543" t="s">
        <v>2211</v>
      </c>
      <c r="H543">
        <v>11214</v>
      </c>
      <c r="I543" t="s">
        <v>2229</v>
      </c>
      <c r="J543">
        <v>2</v>
      </c>
      <c r="K543">
        <v>1</v>
      </c>
      <c r="L543" t="s">
        <v>2260</v>
      </c>
      <c r="M543" t="s">
        <v>2677</v>
      </c>
      <c r="P543" t="s">
        <v>2819</v>
      </c>
      <c r="Q543" t="s">
        <v>2113</v>
      </c>
      <c r="R543" t="s">
        <v>3259</v>
      </c>
      <c r="S543" t="s">
        <v>3267</v>
      </c>
      <c r="T543" t="s">
        <v>3294</v>
      </c>
      <c r="X543" t="s">
        <v>3354</v>
      </c>
      <c r="Y543" t="s">
        <v>2678</v>
      </c>
      <c r="Z543" t="s">
        <v>3380</v>
      </c>
      <c r="AA543" t="s">
        <v>3406</v>
      </c>
      <c r="AB543" t="s">
        <v>3415</v>
      </c>
      <c r="AC543">
        <f>HYPERLINK("https://lsnyc.legalserver.org/matter/dynamic-profile/view/1901966","19-1901966")</f>
        <v>0</v>
      </c>
      <c r="AD543" t="s">
        <v>3446</v>
      </c>
      <c r="AE543" t="s">
        <v>3481</v>
      </c>
      <c r="AF543" t="s">
        <v>3960</v>
      </c>
      <c r="AG543" t="s">
        <v>3380</v>
      </c>
      <c r="AH543" t="s">
        <v>4906</v>
      </c>
      <c r="AK543" t="s">
        <v>4911</v>
      </c>
      <c r="AL543" t="s">
        <v>2115</v>
      </c>
      <c r="AM543" t="s">
        <v>3294</v>
      </c>
      <c r="AN543" t="s">
        <v>3415</v>
      </c>
    </row>
    <row r="544" spans="1:40">
      <c r="A544" s="1" t="s">
        <v>580</v>
      </c>
      <c r="B544" t="s">
        <v>2002</v>
      </c>
      <c r="C544" t="s">
        <v>2016</v>
      </c>
      <c r="D544" t="s">
        <v>2037</v>
      </c>
      <c r="E544" t="s">
        <v>2111</v>
      </c>
      <c r="F544" t="s">
        <v>2117</v>
      </c>
      <c r="G544" t="s">
        <v>2214</v>
      </c>
      <c r="H544">
        <v>11220</v>
      </c>
      <c r="I544" t="s">
        <v>2229</v>
      </c>
      <c r="J544">
        <v>2</v>
      </c>
      <c r="K544">
        <v>1</v>
      </c>
      <c r="L544" t="s">
        <v>2260</v>
      </c>
      <c r="M544" t="s">
        <v>2677</v>
      </c>
      <c r="P544" t="s">
        <v>2819</v>
      </c>
      <c r="Q544" t="s">
        <v>3255</v>
      </c>
      <c r="R544" t="s">
        <v>3259</v>
      </c>
      <c r="S544" t="s">
        <v>3267</v>
      </c>
      <c r="T544" t="s">
        <v>3294</v>
      </c>
      <c r="X544" t="s">
        <v>3354</v>
      </c>
      <c r="Y544" t="s">
        <v>2678</v>
      </c>
      <c r="Z544" t="s">
        <v>3380</v>
      </c>
      <c r="AA544" t="s">
        <v>3406</v>
      </c>
      <c r="AB544" t="s">
        <v>3415</v>
      </c>
      <c r="AC544">
        <f>HYPERLINK("https://lsnyc.legalserver.org/matter/dynamic-profile/view/1901969","19-1901969")</f>
        <v>0</v>
      </c>
      <c r="AD544" t="s">
        <v>3446</v>
      </c>
      <c r="AE544" t="s">
        <v>3481</v>
      </c>
      <c r="AF544" t="s">
        <v>3961</v>
      </c>
      <c r="AG544" t="s">
        <v>3380</v>
      </c>
      <c r="AH544" t="s">
        <v>4906</v>
      </c>
      <c r="AK544" t="s">
        <v>4911</v>
      </c>
      <c r="AL544" t="s">
        <v>2117</v>
      </c>
      <c r="AM544" t="s">
        <v>3294</v>
      </c>
      <c r="AN544" t="s">
        <v>3415</v>
      </c>
    </row>
    <row r="545" spans="1:40">
      <c r="A545" s="1" t="s">
        <v>581</v>
      </c>
      <c r="B545" t="s">
        <v>2000</v>
      </c>
      <c r="C545" t="s">
        <v>2001</v>
      </c>
      <c r="D545" t="s">
        <v>2051</v>
      </c>
      <c r="E545" t="s">
        <v>2111</v>
      </c>
      <c r="F545" t="s">
        <v>2121</v>
      </c>
      <c r="G545" t="s">
        <v>2213</v>
      </c>
      <c r="H545">
        <v>10472</v>
      </c>
      <c r="I545" t="s">
        <v>2229</v>
      </c>
      <c r="J545">
        <v>1</v>
      </c>
      <c r="K545">
        <v>0</v>
      </c>
      <c r="L545" t="s">
        <v>2260</v>
      </c>
      <c r="M545" t="s">
        <v>2677</v>
      </c>
      <c r="P545" t="s">
        <v>2820</v>
      </c>
      <c r="Q545" t="s">
        <v>2113</v>
      </c>
      <c r="R545" t="s">
        <v>3258</v>
      </c>
      <c r="S545" t="s">
        <v>3262</v>
      </c>
      <c r="T545" t="s">
        <v>3294</v>
      </c>
      <c r="U545" t="s">
        <v>2820</v>
      </c>
      <c r="X545" t="s">
        <v>3354</v>
      </c>
      <c r="Y545" t="s">
        <v>2678</v>
      </c>
      <c r="Z545" t="s">
        <v>3355</v>
      </c>
      <c r="AA545" t="s">
        <v>3406</v>
      </c>
      <c r="AB545" t="s">
        <v>3410</v>
      </c>
      <c r="AC545">
        <f>HYPERLINK("https://lsnyc.legalserver.org/matter/dynamic-profile/view/1902066","19-1902066")</f>
        <v>0</v>
      </c>
      <c r="AD545" t="s">
        <v>3446</v>
      </c>
      <c r="AE545" t="s">
        <v>3484</v>
      </c>
      <c r="AF545" t="s">
        <v>3962</v>
      </c>
      <c r="AG545" t="s">
        <v>3355</v>
      </c>
      <c r="AH545" t="s">
        <v>4904</v>
      </c>
      <c r="AL545" t="s">
        <v>2121</v>
      </c>
      <c r="AM545" t="s">
        <v>3294</v>
      </c>
      <c r="AN545" t="s">
        <v>3410</v>
      </c>
    </row>
    <row r="546" spans="1:40">
      <c r="A546" s="1" t="s">
        <v>582</v>
      </c>
      <c r="B546" t="s">
        <v>2000</v>
      </c>
      <c r="C546" t="s">
        <v>2005</v>
      </c>
      <c r="D546" t="s">
        <v>2044</v>
      </c>
      <c r="E546" t="s">
        <v>2112</v>
      </c>
      <c r="F546" t="s">
        <v>2129</v>
      </c>
      <c r="G546" t="s">
        <v>2214</v>
      </c>
      <c r="H546">
        <v>11220</v>
      </c>
      <c r="I546" t="s">
        <v>2232</v>
      </c>
      <c r="J546">
        <v>1</v>
      </c>
      <c r="K546">
        <v>0</v>
      </c>
      <c r="L546" t="s">
        <v>2260</v>
      </c>
      <c r="M546" t="s">
        <v>2677</v>
      </c>
      <c r="P546" t="s">
        <v>2819</v>
      </c>
      <c r="Q546" t="s">
        <v>2113</v>
      </c>
      <c r="R546" t="s">
        <v>3259</v>
      </c>
      <c r="S546" t="s">
        <v>3270</v>
      </c>
      <c r="T546" t="s">
        <v>3294</v>
      </c>
      <c r="U546" t="s">
        <v>2815</v>
      </c>
      <c r="X546" t="s">
        <v>3354</v>
      </c>
      <c r="Y546" t="s">
        <v>2678</v>
      </c>
      <c r="Z546" t="s">
        <v>3355</v>
      </c>
      <c r="AA546" t="s">
        <v>3406</v>
      </c>
      <c r="AB546" t="s">
        <v>3418</v>
      </c>
      <c r="AC546">
        <f>HYPERLINK("https://lsnyc.legalserver.org/matter/dynamic-profile/view/1902073","19-1902073")</f>
        <v>0</v>
      </c>
      <c r="AD546" t="s">
        <v>3446</v>
      </c>
      <c r="AE546" t="s">
        <v>3485</v>
      </c>
      <c r="AF546" t="s">
        <v>3963</v>
      </c>
      <c r="AG546" t="s">
        <v>3355</v>
      </c>
      <c r="AH546" t="s">
        <v>4904</v>
      </c>
      <c r="AK546" t="s">
        <v>4911</v>
      </c>
      <c r="AL546" t="s">
        <v>2129</v>
      </c>
      <c r="AM546" t="s">
        <v>3294</v>
      </c>
      <c r="AN546" t="s">
        <v>3418</v>
      </c>
    </row>
    <row r="547" spans="1:40">
      <c r="A547" s="1" t="s">
        <v>583</v>
      </c>
      <c r="B547" t="s">
        <v>1998</v>
      </c>
      <c r="C547" t="s">
        <v>2003</v>
      </c>
      <c r="D547" t="s">
        <v>2036</v>
      </c>
      <c r="E547" t="s">
        <v>2111</v>
      </c>
      <c r="F547" t="s">
        <v>2115</v>
      </c>
      <c r="G547" t="s">
        <v>2214</v>
      </c>
      <c r="H547">
        <v>11226</v>
      </c>
      <c r="I547" t="s">
        <v>2229</v>
      </c>
      <c r="J547">
        <v>2</v>
      </c>
      <c r="K547">
        <v>1</v>
      </c>
      <c r="L547" t="s">
        <v>2306</v>
      </c>
      <c r="M547" t="s">
        <v>2677</v>
      </c>
      <c r="P547" t="s">
        <v>2819</v>
      </c>
      <c r="Q547" t="s">
        <v>3255</v>
      </c>
      <c r="R547" t="s">
        <v>3259</v>
      </c>
      <c r="S547" t="s">
        <v>3267</v>
      </c>
      <c r="X547" t="s">
        <v>3354</v>
      </c>
      <c r="Y547" t="s">
        <v>2677</v>
      </c>
      <c r="Z547" t="s">
        <v>3359</v>
      </c>
      <c r="AA547" t="s">
        <v>3406</v>
      </c>
      <c r="AB547" t="s">
        <v>3415</v>
      </c>
      <c r="AC547">
        <f>HYPERLINK("https://lsnyc.legalserver.org/matter/dynamic-profile/view/1902104","19-1902104")</f>
        <v>0</v>
      </c>
      <c r="AD547" t="s">
        <v>3445</v>
      </c>
      <c r="AE547" t="s">
        <v>3452</v>
      </c>
      <c r="AF547" t="s">
        <v>3920</v>
      </c>
      <c r="AG547" t="s">
        <v>3359</v>
      </c>
      <c r="AH547" t="s">
        <v>4906</v>
      </c>
      <c r="AI547" t="s">
        <v>4909</v>
      </c>
      <c r="AK547" t="s">
        <v>4911</v>
      </c>
      <c r="AL547" t="s">
        <v>2115</v>
      </c>
      <c r="AN547" t="s">
        <v>3415</v>
      </c>
    </row>
    <row r="548" spans="1:40">
      <c r="A548" s="1" t="s">
        <v>584</v>
      </c>
      <c r="B548" t="s">
        <v>2001</v>
      </c>
      <c r="C548" t="s">
        <v>1998</v>
      </c>
      <c r="D548" t="s">
        <v>2063</v>
      </c>
      <c r="E548" t="s">
        <v>2112</v>
      </c>
      <c r="F548" t="s">
        <v>2135</v>
      </c>
      <c r="G548" t="s">
        <v>2212</v>
      </c>
      <c r="H548">
        <v>11368</v>
      </c>
      <c r="I548" t="s">
        <v>2229</v>
      </c>
      <c r="J548">
        <v>1</v>
      </c>
      <c r="K548">
        <v>0</v>
      </c>
      <c r="L548" t="s">
        <v>2285</v>
      </c>
      <c r="M548" t="s">
        <v>2677</v>
      </c>
      <c r="P548" t="s">
        <v>2763</v>
      </c>
      <c r="Q548" t="s">
        <v>2113</v>
      </c>
      <c r="R548" t="s">
        <v>3259</v>
      </c>
      <c r="S548" t="s">
        <v>3267</v>
      </c>
      <c r="X548" t="s">
        <v>3354</v>
      </c>
      <c r="Y548" t="s">
        <v>2678</v>
      </c>
      <c r="Z548" t="s">
        <v>3359</v>
      </c>
      <c r="AA548" t="s">
        <v>3406</v>
      </c>
      <c r="AB548" t="s">
        <v>3415</v>
      </c>
      <c r="AC548">
        <f>HYPERLINK("https://lsnyc.legalserver.org/matter/dynamic-profile/view/1903217","19-1903217")</f>
        <v>0</v>
      </c>
      <c r="AD548" t="s">
        <v>3443</v>
      </c>
      <c r="AE548" t="s">
        <v>3450</v>
      </c>
      <c r="AF548" t="s">
        <v>3925</v>
      </c>
      <c r="AG548" t="s">
        <v>3359</v>
      </c>
      <c r="AH548" t="s">
        <v>4906</v>
      </c>
      <c r="AL548" t="s">
        <v>2135</v>
      </c>
      <c r="AN548" t="s">
        <v>3415</v>
      </c>
    </row>
    <row r="549" spans="1:40">
      <c r="A549" s="1" t="s">
        <v>585</v>
      </c>
      <c r="B549" t="s">
        <v>2001</v>
      </c>
      <c r="C549" t="s">
        <v>1998</v>
      </c>
      <c r="D549" t="s">
        <v>2066</v>
      </c>
      <c r="E549" t="s">
        <v>2112</v>
      </c>
      <c r="F549" t="s">
        <v>2135</v>
      </c>
      <c r="G549" t="s">
        <v>2214</v>
      </c>
      <c r="H549">
        <v>11208</v>
      </c>
      <c r="I549" t="s">
        <v>2229</v>
      </c>
      <c r="J549">
        <v>4</v>
      </c>
      <c r="K549">
        <v>3</v>
      </c>
      <c r="L549" t="s">
        <v>2416</v>
      </c>
      <c r="M549" t="s">
        <v>2677</v>
      </c>
      <c r="P549" t="s">
        <v>2821</v>
      </c>
      <c r="Q549" t="s">
        <v>2113</v>
      </c>
      <c r="R549" t="s">
        <v>3258</v>
      </c>
      <c r="S549" t="s">
        <v>3286</v>
      </c>
      <c r="X549" t="s">
        <v>3354</v>
      </c>
      <c r="Y549" t="s">
        <v>2677</v>
      </c>
      <c r="Z549" t="s">
        <v>3388</v>
      </c>
      <c r="AA549" t="s">
        <v>3406</v>
      </c>
      <c r="AB549" t="s">
        <v>3434</v>
      </c>
      <c r="AC549">
        <f>HYPERLINK("https://lsnyc.legalserver.org/matter/dynamic-profile/view/1901893","19-1901893")</f>
        <v>0</v>
      </c>
      <c r="AD549" t="s">
        <v>3445</v>
      </c>
      <c r="AE549" t="s">
        <v>3455</v>
      </c>
      <c r="AF549" t="s">
        <v>3964</v>
      </c>
      <c r="AG549" t="s">
        <v>3388</v>
      </c>
      <c r="AH549" t="s">
        <v>4904</v>
      </c>
      <c r="AL549" t="s">
        <v>2135</v>
      </c>
      <c r="AN549" t="s">
        <v>3434</v>
      </c>
    </row>
    <row r="550" spans="1:40">
      <c r="A550" s="1" t="s">
        <v>586</v>
      </c>
      <c r="B550" t="s">
        <v>2001</v>
      </c>
      <c r="C550" t="s">
        <v>1998</v>
      </c>
      <c r="D550" t="s">
        <v>2066</v>
      </c>
      <c r="E550" t="s">
        <v>2112</v>
      </c>
      <c r="F550" t="s">
        <v>2135</v>
      </c>
      <c r="G550" t="s">
        <v>2214</v>
      </c>
      <c r="H550">
        <v>11208</v>
      </c>
      <c r="I550" t="s">
        <v>2229</v>
      </c>
      <c r="J550">
        <v>4</v>
      </c>
      <c r="K550">
        <v>3</v>
      </c>
      <c r="L550" t="s">
        <v>2416</v>
      </c>
      <c r="M550" t="s">
        <v>2677</v>
      </c>
      <c r="P550" t="s">
        <v>2821</v>
      </c>
      <c r="Q550" t="s">
        <v>2113</v>
      </c>
      <c r="R550" t="s">
        <v>3259</v>
      </c>
      <c r="S550" t="s">
        <v>3276</v>
      </c>
      <c r="X550" t="s">
        <v>3354</v>
      </c>
      <c r="Y550" t="s">
        <v>2677</v>
      </c>
      <c r="Z550" t="s">
        <v>3373</v>
      </c>
      <c r="AA550" t="s">
        <v>3406</v>
      </c>
      <c r="AB550" t="s">
        <v>3424</v>
      </c>
      <c r="AC550">
        <f>HYPERLINK("https://lsnyc.legalserver.org/matter/dynamic-profile/view/1901895","19-1901895")</f>
        <v>0</v>
      </c>
      <c r="AD550" t="s">
        <v>3445</v>
      </c>
      <c r="AE550" t="s">
        <v>3455</v>
      </c>
      <c r="AF550" t="s">
        <v>3964</v>
      </c>
      <c r="AG550" t="s">
        <v>3373</v>
      </c>
      <c r="AH550" t="s">
        <v>4904</v>
      </c>
      <c r="AK550" t="s">
        <v>4911</v>
      </c>
      <c r="AL550" t="s">
        <v>2135</v>
      </c>
      <c r="AN550" t="s">
        <v>3424</v>
      </c>
    </row>
    <row r="551" spans="1:40">
      <c r="A551" s="1" t="s">
        <v>587</v>
      </c>
      <c r="B551" t="s">
        <v>1998</v>
      </c>
      <c r="C551" t="s">
        <v>1998</v>
      </c>
      <c r="D551" t="s">
        <v>2047</v>
      </c>
      <c r="E551" t="s">
        <v>2112</v>
      </c>
      <c r="F551" t="s">
        <v>2123</v>
      </c>
      <c r="G551" t="s">
        <v>2213</v>
      </c>
      <c r="H551">
        <v>10460</v>
      </c>
      <c r="I551" t="s">
        <v>2229</v>
      </c>
      <c r="J551">
        <v>2</v>
      </c>
      <c r="K551">
        <v>0</v>
      </c>
      <c r="L551" t="s">
        <v>2417</v>
      </c>
      <c r="M551" t="s">
        <v>2677</v>
      </c>
      <c r="P551" t="s">
        <v>2821</v>
      </c>
      <c r="Q551" t="s">
        <v>2113</v>
      </c>
      <c r="R551" t="s">
        <v>3258</v>
      </c>
      <c r="S551" t="s">
        <v>3286</v>
      </c>
      <c r="T551" t="s">
        <v>3294</v>
      </c>
      <c r="U551" t="s">
        <v>3304</v>
      </c>
      <c r="X551" t="s">
        <v>3354</v>
      </c>
      <c r="Y551" t="s">
        <v>2677</v>
      </c>
      <c r="Z551" t="s">
        <v>3388</v>
      </c>
      <c r="AA551" t="s">
        <v>3406</v>
      </c>
      <c r="AB551" t="s">
        <v>3434</v>
      </c>
      <c r="AC551">
        <f>HYPERLINK("https://lsnyc.legalserver.org/matter/dynamic-profile/view/1901913","19-1901913")</f>
        <v>0</v>
      </c>
      <c r="AD551" t="s">
        <v>3445</v>
      </c>
      <c r="AE551" t="s">
        <v>3452</v>
      </c>
      <c r="AF551" t="s">
        <v>3965</v>
      </c>
      <c r="AG551" t="s">
        <v>3388</v>
      </c>
      <c r="AH551" t="s">
        <v>4904</v>
      </c>
      <c r="AK551" t="s">
        <v>4911</v>
      </c>
      <c r="AL551" t="s">
        <v>2123</v>
      </c>
      <c r="AM551" t="s">
        <v>3294</v>
      </c>
      <c r="AN551" t="s">
        <v>3434</v>
      </c>
    </row>
    <row r="552" spans="1:40">
      <c r="A552" s="1" t="s">
        <v>588</v>
      </c>
      <c r="B552" t="s">
        <v>1998</v>
      </c>
      <c r="C552" t="s">
        <v>1998</v>
      </c>
      <c r="D552" t="s">
        <v>2079</v>
      </c>
      <c r="E552" t="s">
        <v>2112</v>
      </c>
      <c r="F552" t="s">
        <v>2135</v>
      </c>
      <c r="G552" t="s">
        <v>2211</v>
      </c>
      <c r="H552">
        <v>10019</v>
      </c>
      <c r="I552" t="s">
        <v>2229</v>
      </c>
      <c r="J552">
        <v>2</v>
      </c>
      <c r="K552">
        <v>0</v>
      </c>
      <c r="L552" t="s">
        <v>2418</v>
      </c>
      <c r="M552" t="s">
        <v>2677</v>
      </c>
      <c r="P552" t="s">
        <v>2821</v>
      </c>
      <c r="Q552" t="s">
        <v>2113</v>
      </c>
      <c r="R552" t="s">
        <v>3258</v>
      </c>
      <c r="S552" t="s">
        <v>3286</v>
      </c>
      <c r="X552" t="s">
        <v>3354</v>
      </c>
      <c r="Y552" t="s">
        <v>2677</v>
      </c>
      <c r="Z552" t="s">
        <v>3388</v>
      </c>
      <c r="AA552" t="s">
        <v>3406</v>
      </c>
      <c r="AB552" t="s">
        <v>3434</v>
      </c>
      <c r="AC552">
        <f>HYPERLINK("https://lsnyc.legalserver.org/matter/dynamic-profile/view/1901919","19-1901919")</f>
        <v>0</v>
      </c>
      <c r="AD552" t="s">
        <v>3445</v>
      </c>
      <c r="AE552" t="s">
        <v>3452</v>
      </c>
      <c r="AF552" t="s">
        <v>3966</v>
      </c>
      <c r="AG552" t="s">
        <v>3388</v>
      </c>
      <c r="AH552" t="s">
        <v>4904</v>
      </c>
      <c r="AK552" t="s">
        <v>4911</v>
      </c>
      <c r="AL552" t="s">
        <v>2135</v>
      </c>
      <c r="AN552" t="s">
        <v>3434</v>
      </c>
    </row>
    <row r="553" spans="1:40">
      <c r="A553" s="1" t="s">
        <v>589</v>
      </c>
      <c r="B553" t="s">
        <v>2012</v>
      </c>
      <c r="C553" t="s">
        <v>2001</v>
      </c>
      <c r="D553" t="s">
        <v>2029</v>
      </c>
      <c r="E553" t="s">
        <v>2112</v>
      </c>
      <c r="F553" t="s">
        <v>2123</v>
      </c>
      <c r="G553" t="s">
        <v>2213</v>
      </c>
      <c r="H553">
        <v>10460</v>
      </c>
      <c r="I553" t="s">
        <v>2229</v>
      </c>
      <c r="J553">
        <v>3</v>
      </c>
      <c r="K553">
        <v>0</v>
      </c>
      <c r="L553" t="s">
        <v>2419</v>
      </c>
      <c r="M553" t="s">
        <v>2677</v>
      </c>
      <c r="P553" t="s">
        <v>2821</v>
      </c>
      <c r="Q553" t="s">
        <v>2113</v>
      </c>
      <c r="R553" t="s">
        <v>3258</v>
      </c>
      <c r="S553" t="s">
        <v>3286</v>
      </c>
      <c r="X553" t="s">
        <v>3354</v>
      </c>
      <c r="Y553" t="s">
        <v>2677</v>
      </c>
      <c r="Z553" t="s">
        <v>3388</v>
      </c>
      <c r="AA553" t="s">
        <v>3406</v>
      </c>
      <c r="AB553" t="s">
        <v>3434</v>
      </c>
      <c r="AC553">
        <f>HYPERLINK("https://lsnyc.legalserver.org/matter/dynamic-profile/view/1901925","19-1901925")</f>
        <v>0</v>
      </c>
      <c r="AD553" t="s">
        <v>3445</v>
      </c>
      <c r="AE553" t="s">
        <v>3455</v>
      </c>
      <c r="AF553" t="s">
        <v>3967</v>
      </c>
      <c r="AG553" t="s">
        <v>3388</v>
      </c>
      <c r="AH553" t="s">
        <v>4904</v>
      </c>
      <c r="AK553" t="s">
        <v>4911</v>
      </c>
      <c r="AL553" t="s">
        <v>2123</v>
      </c>
      <c r="AN553" t="s">
        <v>3434</v>
      </c>
    </row>
    <row r="554" spans="1:40">
      <c r="A554" s="1" t="s">
        <v>590</v>
      </c>
      <c r="B554" t="s">
        <v>1998</v>
      </c>
      <c r="C554" t="s">
        <v>2005</v>
      </c>
      <c r="D554" t="s">
        <v>2052</v>
      </c>
      <c r="E554" t="s">
        <v>2112</v>
      </c>
      <c r="F554" t="s">
        <v>2115</v>
      </c>
      <c r="G554" t="s">
        <v>2214</v>
      </c>
      <c r="H554">
        <v>11206</v>
      </c>
      <c r="I554" t="s">
        <v>2229</v>
      </c>
      <c r="J554">
        <v>3</v>
      </c>
      <c r="K554">
        <v>2</v>
      </c>
      <c r="L554" t="s">
        <v>2260</v>
      </c>
      <c r="M554" t="s">
        <v>2677</v>
      </c>
      <c r="P554" t="s">
        <v>2821</v>
      </c>
      <c r="Q554" t="s">
        <v>2113</v>
      </c>
      <c r="R554" t="s">
        <v>3259</v>
      </c>
      <c r="S554" t="s">
        <v>3272</v>
      </c>
      <c r="X554" t="s">
        <v>3354</v>
      </c>
      <c r="Y554" t="s">
        <v>2677</v>
      </c>
      <c r="Z554" t="s">
        <v>3364</v>
      </c>
      <c r="AA554" t="s">
        <v>3406</v>
      </c>
      <c r="AB554" t="s">
        <v>3420</v>
      </c>
      <c r="AC554">
        <f>HYPERLINK("https://lsnyc.legalserver.org/matter/dynamic-profile/view/1901932","19-1901932")</f>
        <v>0</v>
      </c>
      <c r="AD554" t="s">
        <v>3445</v>
      </c>
      <c r="AE554" t="s">
        <v>3452</v>
      </c>
      <c r="AF554" t="s">
        <v>3935</v>
      </c>
      <c r="AG554" t="s">
        <v>3364</v>
      </c>
      <c r="AH554" t="s">
        <v>4904</v>
      </c>
      <c r="AK554" t="s">
        <v>4911</v>
      </c>
      <c r="AL554" t="s">
        <v>2115</v>
      </c>
      <c r="AN554" t="s">
        <v>3420</v>
      </c>
    </row>
    <row r="555" spans="1:40">
      <c r="A555" s="1" t="s">
        <v>591</v>
      </c>
      <c r="B555" t="s">
        <v>1998</v>
      </c>
      <c r="C555" t="s">
        <v>2005</v>
      </c>
      <c r="D555" t="s">
        <v>2052</v>
      </c>
      <c r="E555" t="s">
        <v>2112</v>
      </c>
      <c r="F555" t="s">
        <v>2115</v>
      </c>
      <c r="G555" t="s">
        <v>2214</v>
      </c>
      <c r="H555">
        <v>11206</v>
      </c>
      <c r="I555" t="s">
        <v>2229</v>
      </c>
      <c r="J555">
        <v>3</v>
      </c>
      <c r="K555">
        <v>2</v>
      </c>
      <c r="L555" t="s">
        <v>2260</v>
      </c>
      <c r="M555" t="s">
        <v>2677</v>
      </c>
      <c r="P555" t="s">
        <v>2821</v>
      </c>
      <c r="Q555" t="s">
        <v>2113</v>
      </c>
      <c r="R555" t="s">
        <v>3259</v>
      </c>
      <c r="S555" t="s">
        <v>3264</v>
      </c>
      <c r="T555" t="s">
        <v>3294</v>
      </c>
      <c r="U555" t="s">
        <v>2814</v>
      </c>
      <c r="X555" t="s">
        <v>3354</v>
      </c>
      <c r="Y555" t="s">
        <v>2677</v>
      </c>
      <c r="Z555" t="s">
        <v>3397</v>
      </c>
      <c r="AA555" t="s">
        <v>3406</v>
      </c>
      <c r="AB555" t="s">
        <v>3412</v>
      </c>
      <c r="AC555">
        <f>HYPERLINK("https://lsnyc.legalserver.org/matter/dynamic-profile/view/1901959","19-1901959")</f>
        <v>0</v>
      </c>
      <c r="AD555" t="s">
        <v>3445</v>
      </c>
      <c r="AE555" t="s">
        <v>3452</v>
      </c>
      <c r="AF555" t="s">
        <v>3935</v>
      </c>
      <c r="AG555" t="s">
        <v>3397</v>
      </c>
      <c r="AH555" t="s">
        <v>4904</v>
      </c>
      <c r="AK555" t="s">
        <v>4911</v>
      </c>
      <c r="AL555" t="s">
        <v>2115</v>
      </c>
      <c r="AM555" t="s">
        <v>3294</v>
      </c>
      <c r="AN555" t="s">
        <v>3412</v>
      </c>
    </row>
    <row r="556" spans="1:40">
      <c r="A556" s="1" t="s">
        <v>592</v>
      </c>
      <c r="B556" t="s">
        <v>2001</v>
      </c>
      <c r="C556" t="s">
        <v>2016</v>
      </c>
      <c r="D556" t="s">
        <v>2040</v>
      </c>
      <c r="E556" t="s">
        <v>2111</v>
      </c>
      <c r="F556" t="s">
        <v>2117</v>
      </c>
      <c r="G556" t="s">
        <v>2212</v>
      </c>
      <c r="H556">
        <v>11691</v>
      </c>
      <c r="I556" t="s">
        <v>2229</v>
      </c>
      <c r="J556">
        <v>4</v>
      </c>
      <c r="K556">
        <v>1</v>
      </c>
      <c r="L556" t="s">
        <v>2314</v>
      </c>
      <c r="M556" t="s">
        <v>2677</v>
      </c>
      <c r="P556" t="s">
        <v>2821</v>
      </c>
      <c r="Q556" t="s">
        <v>2113</v>
      </c>
      <c r="R556" t="s">
        <v>3259</v>
      </c>
      <c r="S556" t="s">
        <v>3272</v>
      </c>
      <c r="X556" t="s">
        <v>3354</v>
      </c>
      <c r="Y556" t="s">
        <v>2677</v>
      </c>
      <c r="Z556" t="s">
        <v>3364</v>
      </c>
      <c r="AA556" t="s">
        <v>3406</v>
      </c>
      <c r="AB556" t="s">
        <v>3420</v>
      </c>
      <c r="AC556">
        <f>HYPERLINK("https://lsnyc.legalserver.org/matter/dynamic-profile/view/1901960","19-1901960")</f>
        <v>0</v>
      </c>
      <c r="AD556" t="s">
        <v>3445</v>
      </c>
      <c r="AE556" t="s">
        <v>3455</v>
      </c>
      <c r="AF556" t="s">
        <v>3921</v>
      </c>
      <c r="AG556" t="s">
        <v>3364</v>
      </c>
      <c r="AH556" t="s">
        <v>4904</v>
      </c>
      <c r="AK556" t="s">
        <v>4911</v>
      </c>
      <c r="AL556" t="s">
        <v>2117</v>
      </c>
      <c r="AN556" t="s">
        <v>3420</v>
      </c>
    </row>
    <row r="557" spans="1:40">
      <c r="A557" s="1" t="s">
        <v>593</v>
      </c>
      <c r="B557" t="s">
        <v>1998</v>
      </c>
      <c r="C557" t="s">
        <v>2001</v>
      </c>
      <c r="D557" t="s">
        <v>2061</v>
      </c>
      <c r="E557" t="s">
        <v>2112</v>
      </c>
      <c r="F557" t="s">
        <v>2117</v>
      </c>
      <c r="G557" t="s">
        <v>2213</v>
      </c>
      <c r="H557">
        <v>10453</v>
      </c>
      <c r="I557" t="s">
        <v>2229</v>
      </c>
      <c r="J557">
        <v>2</v>
      </c>
      <c r="K557">
        <v>1</v>
      </c>
      <c r="L557" t="s">
        <v>2260</v>
      </c>
      <c r="M557" t="s">
        <v>2677</v>
      </c>
      <c r="P557" t="s">
        <v>2821</v>
      </c>
      <c r="Q557" t="s">
        <v>3255</v>
      </c>
      <c r="R557" t="s">
        <v>3259</v>
      </c>
      <c r="S557" t="s">
        <v>3267</v>
      </c>
      <c r="X557" t="s">
        <v>3354</v>
      </c>
      <c r="Y557" t="s">
        <v>2678</v>
      </c>
      <c r="Z557" t="s">
        <v>3380</v>
      </c>
      <c r="AA557" t="s">
        <v>3406</v>
      </c>
      <c r="AB557" t="s">
        <v>3415</v>
      </c>
      <c r="AC557">
        <f>HYPERLINK("https://lsnyc.legalserver.org/matter/dynamic-profile/view/1902496","19-1902496")</f>
        <v>0</v>
      </c>
      <c r="AD557" t="s">
        <v>3447</v>
      </c>
      <c r="AE557" t="s">
        <v>3458</v>
      </c>
      <c r="AF557" t="s">
        <v>3968</v>
      </c>
      <c r="AG557" t="s">
        <v>3380</v>
      </c>
      <c r="AH557" t="s">
        <v>4906</v>
      </c>
      <c r="AK557" t="s">
        <v>4911</v>
      </c>
      <c r="AL557" t="s">
        <v>2117</v>
      </c>
      <c r="AN557" t="s">
        <v>3415</v>
      </c>
    </row>
    <row r="558" spans="1:40">
      <c r="A558" s="1" t="s">
        <v>594</v>
      </c>
      <c r="B558" t="s">
        <v>2000</v>
      </c>
      <c r="C558" t="s">
        <v>2003</v>
      </c>
      <c r="D558" t="s">
        <v>2075</v>
      </c>
      <c r="E558" t="s">
        <v>2113</v>
      </c>
      <c r="F558" t="s">
        <v>2115</v>
      </c>
      <c r="G558" t="s">
        <v>2216</v>
      </c>
      <c r="H558">
        <v>10302</v>
      </c>
      <c r="I558" t="s">
        <v>2229</v>
      </c>
      <c r="J558">
        <v>2</v>
      </c>
      <c r="K558">
        <v>1</v>
      </c>
      <c r="L558" t="s">
        <v>2275</v>
      </c>
      <c r="M558" t="s">
        <v>2677</v>
      </c>
      <c r="P558" t="s">
        <v>2821</v>
      </c>
      <c r="Q558" t="s">
        <v>3255</v>
      </c>
      <c r="R558" t="s">
        <v>3259</v>
      </c>
      <c r="S558" t="s">
        <v>3267</v>
      </c>
      <c r="T558" t="s">
        <v>3294</v>
      </c>
      <c r="U558" t="s">
        <v>2806</v>
      </c>
      <c r="X558" t="s">
        <v>3354</v>
      </c>
      <c r="Y558" t="s">
        <v>2678</v>
      </c>
      <c r="Z558" t="s">
        <v>3380</v>
      </c>
      <c r="AA558" t="s">
        <v>3406</v>
      </c>
      <c r="AB558" t="s">
        <v>3415</v>
      </c>
      <c r="AC558">
        <f>HYPERLINK("https://lsnyc.legalserver.org/matter/dynamic-profile/view/1902498","19-1902498")</f>
        <v>0</v>
      </c>
      <c r="AD558" t="s">
        <v>3447</v>
      </c>
      <c r="AE558" t="s">
        <v>3458</v>
      </c>
      <c r="AF558" t="s">
        <v>3969</v>
      </c>
      <c r="AG558" t="s">
        <v>3380</v>
      </c>
      <c r="AH558" t="s">
        <v>4906</v>
      </c>
      <c r="AK558" t="s">
        <v>4911</v>
      </c>
      <c r="AL558" t="s">
        <v>2115</v>
      </c>
      <c r="AM558" t="s">
        <v>3294</v>
      </c>
      <c r="AN558" t="s">
        <v>3415</v>
      </c>
    </row>
    <row r="559" spans="1:40">
      <c r="A559" s="1" t="s">
        <v>595</v>
      </c>
      <c r="B559" t="s">
        <v>1998</v>
      </c>
      <c r="C559" t="s">
        <v>2002</v>
      </c>
      <c r="D559" t="s">
        <v>2060</v>
      </c>
      <c r="E559" t="s">
        <v>2111</v>
      </c>
      <c r="F559" t="s">
        <v>2117</v>
      </c>
      <c r="G559" t="s">
        <v>2213</v>
      </c>
      <c r="H559">
        <v>10473</v>
      </c>
      <c r="J559">
        <v>5</v>
      </c>
      <c r="K559">
        <v>2</v>
      </c>
      <c r="L559" t="s">
        <v>2280</v>
      </c>
      <c r="M559" t="s">
        <v>2677</v>
      </c>
      <c r="P559" t="s">
        <v>2822</v>
      </c>
      <c r="Q559" t="s">
        <v>2113</v>
      </c>
      <c r="R559" t="s">
        <v>3259</v>
      </c>
      <c r="S559" t="s">
        <v>3267</v>
      </c>
      <c r="X559" t="s">
        <v>3354</v>
      </c>
      <c r="Y559" t="s">
        <v>2677</v>
      </c>
      <c r="Z559" t="s">
        <v>3380</v>
      </c>
      <c r="AA559" t="s">
        <v>3406</v>
      </c>
      <c r="AB559" t="s">
        <v>3415</v>
      </c>
      <c r="AC559">
        <f>HYPERLINK("https://lsnyc.legalserver.org/matter/dynamic-profile/view/1901730","19-1901730")</f>
        <v>0</v>
      </c>
      <c r="AD559" t="s">
        <v>3445</v>
      </c>
      <c r="AE559" t="s">
        <v>3455</v>
      </c>
      <c r="AF559" t="s">
        <v>3970</v>
      </c>
      <c r="AG559" t="s">
        <v>3380</v>
      </c>
      <c r="AH559" t="s">
        <v>4906</v>
      </c>
      <c r="AK559" t="s">
        <v>4911</v>
      </c>
      <c r="AL559" t="s">
        <v>2117</v>
      </c>
      <c r="AN559" t="s">
        <v>3415</v>
      </c>
    </row>
    <row r="560" spans="1:40">
      <c r="A560" s="1" t="s">
        <v>596</v>
      </c>
      <c r="B560" t="s">
        <v>1998</v>
      </c>
      <c r="C560" t="s">
        <v>1998</v>
      </c>
      <c r="D560" t="s">
        <v>2037</v>
      </c>
      <c r="E560" t="s">
        <v>2111</v>
      </c>
      <c r="F560" t="s">
        <v>2117</v>
      </c>
      <c r="G560" t="s">
        <v>2213</v>
      </c>
      <c r="H560">
        <v>10473</v>
      </c>
      <c r="I560" t="s">
        <v>2229</v>
      </c>
      <c r="J560">
        <v>5</v>
      </c>
      <c r="K560">
        <v>2</v>
      </c>
      <c r="L560" t="s">
        <v>2280</v>
      </c>
      <c r="M560" t="s">
        <v>2677</v>
      </c>
      <c r="P560" t="s">
        <v>2822</v>
      </c>
      <c r="Q560" t="s">
        <v>2113</v>
      </c>
      <c r="R560" t="s">
        <v>3259</v>
      </c>
      <c r="S560" t="s">
        <v>3267</v>
      </c>
      <c r="X560" t="s">
        <v>3354</v>
      </c>
      <c r="Y560" t="s">
        <v>2677</v>
      </c>
      <c r="Z560" t="s">
        <v>3359</v>
      </c>
      <c r="AA560" t="s">
        <v>3406</v>
      </c>
      <c r="AB560" t="s">
        <v>3415</v>
      </c>
      <c r="AC560">
        <f>HYPERLINK("https://lsnyc.legalserver.org/matter/dynamic-profile/view/1901734","19-1901734")</f>
        <v>0</v>
      </c>
      <c r="AD560" t="s">
        <v>3445</v>
      </c>
      <c r="AE560" t="s">
        <v>3455</v>
      </c>
      <c r="AF560" t="s">
        <v>3971</v>
      </c>
      <c r="AG560" t="s">
        <v>3359</v>
      </c>
      <c r="AH560" t="s">
        <v>4906</v>
      </c>
      <c r="AK560" t="s">
        <v>4911</v>
      </c>
      <c r="AL560" t="s">
        <v>2117</v>
      </c>
      <c r="AN560" t="s">
        <v>3415</v>
      </c>
    </row>
    <row r="561" spans="1:41">
      <c r="A561" s="1" t="s">
        <v>597</v>
      </c>
      <c r="B561" t="s">
        <v>2001</v>
      </c>
      <c r="C561" t="s">
        <v>2016</v>
      </c>
      <c r="D561" t="s">
        <v>2054</v>
      </c>
      <c r="E561" t="s">
        <v>2112</v>
      </c>
      <c r="G561" t="s">
        <v>2212</v>
      </c>
      <c r="H561">
        <v>11412</v>
      </c>
      <c r="I561" t="s">
        <v>2229</v>
      </c>
      <c r="J561">
        <v>3</v>
      </c>
      <c r="K561">
        <v>1</v>
      </c>
      <c r="L561" t="s">
        <v>2420</v>
      </c>
      <c r="M561" t="s">
        <v>2677</v>
      </c>
      <c r="P561" t="s">
        <v>2822</v>
      </c>
      <c r="Q561" t="s">
        <v>3255</v>
      </c>
      <c r="R561" t="s">
        <v>3259</v>
      </c>
      <c r="S561" t="s">
        <v>3288</v>
      </c>
      <c r="X561" t="s">
        <v>3354</v>
      </c>
      <c r="Y561" t="s">
        <v>2678</v>
      </c>
      <c r="Z561" t="s">
        <v>3389</v>
      </c>
      <c r="AB561" t="s">
        <v>3436</v>
      </c>
      <c r="AC561">
        <f>HYPERLINK("https://lsnyc.legalserver.org/matter/dynamic-profile/view/1901748","19-1901748")</f>
        <v>0</v>
      </c>
      <c r="AD561" t="s">
        <v>3443</v>
      </c>
      <c r="AE561" t="s">
        <v>3467</v>
      </c>
      <c r="AF561" t="s">
        <v>3972</v>
      </c>
      <c r="AG561" t="s">
        <v>3389</v>
      </c>
      <c r="AI561" t="s">
        <v>4909</v>
      </c>
      <c r="AN561" t="s">
        <v>3436</v>
      </c>
    </row>
    <row r="562" spans="1:41">
      <c r="A562" s="1" t="s">
        <v>598</v>
      </c>
      <c r="B562" t="s">
        <v>1998</v>
      </c>
      <c r="C562" t="s">
        <v>1998</v>
      </c>
      <c r="D562" t="s">
        <v>2076</v>
      </c>
      <c r="E562" t="s">
        <v>2112</v>
      </c>
      <c r="F562" t="s">
        <v>2114</v>
      </c>
      <c r="G562" t="s">
        <v>2213</v>
      </c>
      <c r="H562">
        <v>10457</v>
      </c>
      <c r="I562" t="s">
        <v>2229</v>
      </c>
      <c r="J562">
        <v>3</v>
      </c>
      <c r="K562">
        <v>2</v>
      </c>
      <c r="L562" t="s">
        <v>2421</v>
      </c>
      <c r="M562" t="s">
        <v>2677</v>
      </c>
      <c r="P562" t="s">
        <v>2822</v>
      </c>
      <c r="Q562" t="s">
        <v>2113</v>
      </c>
      <c r="R562" t="s">
        <v>3259</v>
      </c>
      <c r="S562" t="s">
        <v>3267</v>
      </c>
      <c r="X562" t="s">
        <v>3354</v>
      </c>
      <c r="Y562" t="s">
        <v>2678</v>
      </c>
      <c r="Z562" t="s">
        <v>3380</v>
      </c>
      <c r="AA562" t="s">
        <v>3406</v>
      </c>
      <c r="AB562" t="s">
        <v>3415</v>
      </c>
      <c r="AC562">
        <f>HYPERLINK("https://lsnyc.legalserver.org/matter/dynamic-profile/view/1901798","19-1901798")</f>
        <v>0</v>
      </c>
      <c r="AD562" t="s">
        <v>3442</v>
      </c>
      <c r="AE562" t="s">
        <v>3476</v>
      </c>
      <c r="AF562" t="s">
        <v>3973</v>
      </c>
      <c r="AG562" t="s">
        <v>3380</v>
      </c>
      <c r="AH562" t="s">
        <v>4906</v>
      </c>
      <c r="AK562" t="s">
        <v>4911</v>
      </c>
      <c r="AL562" t="s">
        <v>2114</v>
      </c>
      <c r="AN562" t="s">
        <v>3415</v>
      </c>
    </row>
    <row r="563" spans="1:41">
      <c r="A563" s="1" t="s">
        <v>599</v>
      </c>
      <c r="B563" t="s">
        <v>2001</v>
      </c>
      <c r="C563" t="s">
        <v>2016</v>
      </c>
      <c r="D563" t="s">
        <v>2054</v>
      </c>
      <c r="E563" t="s">
        <v>2112</v>
      </c>
      <c r="F563" t="s">
        <v>2114</v>
      </c>
      <c r="G563" t="s">
        <v>2211</v>
      </c>
      <c r="H563">
        <v>10037</v>
      </c>
      <c r="I563" t="s">
        <v>2229</v>
      </c>
      <c r="J563">
        <v>3</v>
      </c>
      <c r="K563">
        <v>2</v>
      </c>
      <c r="L563" t="s">
        <v>2421</v>
      </c>
      <c r="M563" t="s">
        <v>2677</v>
      </c>
      <c r="P563" t="s">
        <v>2822</v>
      </c>
      <c r="Q563" t="s">
        <v>2113</v>
      </c>
      <c r="R563" t="s">
        <v>3259</v>
      </c>
      <c r="S563" t="s">
        <v>3267</v>
      </c>
      <c r="X563" t="s">
        <v>3354</v>
      </c>
      <c r="Y563" t="s">
        <v>2678</v>
      </c>
      <c r="Z563" t="s">
        <v>3359</v>
      </c>
      <c r="AB563" t="s">
        <v>3415</v>
      </c>
      <c r="AC563">
        <f>HYPERLINK("https://lsnyc.legalserver.org/matter/dynamic-profile/view/1901803","19-1901803")</f>
        <v>0</v>
      </c>
      <c r="AD563" t="s">
        <v>3442</v>
      </c>
      <c r="AE563" t="s">
        <v>3476</v>
      </c>
      <c r="AF563" t="s">
        <v>3974</v>
      </c>
      <c r="AG563" t="s">
        <v>3359</v>
      </c>
      <c r="AL563" t="s">
        <v>2114</v>
      </c>
      <c r="AN563" t="s">
        <v>3415</v>
      </c>
    </row>
    <row r="564" spans="1:41">
      <c r="A564" s="1" t="s">
        <v>600</v>
      </c>
      <c r="B564" t="s">
        <v>2001</v>
      </c>
      <c r="C564" t="s">
        <v>2016</v>
      </c>
      <c r="D564" t="s">
        <v>2054</v>
      </c>
      <c r="E564" t="s">
        <v>2112</v>
      </c>
      <c r="F564" t="s">
        <v>2114</v>
      </c>
      <c r="G564" t="s">
        <v>2211</v>
      </c>
      <c r="H564">
        <v>10037</v>
      </c>
      <c r="I564" t="s">
        <v>2229</v>
      </c>
      <c r="J564">
        <v>3</v>
      </c>
      <c r="K564">
        <v>2</v>
      </c>
      <c r="L564" t="s">
        <v>2421</v>
      </c>
      <c r="M564" t="s">
        <v>2677</v>
      </c>
      <c r="P564" t="s">
        <v>2822</v>
      </c>
      <c r="Q564" t="s">
        <v>2113</v>
      </c>
      <c r="R564" t="s">
        <v>3259</v>
      </c>
      <c r="S564" t="s">
        <v>3267</v>
      </c>
      <c r="X564" t="s">
        <v>3354</v>
      </c>
      <c r="Y564" t="s">
        <v>2678</v>
      </c>
      <c r="Z564" t="s">
        <v>3380</v>
      </c>
      <c r="AA564" t="s">
        <v>3406</v>
      </c>
      <c r="AB564" t="s">
        <v>3415</v>
      </c>
      <c r="AC564">
        <f>HYPERLINK("https://lsnyc.legalserver.org/matter/dynamic-profile/view/1901805","19-1901805")</f>
        <v>0</v>
      </c>
      <c r="AD564" t="s">
        <v>3442</v>
      </c>
      <c r="AE564" t="s">
        <v>3476</v>
      </c>
      <c r="AF564" t="s">
        <v>3974</v>
      </c>
      <c r="AG564" t="s">
        <v>3380</v>
      </c>
      <c r="AH564" t="s">
        <v>4906</v>
      </c>
      <c r="AK564" t="s">
        <v>4911</v>
      </c>
      <c r="AL564" t="s">
        <v>2114</v>
      </c>
      <c r="AN564" t="s">
        <v>3415</v>
      </c>
    </row>
    <row r="565" spans="1:41">
      <c r="A565" s="1" t="s">
        <v>601</v>
      </c>
      <c r="B565" t="s">
        <v>2001</v>
      </c>
      <c r="C565" t="s">
        <v>2016</v>
      </c>
      <c r="D565" t="s">
        <v>2054</v>
      </c>
      <c r="E565" t="s">
        <v>2112</v>
      </c>
      <c r="F565" t="s">
        <v>2114</v>
      </c>
      <c r="G565" t="s">
        <v>2211</v>
      </c>
      <c r="H565">
        <v>10037</v>
      </c>
      <c r="I565" t="s">
        <v>2229</v>
      </c>
      <c r="J565">
        <v>3</v>
      </c>
      <c r="K565">
        <v>2</v>
      </c>
      <c r="L565" t="s">
        <v>2421</v>
      </c>
      <c r="M565" t="s">
        <v>2677</v>
      </c>
      <c r="P565" t="s">
        <v>2822</v>
      </c>
      <c r="Q565" t="s">
        <v>2113</v>
      </c>
      <c r="R565" t="s">
        <v>3259</v>
      </c>
      <c r="S565" t="s">
        <v>3264</v>
      </c>
      <c r="X565" t="s">
        <v>3354</v>
      </c>
      <c r="Y565" t="s">
        <v>2678</v>
      </c>
      <c r="Z565" t="s">
        <v>3357</v>
      </c>
      <c r="AA565" t="s">
        <v>3406</v>
      </c>
      <c r="AB565" t="s">
        <v>3412</v>
      </c>
      <c r="AC565">
        <f>HYPERLINK("https://lsnyc.legalserver.org/matter/dynamic-profile/view/1901807","19-1901807")</f>
        <v>0</v>
      </c>
      <c r="AD565" t="s">
        <v>3442</v>
      </c>
      <c r="AE565" t="s">
        <v>3476</v>
      </c>
      <c r="AF565" t="s">
        <v>3974</v>
      </c>
      <c r="AG565" t="s">
        <v>3357</v>
      </c>
      <c r="AH565" t="s">
        <v>4904</v>
      </c>
      <c r="AK565" t="s">
        <v>4911</v>
      </c>
      <c r="AL565" t="s">
        <v>2114</v>
      </c>
      <c r="AN565" t="s">
        <v>3412</v>
      </c>
    </row>
    <row r="566" spans="1:41">
      <c r="A566" s="1" t="s">
        <v>602</v>
      </c>
      <c r="B566" t="s">
        <v>1998</v>
      </c>
      <c r="C566" t="s">
        <v>2017</v>
      </c>
      <c r="D566" t="s">
        <v>2029</v>
      </c>
      <c r="E566" t="s">
        <v>2111</v>
      </c>
      <c r="F566" t="s">
        <v>2116</v>
      </c>
      <c r="G566" t="s">
        <v>2213</v>
      </c>
      <c r="H566">
        <v>10468</v>
      </c>
      <c r="J566">
        <v>1</v>
      </c>
      <c r="K566">
        <v>0</v>
      </c>
      <c r="L566" t="s">
        <v>2422</v>
      </c>
      <c r="M566" t="s">
        <v>2677</v>
      </c>
      <c r="P566" t="s">
        <v>2822</v>
      </c>
      <c r="Q566" t="s">
        <v>2113</v>
      </c>
      <c r="R566" t="s">
        <v>3258</v>
      </c>
      <c r="S566" t="s">
        <v>3286</v>
      </c>
      <c r="X566" t="s">
        <v>3354</v>
      </c>
      <c r="Y566" t="s">
        <v>2677</v>
      </c>
      <c r="Z566" t="s">
        <v>3388</v>
      </c>
      <c r="AA566" t="s">
        <v>3406</v>
      </c>
      <c r="AB566" t="s">
        <v>3434</v>
      </c>
      <c r="AC566">
        <f>HYPERLINK("https://lsnyc.legalserver.org/matter/dynamic-profile/view/1901810","19-1901810")</f>
        <v>0</v>
      </c>
      <c r="AD566" t="s">
        <v>3445</v>
      </c>
      <c r="AE566" t="s">
        <v>3452</v>
      </c>
      <c r="AF566" t="s">
        <v>3975</v>
      </c>
      <c r="AG566" t="s">
        <v>3388</v>
      </c>
      <c r="AH566" t="s">
        <v>4904</v>
      </c>
      <c r="AK566" t="s">
        <v>4911</v>
      </c>
      <c r="AL566" t="s">
        <v>2116</v>
      </c>
      <c r="AN566" t="s">
        <v>3434</v>
      </c>
    </row>
    <row r="567" spans="1:41">
      <c r="A567" s="1" t="s">
        <v>603</v>
      </c>
      <c r="B567" t="s">
        <v>2001</v>
      </c>
      <c r="C567" t="s">
        <v>2001</v>
      </c>
      <c r="D567" t="s">
        <v>2075</v>
      </c>
      <c r="E567" t="s">
        <v>2111</v>
      </c>
      <c r="F567" t="s">
        <v>2117</v>
      </c>
      <c r="G567" t="s">
        <v>2213</v>
      </c>
      <c r="H567">
        <v>10457</v>
      </c>
      <c r="I567" t="s">
        <v>2229</v>
      </c>
      <c r="J567">
        <v>3</v>
      </c>
      <c r="K567">
        <v>2</v>
      </c>
      <c r="L567" t="s">
        <v>2260</v>
      </c>
      <c r="M567" t="s">
        <v>2677</v>
      </c>
      <c r="P567" t="s">
        <v>2823</v>
      </c>
      <c r="Q567" t="s">
        <v>2113</v>
      </c>
      <c r="R567" t="s">
        <v>3258</v>
      </c>
      <c r="S567" t="s">
        <v>3262</v>
      </c>
      <c r="T567" t="s">
        <v>3294</v>
      </c>
      <c r="U567" t="s">
        <v>3305</v>
      </c>
      <c r="X567" t="s">
        <v>3354</v>
      </c>
      <c r="Y567" t="s">
        <v>2678</v>
      </c>
      <c r="Z567" t="s">
        <v>3355</v>
      </c>
      <c r="AA567" t="s">
        <v>3406</v>
      </c>
      <c r="AB567" t="s">
        <v>3410</v>
      </c>
      <c r="AC567">
        <f>HYPERLINK("https://lsnyc.legalserver.org/matter/dynamic-profile/view/1901580","19-1901580")</f>
        <v>0</v>
      </c>
      <c r="AD567" t="s">
        <v>3444</v>
      </c>
      <c r="AE567" t="s">
        <v>3468</v>
      </c>
      <c r="AF567" t="s">
        <v>3976</v>
      </c>
      <c r="AG567" t="s">
        <v>3355</v>
      </c>
      <c r="AH567" t="s">
        <v>4904</v>
      </c>
      <c r="AK567" t="s">
        <v>4911</v>
      </c>
      <c r="AL567" t="s">
        <v>2117</v>
      </c>
      <c r="AM567" t="s">
        <v>3294</v>
      </c>
      <c r="AN567" t="s">
        <v>3410</v>
      </c>
    </row>
    <row r="568" spans="1:41">
      <c r="A568" s="1" t="s">
        <v>604</v>
      </c>
      <c r="B568" t="s">
        <v>2001</v>
      </c>
      <c r="C568" t="s">
        <v>1998</v>
      </c>
      <c r="D568" t="s">
        <v>2040</v>
      </c>
      <c r="E568" t="s">
        <v>2112</v>
      </c>
      <c r="F568" t="s">
        <v>2117</v>
      </c>
      <c r="G568" t="s">
        <v>2213</v>
      </c>
      <c r="H568">
        <v>10455</v>
      </c>
      <c r="I568" t="s">
        <v>2229</v>
      </c>
      <c r="J568">
        <v>7</v>
      </c>
      <c r="K568">
        <v>4</v>
      </c>
      <c r="L568" t="s">
        <v>2260</v>
      </c>
      <c r="M568" t="s">
        <v>2677</v>
      </c>
      <c r="P568" t="s">
        <v>2824</v>
      </c>
      <c r="Q568" t="s">
        <v>3255</v>
      </c>
      <c r="R568" t="s">
        <v>3259</v>
      </c>
      <c r="S568" t="s">
        <v>3267</v>
      </c>
      <c r="V568" t="s">
        <v>3353</v>
      </c>
      <c r="X568" t="s">
        <v>3354</v>
      </c>
      <c r="Y568" t="s">
        <v>2678</v>
      </c>
      <c r="Z568" t="s">
        <v>3359</v>
      </c>
      <c r="AA568" t="s">
        <v>3406</v>
      </c>
      <c r="AB568" t="s">
        <v>3415</v>
      </c>
      <c r="AC568">
        <f>HYPERLINK("https://lsnyc.legalserver.org/matter/dynamic-profile/view/1901591","19-1901591")</f>
        <v>0</v>
      </c>
      <c r="AD568" t="s">
        <v>3444</v>
      </c>
      <c r="AE568" t="s">
        <v>3468</v>
      </c>
      <c r="AF568" t="s">
        <v>3977</v>
      </c>
      <c r="AG568" t="s">
        <v>3359</v>
      </c>
      <c r="AH568" t="s">
        <v>4906</v>
      </c>
      <c r="AI568" t="s">
        <v>4909</v>
      </c>
      <c r="AL568" t="s">
        <v>2117</v>
      </c>
      <c r="AN568" t="s">
        <v>3415</v>
      </c>
      <c r="AO568" t="s">
        <v>3353</v>
      </c>
    </row>
    <row r="569" spans="1:41">
      <c r="A569" s="1" t="s">
        <v>605</v>
      </c>
      <c r="B569" t="s">
        <v>2016</v>
      </c>
      <c r="C569" t="s">
        <v>1998</v>
      </c>
      <c r="D569" t="s">
        <v>2049</v>
      </c>
      <c r="E569" t="s">
        <v>2111</v>
      </c>
      <c r="F569" t="s">
        <v>2117</v>
      </c>
      <c r="G569" t="s">
        <v>2213</v>
      </c>
      <c r="H569">
        <v>10456</v>
      </c>
      <c r="I569" t="s">
        <v>2229</v>
      </c>
      <c r="J569">
        <v>1</v>
      </c>
      <c r="K569">
        <v>0</v>
      </c>
      <c r="L569" t="s">
        <v>2260</v>
      </c>
      <c r="M569" t="s">
        <v>2677</v>
      </c>
      <c r="P569" t="s">
        <v>2781</v>
      </c>
      <c r="Q569" t="s">
        <v>3255</v>
      </c>
      <c r="R569" t="s">
        <v>3259</v>
      </c>
      <c r="S569" t="s">
        <v>3267</v>
      </c>
      <c r="T569" t="s">
        <v>3297</v>
      </c>
      <c r="U569" t="s">
        <v>2781</v>
      </c>
      <c r="X569" t="s">
        <v>3354</v>
      </c>
      <c r="Y569" t="s">
        <v>2678</v>
      </c>
      <c r="Z569" t="s">
        <v>3359</v>
      </c>
      <c r="AA569" t="s">
        <v>3406</v>
      </c>
      <c r="AB569" t="s">
        <v>3415</v>
      </c>
      <c r="AC569">
        <f>HYPERLINK("https://lsnyc.legalserver.org/matter/dynamic-profile/view/1901602","19-1901602")</f>
        <v>0</v>
      </c>
      <c r="AD569" t="s">
        <v>3444</v>
      </c>
      <c r="AE569" t="s">
        <v>3468</v>
      </c>
      <c r="AF569" t="s">
        <v>3821</v>
      </c>
      <c r="AG569" t="s">
        <v>3359</v>
      </c>
      <c r="AH569" t="s">
        <v>4906</v>
      </c>
      <c r="AL569" t="s">
        <v>2117</v>
      </c>
      <c r="AM569" t="s">
        <v>3297</v>
      </c>
      <c r="AN569" t="s">
        <v>3415</v>
      </c>
    </row>
    <row r="570" spans="1:41">
      <c r="A570" s="1" t="s">
        <v>606</v>
      </c>
      <c r="B570" t="s">
        <v>2001</v>
      </c>
      <c r="C570" t="s">
        <v>2001</v>
      </c>
      <c r="D570" t="s">
        <v>2086</v>
      </c>
      <c r="E570" t="s">
        <v>2112</v>
      </c>
      <c r="F570" t="s">
        <v>2135</v>
      </c>
      <c r="G570" t="s">
        <v>2214</v>
      </c>
      <c r="H570">
        <v>11232</v>
      </c>
      <c r="I570" t="s">
        <v>2229</v>
      </c>
      <c r="J570">
        <v>1</v>
      </c>
      <c r="K570">
        <v>0</v>
      </c>
      <c r="L570" t="s">
        <v>2285</v>
      </c>
      <c r="M570" t="s">
        <v>2677</v>
      </c>
      <c r="P570" t="s">
        <v>2823</v>
      </c>
      <c r="Q570" t="s">
        <v>2113</v>
      </c>
      <c r="R570" t="s">
        <v>3258</v>
      </c>
      <c r="S570" t="s">
        <v>3265</v>
      </c>
      <c r="X570" t="s">
        <v>3354</v>
      </c>
      <c r="Y570" t="s">
        <v>2677</v>
      </c>
      <c r="Z570" t="s">
        <v>3358</v>
      </c>
      <c r="AA570" t="s">
        <v>3406</v>
      </c>
      <c r="AB570" t="s">
        <v>3413</v>
      </c>
      <c r="AC570">
        <f>HYPERLINK("https://lsnyc.legalserver.org/matter/dynamic-profile/view/1901617","19-1901617")</f>
        <v>0</v>
      </c>
      <c r="AD570" t="s">
        <v>3445</v>
      </c>
      <c r="AE570" t="s">
        <v>3455</v>
      </c>
      <c r="AF570" t="s">
        <v>3978</v>
      </c>
      <c r="AG570" t="s">
        <v>3358</v>
      </c>
      <c r="AH570" t="s">
        <v>4904</v>
      </c>
      <c r="AI570" t="s">
        <v>4909</v>
      </c>
      <c r="AK570" t="s">
        <v>4911</v>
      </c>
      <c r="AL570" t="s">
        <v>2135</v>
      </c>
      <c r="AN570" t="s">
        <v>3413</v>
      </c>
    </row>
    <row r="571" spans="1:41">
      <c r="A571" s="1" t="s">
        <v>607</v>
      </c>
      <c r="B571" t="s">
        <v>1998</v>
      </c>
      <c r="C571" t="s">
        <v>2000</v>
      </c>
      <c r="D571" t="s">
        <v>2079</v>
      </c>
      <c r="E571" t="s">
        <v>2112</v>
      </c>
      <c r="F571" t="s">
        <v>2165</v>
      </c>
      <c r="G571" t="s">
        <v>2212</v>
      </c>
      <c r="H571">
        <v>11419</v>
      </c>
      <c r="J571">
        <v>5</v>
      </c>
      <c r="K571">
        <v>1</v>
      </c>
      <c r="L571" t="s">
        <v>2423</v>
      </c>
      <c r="M571" t="s">
        <v>2677</v>
      </c>
      <c r="P571" t="s">
        <v>2823</v>
      </c>
      <c r="Q571" t="s">
        <v>2113</v>
      </c>
      <c r="R571" t="s">
        <v>3258</v>
      </c>
      <c r="S571" t="s">
        <v>3286</v>
      </c>
      <c r="X571" t="s">
        <v>3354</v>
      </c>
      <c r="Y571" t="s">
        <v>2677</v>
      </c>
      <c r="Z571" t="s">
        <v>3388</v>
      </c>
      <c r="AA571" t="s">
        <v>3406</v>
      </c>
      <c r="AB571" t="s">
        <v>3434</v>
      </c>
      <c r="AC571">
        <f>HYPERLINK("https://lsnyc.legalserver.org/matter/dynamic-profile/view/1901629","19-1901629")</f>
        <v>0</v>
      </c>
      <c r="AD571" t="s">
        <v>3445</v>
      </c>
      <c r="AE571" t="s">
        <v>3452</v>
      </c>
      <c r="AF571" t="s">
        <v>3979</v>
      </c>
      <c r="AG571" t="s">
        <v>3388</v>
      </c>
      <c r="AH571" t="s">
        <v>4904</v>
      </c>
      <c r="AK571" t="s">
        <v>4911</v>
      </c>
      <c r="AL571" t="s">
        <v>2165</v>
      </c>
      <c r="AN571" t="s">
        <v>3434</v>
      </c>
    </row>
    <row r="572" spans="1:41">
      <c r="A572" s="1" t="s">
        <v>608</v>
      </c>
      <c r="B572" t="s">
        <v>1998</v>
      </c>
      <c r="C572" t="s">
        <v>2016</v>
      </c>
      <c r="D572" t="s">
        <v>2080</v>
      </c>
      <c r="E572" t="s">
        <v>2112</v>
      </c>
      <c r="F572" t="s">
        <v>2165</v>
      </c>
      <c r="G572" t="s">
        <v>2212</v>
      </c>
      <c r="H572">
        <v>11432</v>
      </c>
      <c r="J572">
        <v>5</v>
      </c>
      <c r="K572">
        <v>3</v>
      </c>
      <c r="L572" t="s">
        <v>2271</v>
      </c>
      <c r="M572" t="s">
        <v>2677</v>
      </c>
      <c r="P572" t="s">
        <v>2823</v>
      </c>
      <c r="Q572" t="s">
        <v>2113</v>
      </c>
      <c r="R572" t="s">
        <v>3258</v>
      </c>
      <c r="S572" t="s">
        <v>3286</v>
      </c>
      <c r="T572" t="s">
        <v>3294</v>
      </c>
      <c r="U572" t="s">
        <v>2766</v>
      </c>
      <c r="X572" t="s">
        <v>3354</v>
      </c>
      <c r="Y572" t="s">
        <v>2677</v>
      </c>
      <c r="Z572" t="s">
        <v>3388</v>
      </c>
      <c r="AA572" t="s">
        <v>3406</v>
      </c>
      <c r="AB572" t="s">
        <v>3434</v>
      </c>
      <c r="AC572">
        <f>HYPERLINK("https://lsnyc.legalserver.org/matter/dynamic-profile/view/1901647","19-1901647")</f>
        <v>0</v>
      </c>
      <c r="AD572" t="s">
        <v>3445</v>
      </c>
      <c r="AE572" t="s">
        <v>3452</v>
      </c>
      <c r="AF572" t="s">
        <v>3980</v>
      </c>
      <c r="AG572" t="s">
        <v>3388</v>
      </c>
      <c r="AH572" t="s">
        <v>4904</v>
      </c>
      <c r="AK572" t="s">
        <v>4911</v>
      </c>
      <c r="AL572" t="s">
        <v>2165</v>
      </c>
      <c r="AM572" t="s">
        <v>3294</v>
      </c>
      <c r="AN572" t="s">
        <v>3434</v>
      </c>
    </row>
    <row r="573" spans="1:41">
      <c r="A573" s="1" t="s">
        <v>609</v>
      </c>
      <c r="B573" t="s">
        <v>2002</v>
      </c>
      <c r="C573" t="s">
        <v>2001</v>
      </c>
      <c r="D573" t="s">
        <v>2057</v>
      </c>
      <c r="E573" t="s">
        <v>2112</v>
      </c>
      <c r="F573" t="s">
        <v>2129</v>
      </c>
      <c r="G573" t="s">
        <v>2214</v>
      </c>
      <c r="H573">
        <v>11235</v>
      </c>
      <c r="J573">
        <v>2</v>
      </c>
      <c r="K573">
        <v>1</v>
      </c>
      <c r="L573" t="s">
        <v>2315</v>
      </c>
      <c r="M573" t="s">
        <v>2677</v>
      </c>
      <c r="P573" t="s">
        <v>2823</v>
      </c>
      <c r="Q573" t="s">
        <v>2113</v>
      </c>
      <c r="R573" t="s">
        <v>3258</v>
      </c>
      <c r="S573" t="s">
        <v>3286</v>
      </c>
      <c r="T573" t="s">
        <v>3294</v>
      </c>
      <c r="U573" t="s">
        <v>2781</v>
      </c>
      <c r="X573" t="s">
        <v>3354</v>
      </c>
      <c r="Y573" t="s">
        <v>2677</v>
      </c>
      <c r="Z573" t="s">
        <v>3388</v>
      </c>
      <c r="AA573" t="s">
        <v>3406</v>
      </c>
      <c r="AB573" t="s">
        <v>3434</v>
      </c>
      <c r="AC573">
        <f>HYPERLINK("https://lsnyc.legalserver.org/matter/dynamic-profile/view/1901668","19-1901668")</f>
        <v>0</v>
      </c>
      <c r="AD573" t="s">
        <v>3445</v>
      </c>
      <c r="AE573" t="s">
        <v>3452</v>
      </c>
      <c r="AF573" t="s">
        <v>3981</v>
      </c>
      <c r="AG573" t="s">
        <v>3388</v>
      </c>
      <c r="AH573" t="s">
        <v>4904</v>
      </c>
      <c r="AK573" t="s">
        <v>4911</v>
      </c>
      <c r="AL573" t="s">
        <v>2129</v>
      </c>
      <c r="AM573" t="s">
        <v>3294</v>
      </c>
      <c r="AN573" t="s">
        <v>3434</v>
      </c>
    </row>
    <row r="574" spans="1:41">
      <c r="A574" s="1" t="s">
        <v>610</v>
      </c>
      <c r="B574" t="s">
        <v>2001</v>
      </c>
      <c r="C574" t="s">
        <v>1998</v>
      </c>
      <c r="D574" t="s">
        <v>2049</v>
      </c>
      <c r="E574" t="s">
        <v>2112</v>
      </c>
      <c r="G574" t="s">
        <v>2213</v>
      </c>
      <c r="H574">
        <v>10458</v>
      </c>
      <c r="I574" t="s">
        <v>2229</v>
      </c>
      <c r="J574">
        <v>4</v>
      </c>
      <c r="K574">
        <v>2</v>
      </c>
      <c r="L574" t="s">
        <v>2294</v>
      </c>
      <c r="M574" t="s">
        <v>2677</v>
      </c>
      <c r="P574" t="s">
        <v>2823</v>
      </c>
      <c r="Q574" t="s">
        <v>2113</v>
      </c>
      <c r="X574" t="s">
        <v>3354</v>
      </c>
      <c r="Y574" t="s">
        <v>2677</v>
      </c>
      <c r="AA574" t="s">
        <v>3407</v>
      </c>
      <c r="AB574" t="s">
        <v>3407</v>
      </c>
      <c r="AC574">
        <f>HYPERLINK("https://lsnyc.legalserver.org/matter/dynamic-profile/view/1901698","19-1901698")</f>
        <v>0</v>
      </c>
      <c r="AD574" t="s">
        <v>3444</v>
      </c>
      <c r="AE574" t="s">
        <v>3486</v>
      </c>
      <c r="AF574" t="s">
        <v>3982</v>
      </c>
      <c r="AH574" t="s">
        <v>3407</v>
      </c>
      <c r="AN574" t="s">
        <v>3407</v>
      </c>
    </row>
    <row r="575" spans="1:41">
      <c r="A575" s="1" t="s">
        <v>611</v>
      </c>
      <c r="B575" t="s">
        <v>2000</v>
      </c>
      <c r="C575" t="s">
        <v>2009</v>
      </c>
      <c r="D575" t="s">
        <v>2050</v>
      </c>
      <c r="E575" t="s">
        <v>2112</v>
      </c>
      <c r="G575" t="s">
        <v>2216</v>
      </c>
      <c r="H575">
        <v>10314</v>
      </c>
      <c r="I575" t="s">
        <v>2229</v>
      </c>
      <c r="J575">
        <v>1</v>
      </c>
      <c r="K575">
        <v>0</v>
      </c>
      <c r="L575" t="s">
        <v>2424</v>
      </c>
      <c r="M575" t="s">
        <v>2677</v>
      </c>
      <c r="P575" t="s">
        <v>2823</v>
      </c>
      <c r="Q575" t="s">
        <v>3255</v>
      </c>
      <c r="R575" t="s">
        <v>3260</v>
      </c>
      <c r="S575" t="s">
        <v>3266</v>
      </c>
      <c r="X575" t="s">
        <v>3354</v>
      </c>
      <c r="Y575" t="s">
        <v>2677</v>
      </c>
      <c r="AA575" t="s">
        <v>3406</v>
      </c>
      <c r="AB575" t="s">
        <v>3414</v>
      </c>
      <c r="AC575">
        <f>HYPERLINK("https://lsnyc.legalserver.org/matter/dynamic-profile/view/1901829","19-1901829")</f>
        <v>0</v>
      </c>
      <c r="AD575" t="s">
        <v>3447</v>
      </c>
      <c r="AE575" t="s">
        <v>3462</v>
      </c>
      <c r="AF575" t="s">
        <v>3983</v>
      </c>
      <c r="AH575" t="s">
        <v>4908</v>
      </c>
      <c r="AI575" t="s">
        <v>4909</v>
      </c>
      <c r="AN575" t="s">
        <v>3414</v>
      </c>
    </row>
    <row r="576" spans="1:41">
      <c r="A576" s="1" t="s">
        <v>612</v>
      </c>
      <c r="B576" t="s">
        <v>2012</v>
      </c>
      <c r="C576" t="s">
        <v>2009</v>
      </c>
      <c r="D576" t="s">
        <v>2056</v>
      </c>
      <c r="E576" t="s">
        <v>2112</v>
      </c>
      <c r="G576" t="s">
        <v>2216</v>
      </c>
      <c r="H576">
        <v>10302</v>
      </c>
      <c r="I576" t="s">
        <v>2229</v>
      </c>
      <c r="J576">
        <v>1</v>
      </c>
      <c r="K576">
        <v>0</v>
      </c>
      <c r="L576" t="s">
        <v>2304</v>
      </c>
      <c r="M576" t="s">
        <v>2677</v>
      </c>
      <c r="P576" t="s">
        <v>2823</v>
      </c>
      <c r="Q576" t="s">
        <v>3255</v>
      </c>
      <c r="R576" t="s">
        <v>3260</v>
      </c>
      <c r="S576" t="s">
        <v>3266</v>
      </c>
      <c r="X576" t="s">
        <v>3354</v>
      </c>
      <c r="Y576" t="s">
        <v>2677</v>
      </c>
      <c r="AA576" t="s">
        <v>3406</v>
      </c>
      <c r="AB576" t="s">
        <v>3414</v>
      </c>
      <c r="AC576">
        <f>HYPERLINK("https://lsnyc.legalserver.org/matter/dynamic-profile/view/1901841","19-1901841")</f>
        <v>0</v>
      </c>
      <c r="AD576" t="s">
        <v>3447</v>
      </c>
      <c r="AE576" t="s">
        <v>3462</v>
      </c>
      <c r="AF576" t="s">
        <v>3984</v>
      </c>
      <c r="AH576" t="s">
        <v>4908</v>
      </c>
      <c r="AN576" t="s">
        <v>3414</v>
      </c>
    </row>
    <row r="577" spans="1:41">
      <c r="A577" s="1" t="s">
        <v>613</v>
      </c>
      <c r="B577" t="s">
        <v>2001</v>
      </c>
      <c r="C577" t="s">
        <v>2016</v>
      </c>
      <c r="D577" t="s">
        <v>2092</v>
      </c>
      <c r="E577" t="s">
        <v>2112</v>
      </c>
      <c r="G577" t="s">
        <v>2216</v>
      </c>
      <c r="H577">
        <v>10302</v>
      </c>
      <c r="I577" t="s">
        <v>2229</v>
      </c>
      <c r="J577">
        <v>1</v>
      </c>
      <c r="K577">
        <v>0</v>
      </c>
      <c r="L577" t="s">
        <v>2260</v>
      </c>
      <c r="M577" t="s">
        <v>2677</v>
      </c>
      <c r="P577" t="s">
        <v>2823</v>
      </c>
      <c r="Q577" t="s">
        <v>3255</v>
      </c>
      <c r="R577" t="s">
        <v>3260</v>
      </c>
      <c r="S577" t="s">
        <v>3266</v>
      </c>
      <c r="X577" t="s">
        <v>3354</v>
      </c>
      <c r="Y577" t="s">
        <v>2677</v>
      </c>
      <c r="AB577" t="s">
        <v>3414</v>
      </c>
      <c r="AC577">
        <f>HYPERLINK("https://lsnyc.legalserver.org/matter/dynamic-profile/view/1901856","19-1901856")</f>
        <v>0</v>
      </c>
      <c r="AD577" t="s">
        <v>3447</v>
      </c>
      <c r="AE577" t="s">
        <v>3462</v>
      </c>
      <c r="AF577" t="s">
        <v>3985</v>
      </c>
      <c r="AI577" t="s">
        <v>4909</v>
      </c>
      <c r="AN577" t="s">
        <v>3414</v>
      </c>
    </row>
    <row r="578" spans="1:41">
      <c r="A578" s="1" t="s">
        <v>614</v>
      </c>
      <c r="B578" t="s">
        <v>2000</v>
      </c>
      <c r="C578" t="s">
        <v>1998</v>
      </c>
      <c r="D578" t="s">
        <v>2060</v>
      </c>
      <c r="E578" t="s">
        <v>2112</v>
      </c>
      <c r="G578" t="s">
        <v>2216</v>
      </c>
      <c r="H578">
        <v>10304</v>
      </c>
      <c r="I578" t="s">
        <v>2229</v>
      </c>
      <c r="J578">
        <v>6</v>
      </c>
      <c r="K578">
        <v>3</v>
      </c>
      <c r="L578" t="s">
        <v>2272</v>
      </c>
      <c r="M578" t="s">
        <v>2677</v>
      </c>
      <c r="P578" t="s">
        <v>2823</v>
      </c>
      <c r="Q578" t="s">
        <v>3255</v>
      </c>
      <c r="R578" t="s">
        <v>3260</v>
      </c>
      <c r="S578" t="s">
        <v>3266</v>
      </c>
      <c r="X578" t="s">
        <v>3354</v>
      </c>
      <c r="Y578" t="s">
        <v>2677</v>
      </c>
      <c r="AA578" t="s">
        <v>3406</v>
      </c>
      <c r="AB578" t="s">
        <v>3414</v>
      </c>
      <c r="AC578">
        <f>HYPERLINK("https://lsnyc.legalserver.org/matter/dynamic-profile/view/1901860","19-1901860")</f>
        <v>0</v>
      </c>
      <c r="AD578" t="s">
        <v>3447</v>
      </c>
      <c r="AE578" t="s">
        <v>3462</v>
      </c>
      <c r="AF578" t="s">
        <v>3986</v>
      </c>
      <c r="AH578" t="s">
        <v>4908</v>
      </c>
      <c r="AN578" t="s">
        <v>3414</v>
      </c>
    </row>
    <row r="579" spans="1:41">
      <c r="A579" s="1" t="s">
        <v>615</v>
      </c>
      <c r="B579" t="s">
        <v>2022</v>
      </c>
      <c r="C579" t="s">
        <v>2001</v>
      </c>
      <c r="D579" t="s">
        <v>2078</v>
      </c>
      <c r="E579" t="s">
        <v>2112</v>
      </c>
      <c r="G579" t="s">
        <v>2216</v>
      </c>
      <c r="H579">
        <v>10314</v>
      </c>
      <c r="I579" t="s">
        <v>2229</v>
      </c>
      <c r="J579">
        <v>6</v>
      </c>
      <c r="K579">
        <v>2</v>
      </c>
      <c r="L579" t="s">
        <v>2425</v>
      </c>
      <c r="M579" t="s">
        <v>2677</v>
      </c>
      <c r="P579" t="s">
        <v>2823</v>
      </c>
      <c r="Q579" t="s">
        <v>3255</v>
      </c>
      <c r="R579" t="s">
        <v>3260</v>
      </c>
      <c r="S579" t="s">
        <v>3266</v>
      </c>
      <c r="X579" t="s">
        <v>3354</v>
      </c>
      <c r="Y579" t="s">
        <v>2677</v>
      </c>
      <c r="AA579" t="s">
        <v>3406</v>
      </c>
      <c r="AB579" t="s">
        <v>3414</v>
      </c>
      <c r="AC579">
        <f>HYPERLINK("https://lsnyc.legalserver.org/matter/dynamic-profile/view/1901862","19-1901862")</f>
        <v>0</v>
      </c>
      <c r="AD579" t="s">
        <v>3447</v>
      </c>
      <c r="AE579" t="s">
        <v>3462</v>
      </c>
      <c r="AF579" t="s">
        <v>3987</v>
      </c>
      <c r="AH579" t="s">
        <v>4908</v>
      </c>
      <c r="AI579" t="s">
        <v>4909</v>
      </c>
      <c r="AN579" t="s">
        <v>3414</v>
      </c>
    </row>
    <row r="580" spans="1:41">
      <c r="A580" s="1" t="s">
        <v>616</v>
      </c>
      <c r="B580" t="s">
        <v>2016</v>
      </c>
      <c r="C580" t="s">
        <v>2016</v>
      </c>
      <c r="D580" t="s">
        <v>2057</v>
      </c>
      <c r="E580" t="s">
        <v>2112</v>
      </c>
      <c r="G580" t="s">
        <v>2216</v>
      </c>
      <c r="H580">
        <v>10302</v>
      </c>
      <c r="I580" t="s">
        <v>2229</v>
      </c>
      <c r="J580">
        <v>2</v>
      </c>
      <c r="K580">
        <v>0</v>
      </c>
      <c r="L580" t="s">
        <v>2275</v>
      </c>
      <c r="M580" t="s">
        <v>2677</v>
      </c>
      <c r="P580" t="s">
        <v>2823</v>
      </c>
      <c r="Q580" t="s">
        <v>3255</v>
      </c>
      <c r="R580" t="s">
        <v>3260</v>
      </c>
      <c r="S580" t="s">
        <v>3266</v>
      </c>
      <c r="X580" t="s">
        <v>3354</v>
      </c>
      <c r="Y580" t="s">
        <v>2677</v>
      </c>
      <c r="AA580" t="s">
        <v>3406</v>
      </c>
      <c r="AB580" t="s">
        <v>3414</v>
      </c>
      <c r="AC580">
        <f>HYPERLINK("https://lsnyc.legalserver.org/matter/dynamic-profile/view/1901873","19-1901873")</f>
        <v>0</v>
      </c>
      <c r="AD580" t="s">
        <v>3447</v>
      </c>
      <c r="AE580" t="s">
        <v>3462</v>
      </c>
      <c r="AF580" t="s">
        <v>3988</v>
      </c>
      <c r="AH580" t="s">
        <v>4908</v>
      </c>
      <c r="AI580" t="s">
        <v>4909</v>
      </c>
      <c r="AN580" t="s">
        <v>3414</v>
      </c>
    </row>
    <row r="581" spans="1:41">
      <c r="A581" s="1" t="s">
        <v>617</v>
      </c>
      <c r="B581" t="s">
        <v>1998</v>
      </c>
      <c r="C581" t="s">
        <v>2009</v>
      </c>
      <c r="D581" t="s">
        <v>2101</v>
      </c>
      <c r="E581" t="s">
        <v>2111</v>
      </c>
      <c r="F581" t="s">
        <v>2165</v>
      </c>
      <c r="G581" t="s">
        <v>2212</v>
      </c>
      <c r="H581">
        <v>11419</v>
      </c>
      <c r="J581">
        <v>5</v>
      </c>
      <c r="K581">
        <v>1</v>
      </c>
      <c r="L581" t="s">
        <v>2423</v>
      </c>
      <c r="M581" t="s">
        <v>2677</v>
      </c>
      <c r="P581" t="s">
        <v>2825</v>
      </c>
      <c r="Q581" t="s">
        <v>2113</v>
      </c>
      <c r="R581" t="s">
        <v>3258</v>
      </c>
      <c r="S581" t="s">
        <v>3286</v>
      </c>
      <c r="X581" t="s">
        <v>3354</v>
      </c>
      <c r="Y581" t="s">
        <v>2677</v>
      </c>
      <c r="Z581" t="s">
        <v>3388</v>
      </c>
      <c r="AA581" t="s">
        <v>3406</v>
      </c>
      <c r="AB581" t="s">
        <v>3434</v>
      </c>
      <c r="AC581">
        <f>HYPERLINK("https://lsnyc.legalserver.org/matter/dynamic-profile/view/1901528","19-1901528")</f>
        <v>0</v>
      </c>
      <c r="AD581" t="s">
        <v>3445</v>
      </c>
      <c r="AE581" t="s">
        <v>3452</v>
      </c>
      <c r="AF581" t="s">
        <v>3989</v>
      </c>
      <c r="AG581" t="s">
        <v>3388</v>
      </c>
      <c r="AH581" t="s">
        <v>4904</v>
      </c>
      <c r="AK581" t="s">
        <v>4911</v>
      </c>
      <c r="AL581" t="s">
        <v>2165</v>
      </c>
      <c r="AN581" t="s">
        <v>3434</v>
      </c>
    </row>
    <row r="582" spans="1:41">
      <c r="A582" s="1" t="s">
        <v>618</v>
      </c>
      <c r="B582" t="s">
        <v>2001</v>
      </c>
      <c r="C582" t="s">
        <v>1998</v>
      </c>
      <c r="D582" t="s">
        <v>2026</v>
      </c>
      <c r="E582" t="s">
        <v>2111</v>
      </c>
      <c r="F582" t="s">
        <v>2117</v>
      </c>
      <c r="G582" t="s">
        <v>2213</v>
      </c>
      <c r="H582">
        <v>10457</v>
      </c>
      <c r="I582" t="s">
        <v>2229</v>
      </c>
      <c r="J582">
        <v>3</v>
      </c>
      <c r="K582">
        <v>2</v>
      </c>
      <c r="L582" t="s">
        <v>2260</v>
      </c>
      <c r="M582" t="s">
        <v>2677</v>
      </c>
      <c r="P582" t="s">
        <v>2752</v>
      </c>
      <c r="Q582" t="s">
        <v>3255</v>
      </c>
      <c r="R582" t="s">
        <v>3258</v>
      </c>
      <c r="S582" t="s">
        <v>3262</v>
      </c>
      <c r="T582" t="s">
        <v>3299</v>
      </c>
      <c r="U582" t="s">
        <v>2747</v>
      </c>
      <c r="V582" t="s">
        <v>3353</v>
      </c>
      <c r="X582" t="s">
        <v>3354</v>
      </c>
      <c r="Y582" t="s">
        <v>2678</v>
      </c>
      <c r="Z582" t="s">
        <v>3355</v>
      </c>
      <c r="AA582" t="s">
        <v>3406</v>
      </c>
      <c r="AB582" t="s">
        <v>3410</v>
      </c>
      <c r="AC582">
        <f>HYPERLINK("https://lsnyc.legalserver.org/matter/dynamic-profile/view/1901567","19-1901567")</f>
        <v>0</v>
      </c>
      <c r="AD582" t="s">
        <v>3444</v>
      </c>
      <c r="AE582" t="s">
        <v>3468</v>
      </c>
      <c r="AF582" t="s">
        <v>3990</v>
      </c>
      <c r="AG582" t="s">
        <v>3355</v>
      </c>
      <c r="AH582" t="s">
        <v>4904</v>
      </c>
      <c r="AL582" t="s">
        <v>2117</v>
      </c>
      <c r="AM582" t="s">
        <v>3299</v>
      </c>
      <c r="AN582" t="s">
        <v>3410</v>
      </c>
      <c r="AO582" t="s">
        <v>3353</v>
      </c>
    </row>
    <row r="583" spans="1:41">
      <c r="A583" s="1" t="s">
        <v>619</v>
      </c>
      <c r="B583" t="s">
        <v>2005</v>
      </c>
      <c r="C583" t="s">
        <v>2005</v>
      </c>
      <c r="D583" t="s">
        <v>2080</v>
      </c>
      <c r="E583" t="s">
        <v>2112</v>
      </c>
      <c r="G583" t="s">
        <v>2212</v>
      </c>
      <c r="H583">
        <v>11368</v>
      </c>
      <c r="I583" t="s">
        <v>2229</v>
      </c>
      <c r="J583">
        <v>3</v>
      </c>
      <c r="K583">
        <v>2</v>
      </c>
      <c r="L583" t="s">
        <v>2256</v>
      </c>
      <c r="M583" t="s">
        <v>2677</v>
      </c>
      <c r="P583" t="s">
        <v>2826</v>
      </c>
      <c r="Q583" t="s">
        <v>3255</v>
      </c>
      <c r="R583" t="s">
        <v>3259</v>
      </c>
      <c r="S583" t="s">
        <v>3264</v>
      </c>
      <c r="X583" t="s">
        <v>3354</v>
      </c>
      <c r="Y583" t="s">
        <v>2678</v>
      </c>
      <c r="Z583" t="s">
        <v>3397</v>
      </c>
      <c r="AB583" t="s">
        <v>3412</v>
      </c>
      <c r="AC583">
        <f>HYPERLINK("https://lsnyc.legalserver.org/matter/dynamic-profile/view/1901304","19-1901304")</f>
        <v>0</v>
      </c>
      <c r="AD583" t="s">
        <v>3443</v>
      </c>
      <c r="AE583" t="s">
        <v>3467</v>
      </c>
      <c r="AF583" t="s">
        <v>3991</v>
      </c>
      <c r="AG583" t="s">
        <v>3397</v>
      </c>
      <c r="AI583" t="s">
        <v>4909</v>
      </c>
      <c r="AN583" t="s">
        <v>3412</v>
      </c>
    </row>
    <row r="584" spans="1:41">
      <c r="A584" s="1" t="s">
        <v>620</v>
      </c>
      <c r="B584" t="s">
        <v>2001</v>
      </c>
      <c r="C584" t="s">
        <v>2001</v>
      </c>
      <c r="D584" t="s">
        <v>2048</v>
      </c>
      <c r="E584" t="s">
        <v>2111</v>
      </c>
      <c r="F584" t="s">
        <v>2131</v>
      </c>
      <c r="G584" t="s">
        <v>2211</v>
      </c>
      <c r="H584">
        <v>10032</v>
      </c>
      <c r="I584" t="s">
        <v>2229</v>
      </c>
      <c r="J584">
        <v>1</v>
      </c>
      <c r="K584">
        <v>0</v>
      </c>
      <c r="L584" t="s">
        <v>2260</v>
      </c>
      <c r="M584" t="s">
        <v>2677</v>
      </c>
      <c r="P584" t="s">
        <v>2750</v>
      </c>
      <c r="Q584" t="s">
        <v>2113</v>
      </c>
      <c r="R584" t="s">
        <v>3258</v>
      </c>
      <c r="S584" t="s">
        <v>3262</v>
      </c>
      <c r="T584" t="s">
        <v>3296</v>
      </c>
      <c r="U584" t="s">
        <v>2815</v>
      </c>
      <c r="V584" t="s">
        <v>3352</v>
      </c>
      <c r="X584" t="s">
        <v>3354</v>
      </c>
      <c r="Y584" t="s">
        <v>2678</v>
      </c>
      <c r="Z584" t="s">
        <v>3355</v>
      </c>
      <c r="AA584" t="s">
        <v>3406</v>
      </c>
      <c r="AB584" t="s">
        <v>3410</v>
      </c>
      <c r="AC584">
        <f>HYPERLINK("https://lsnyc.legalserver.org/matter/dynamic-profile/view/1901210","19-1901210")</f>
        <v>0</v>
      </c>
      <c r="AD584" t="s">
        <v>3442</v>
      </c>
      <c r="AE584" t="s">
        <v>3470</v>
      </c>
      <c r="AF584" t="s">
        <v>3992</v>
      </c>
      <c r="AG584" t="s">
        <v>3355</v>
      </c>
      <c r="AH584" t="s">
        <v>4904</v>
      </c>
      <c r="AL584" t="s">
        <v>2131</v>
      </c>
      <c r="AM584" t="s">
        <v>3296</v>
      </c>
      <c r="AN584" t="s">
        <v>3410</v>
      </c>
      <c r="AO584" t="s">
        <v>3352</v>
      </c>
    </row>
    <row r="585" spans="1:41">
      <c r="A585" s="1" t="s">
        <v>621</v>
      </c>
      <c r="B585" t="s">
        <v>2020</v>
      </c>
      <c r="C585" t="s">
        <v>2009</v>
      </c>
      <c r="D585" t="s">
        <v>2034</v>
      </c>
      <c r="E585" t="s">
        <v>2111</v>
      </c>
      <c r="F585" t="s">
        <v>2115</v>
      </c>
      <c r="G585" t="s">
        <v>2214</v>
      </c>
      <c r="H585">
        <v>11214</v>
      </c>
      <c r="I585" t="s">
        <v>2229</v>
      </c>
      <c r="J585">
        <v>1</v>
      </c>
      <c r="K585">
        <v>0</v>
      </c>
      <c r="L585" t="s">
        <v>2260</v>
      </c>
      <c r="M585" t="s">
        <v>2677</v>
      </c>
      <c r="P585" t="s">
        <v>2827</v>
      </c>
      <c r="Q585" t="s">
        <v>2113</v>
      </c>
      <c r="R585" t="s">
        <v>3259</v>
      </c>
      <c r="S585" t="s">
        <v>3267</v>
      </c>
      <c r="X585" t="s">
        <v>3354</v>
      </c>
      <c r="Y585" t="s">
        <v>2678</v>
      </c>
      <c r="Z585" t="s">
        <v>3359</v>
      </c>
      <c r="AA585" t="s">
        <v>3406</v>
      </c>
      <c r="AB585" t="s">
        <v>3415</v>
      </c>
      <c r="AC585">
        <f>HYPERLINK("https://lsnyc.legalserver.org/matter/dynamic-profile/view/1901260","19-1901260")</f>
        <v>0</v>
      </c>
      <c r="AD585" t="s">
        <v>3446</v>
      </c>
      <c r="AE585" t="s">
        <v>3456</v>
      </c>
      <c r="AF585" t="s">
        <v>3993</v>
      </c>
      <c r="AG585" t="s">
        <v>3359</v>
      </c>
      <c r="AH585" t="s">
        <v>4906</v>
      </c>
      <c r="AK585" t="s">
        <v>4911</v>
      </c>
      <c r="AL585" t="s">
        <v>2115</v>
      </c>
      <c r="AN585" t="s">
        <v>3415</v>
      </c>
    </row>
    <row r="586" spans="1:41">
      <c r="A586" s="1" t="s">
        <v>622</v>
      </c>
      <c r="B586" t="s">
        <v>2020</v>
      </c>
      <c r="C586" t="s">
        <v>2009</v>
      </c>
      <c r="D586" t="s">
        <v>2034</v>
      </c>
      <c r="E586" t="s">
        <v>2111</v>
      </c>
      <c r="F586" t="s">
        <v>2115</v>
      </c>
      <c r="G586" t="s">
        <v>2214</v>
      </c>
      <c r="H586">
        <v>11214</v>
      </c>
      <c r="I586" t="s">
        <v>2229</v>
      </c>
      <c r="J586">
        <v>1</v>
      </c>
      <c r="K586">
        <v>0</v>
      </c>
      <c r="L586" t="s">
        <v>2260</v>
      </c>
      <c r="M586" t="s">
        <v>2677</v>
      </c>
      <c r="P586" t="s">
        <v>2827</v>
      </c>
      <c r="Q586" t="s">
        <v>2113</v>
      </c>
      <c r="R586" t="s">
        <v>3259</v>
      </c>
      <c r="S586" t="s">
        <v>3267</v>
      </c>
      <c r="X586" t="s">
        <v>3354</v>
      </c>
      <c r="Y586" t="s">
        <v>2678</v>
      </c>
      <c r="Z586" t="s">
        <v>3367</v>
      </c>
      <c r="AA586" t="s">
        <v>3406</v>
      </c>
      <c r="AB586" t="s">
        <v>3415</v>
      </c>
      <c r="AC586">
        <f>HYPERLINK("https://lsnyc.legalserver.org/matter/dynamic-profile/view/1901263","19-1901263")</f>
        <v>0</v>
      </c>
      <c r="AD586" t="s">
        <v>3446</v>
      </c>
      <c r="AE586" t="s">
        <v>3456</v>
      </c>
      <c r="AF586" t="s">
        <v>3993</v>
      </c>
      <c r="AG586" t="s">
        <v>3367</v>
      </c>
      <c r="AH586" t="s">
        <v>4906</v>
      </c>
      <c r="AK586" t="s">
        <v>4911</v>
      </c>
      <c r="AL586" t="s">
        <v>2115</v>
      </c>
      <c r="AN586" t="s">
        <v>3415</v>
      </c>
    </row>
    <row r="587" spans="1:41">
      <c r="A587" s="1" t="s">
        <v>623</v>
      </c>
      <c r="B587" t="s">
        <v>2001</v>
      </c>
      <c r="C587" t="s">
        <v>2009</v>
      </c>
      <c r="D587" t="s">
        <v>2048</v>
      </c>
      <c r="E587" t="s">
        <v>2112</v>
      </c>
      <c r="F587" t="s">
        <v>2116</v>
      </c>
      <c r="G587" t="s">
        <v>2212</v>
      </c>
      <c r="H587">
        <v>11102</v>
      </c>
      <c r="I587" t="s">
        <v>2229</v>
      </c>
      <c r="J587">
        <v>4</v>
      </c>
      <c r="K587">
        <v>3</v>
      </c>
      <c r="L587" t="s">
        <v>2256</v>
      </c>
      <c r="M587" t="s">
        <v>2677</v>
      </c>
      <c r="P587" t="s">
        <v>2781</v>
      </c>
      <c r="Q587" t="s">
        <v>2113</v>
      </c>
      <c r="R587" t="s">
        <v>3259</v>
      </c>
      <c r="S587" t="s">
        <v>3267</v>
      </c>
      <c r="V587" t="s">
        <v>3352</v>
      </c>
      <c r="X587" t="s">
        <v>3354</v>
      </c>
      <c r="Y587" t="s">
        <v>2678</v>
      </c>
      <c r="Z587" t="s">
        <v>3359</v>
      </c>
      <c r="AA587" t="s">
        <v>3406</v>
      </c>
      <c r="AB587" t="s">
        <v>3415</v>
      </c>
      <c r="AC587">
        <f>HYPERLINK("https://lsnyc.legalserver.org/matter/dynamic-profile/view/1902415","19-1902415")</f>
        <v>0</v>
      </c>
      <c r="AD587" t="s">
        <v>3443</v>
      </c>
      <c r="AE587" t="s">
        <v>3450</v>
      </c>
      <c r="AF587" t="s">
        <v>3994</v>
      </c>
      <c r="AG587" t="s">
        <v>3359</v>
      </c>
      <c r="AH587" t="s">
        <v>4906</v>
      </c>
      <c r="AL587" t="s">
        <v>2116</v>
      </c>
      <c r="AN587" t="s">
        <v>3415</v>
      </c>
      <c r="AO587" t="s">
        <v>3352</v>
      </c>
    </row>
    <row r="588" spans="1:41">
      <c r="A588" s="1" t="s">
        <v>624</v>
      </c>
      <c r="B588" t="s">
        <v>2002</v>
      </c>
      <c r="C588" t="s">
        <v>2016</v>
      </c>
      <c r="D588" t="s">
        <v>2069</v>
      </c>
      <c r="E588" t="s">
        <v>2112</v>
      </c>
      <c r="F588" t="s">
        <v>2145</v>
      </c>
      <c r="G588" t="s">
        <v>2213</v>
      </c>
      <c r="H588">
        <v>10460</v>
      </c>
      <c r="I588" t="s">
        <v>2230</v>
      </c>
      <c r="J588">
        <v>1</v>
      </c>
      <c r="K588">
        <v>0</v>
      </c>
      <c r="L588" t="s">
        <v>2260</v>
      </c>
      <c r="M588" t="s">
        <v>2677</v>
      </c>
      <c r="P588" t="s">
        <v>2828</v>
      </c>
      <c r="Q588" t="s">
        <v>3255</v>
      </c>
      <c r="R588" t="s">
        <v>3260</v>
      </c>
      <c r="S588" t="s">
        <v>3266</v>
      </c>
      <c r="X588" t="s">
        <v>3354</v>
      </c>
      <c r="Y588" t="s">
        <v>2678</v>
      </c>
      <c r="Z588" t="s">
        <v>3387</v>
      </c>
      <c r="AA588" t="s">
        <v>3406</v>
      </c>
      <c r="AB588" t="s">
        <v>3414</v>
      </c>
      <c r="AC588">
        <f>HYPERLINK("https://lsnyc.legalserver.org/matter/dynamic-profile/view/1901151","19-1901151")</f>
        <v>0</v>
      </c>
      <c r="AD588" t="s">
        <v>3444</v>
      </c>
      <c r="AE588" t="s">
        <v>3466</v>
      </c>
      <c r="AF588" t="s">
        <v>3632</v>
      </c>
      <c r="AG588" t="s">
        <v>3387</v>
      </c>
      <c r="AH588" t="s">
        <v>4905</v>
      </c>
      <c r="AL588" t="s">
        <v>2145</v>
      </c>
      <c r="AN588" t="s">
        <v>3414</v>
      </c>
    </row>
    <row r="589" spans="1:41">
      <c r="A589" s="1" t="s">
        <v>625</v>
      </c>
      <c r="B589" t="s">
        <v>1998</v>
      </c>
      <c r="C589" t="s">
        <v>2003</v>
      </c>
      <c r="D589" t="s">
        <v>2094</v>
      </c>
      <c r="E589" t="s">
        <v>2112</v>
      </c>
      <c r="F589" t="s">
        <v>2114</v>
      </c>
      <c r="G589" t="s">
        <v>2212</v>
      </c>
      <c r="H589">
        <v>11418</v>
      </c>
      <c r="I589" t="s">
        <v>2229</v>
      </c>
      <c r="J589">
        <v>2</v>
      </c>
      <c r="K589">
        <v>1</v>
      </c>
      <c r="L589" t="s">
        <v>2260</v>
      </c>
      <c r="M589" t="s">
        <v>2677</v>
      </c>
      <c r="P589" t="s">
        <v>2812</v>
      </c>
      <c r="Q589" t="s">
        <v>3255</v>
      </c>
      <c r="R589" t="s">
        <v>3259</v>
      </c>
      <c r="S589" t="s">
        <v>3267</v>
      </c>
      <c r="X589" t="s">
        <v>3354</v>
      </c>
      <c r="Y589" t="s">
        <v>2678</v>
      </c>
      <c r="Z589" t="s">
        <v>3359</v>
      </c>
      <c r="AA589" t="s">
        <v>3406</v>
      </c>
      <c r="AB589" t="s">
        <v>3415</v>
      </c>
      <c r="AC589">
        <f>HYPERLINK("https://lsnyc.legalserver.org/matter/dynamic-profile/view/1901170","19-1901170")</f>
        <v>0</v>
      </c>
      <c r="AD589" t="s">
        <v>3443</v>
      </c>
      <c r="AE589" t="s">
        <v>3457</v>
      </c>
      <c r="AF589" t="s">
        <v>3636</v>
      </c>
      <c r="AG589" t="s">
        <v>3359</v>
      </c>
      <c r="AH589" t="s">
        <v>4904</v>
      </c>
      <c r="AL589" t="s">
        <v>2114</v>
      </c>
      <c r="AN589" t="s">
        <v>3415</v>
      </c>
    </row>
    <row r="590" spans="1:41">
      <c r="A590" s="1" t="s">
        <v>626</v>
      </c>
      <c r="B590" t="s">
        <v>2000</v>
      </c>
      <c r="C590" t="s">
        <v>2002</v>
      </c>
      <c r="D590" t="s">
        <v>2099</v>
      </c>
      <c r="E590" t="s">
        <v>2111</v>
      </c>
      <c r="F590" t="s">
        <v>2123</v>
      </c>
      <c r="G590" t="s">
        <v>2214</v>
      </c>
      <c r="H590">
        <v>11208</v>
      </c>
      <c r="I590" t="s">
        <v>2229</v>
      </c>
      <c r="J590">
        <v>5</v>
      </c>
      <c r="K590">
        <v>1</v>
      </c>
      <c r="L590" t="s">
        <v>2426</v>
      </c>
      <c r="M590" t="s">
        <v>2677</v>
      </c>
      <c r="P590" t="s">
        <v>2829</v>
      </c>
      <c r="Q590" t="s">
        <v>2113</v>
      </c>
      <c r="R590" t="s">
        <v>3258</v>
      </c>
      <c r="S590" t="s">
        <v>3286</v>
      </c>
      <c r="X590" t="s">
        <v>3354</v>
      </c>
      <c r="Y590" t="s">
        <v>2677</v>
      </c>
      <c r="Z590" t="s">
        <v>3388</v>
      </c>
      <c r="AA590" t="s">
        <v>3406</v>
      </c>
      <c r="AB590" t="s">
        <v>3434</v>
      </c>
      <c r="AC590">
        <f>HYPERLINK("https://lsnyc.legalserver.org/matter/dynamic-profile/view/1900944","19-1900944")</f>
        <v>0</v>
      </c>
      <c r="AD590" t="s">
        <v>3445</v>
      </c>
      <c r="AE590" t="s">
        <v>3452</v>
      </c>
      <c r="AF590" t="s">
        <v>3995</v>
      </c>
      <c r="AG590" t="s">
        <v>3388</v>
      </c>
      <c r="AH590" t="s">
        <v>4904</v>
      </c>
      <c r="AK590" t="s">
        <v>4911</v>
      </c>
      <c r="AL590" t="s">
        <v>2123</v>
      </c>
      <c r="AN590" t="s">
        <v>3434</v>
      </c>
    </row>
    <row r="591" spans="1:41">
      <c r="A591" s="1" t="s">
        <v>627</v>
      </c>
      <c r="B591" t="s">
        <v>2000</v>
      </c>
      <c r="C591" t="s">
        <v>2012</v>
      </c>
      <c r="D591" t="s">
        <v>2065</v>
      </c>
      <c r="E591" t="s">
        <v>2111</v>
      </c>
      <c r="F591" t="s">
        <v>2117</v>
      </c>
      <c r="G591" t="s">
        <v>2213</v>
      </c>
      <c r="H591">
        <v>10453</v>
      </c>
      <c r="I591" t="s">
        <v>2229</v>
      </c>
      <c r="J591">
        <v>3</v>
      </c>
      <c r="K591">
        <v>2</v>
      </c>
      <c r="L591" t="s">
        <v>2260</v>
      </c>
      <c r="M591" t="s">
        <v>2677</v>
      </c>
      <c r="P591" t="s">
        <v>2829</v>
      </c>
      <c r="Q591" t="s">
        <v>3255</v>
      </c>
      <c r="R591" t="s">
        <v>3259</v>
      </c>
      <c r="S591" t="s">
        <v>3270</v>
      </c>
      <c r="X591" t="s">
        <v>3354</v>
      </c>
      <c r="Y591" t="s">
        <v>2678</v>
      </c>
      <c r="Z591" t="s">
        <v>3389</v>
      </c>
      <c r="AA591" t="s">
        <v>3406</v>
      </c>
      <c r="AB591" t="s">
        <v>3418</v>
      </c>
      <c r="AC591">
        <f>HYPERLINK("https://lsnyc.legalserver.org/matter/dynamic-profile/view/1901053","19-1901053")</f>
        <v>0</v>
      </c>
      <c r="AD591" t="s">
        <v>3444</v>
      </c>
      <c r="AE591" t="s">
        <v>3466</v>
      </c>
      <c r="AF591" t="s">
        <v>3699</v>
      </c>
      <c r="AG591" t="s">
        <v>3389</v>
      </c>
      <c r="AH591" t="s">
        <v>4905</v>
      </c>
      <c r="AK591" t="s">
        <v>4911</v>
      </c>
      <c r="AL591" t="s">
        <v>2117</v>
      </c>
      <c r="AN591" t="s">
        <v>3418</v>
      </c>
    </row>
    <row r="592" spans="1:41">
      <c r="A592" s="1" t="s">
        <v>628</v>
      </c>
      <c r="B592" t="s">
        <v>1998</v>
      </c>
      <c r="C592" t="s">
        <v>1998</v>
      </c>
      <c r="D592" t="s">
        <v>2068</v>
      </c>
      <c r="E592" t="s">
        <v>2111</v>
      </c>
      <c r="F592" t="s">
        <v>2131</v>
      </c>
      <c r="G592" t="s">
        <v>2211</v>
      </c>
      <c r="H592">
        <v>10039</v>
      </c>
      <c r="I592" t="s">
        <v>2229</v>
      </c>
      <c r="J592">
        <v>2</v>
      </c>
      <c r="K592">
        <v>0</v>
      </c>
      <c r="L592" t="s">
        <v>2427</v>
      </c>
      <c r="M592" t="s">
        <v>2678</v>
      </c>
      <c r="P592" t="s">
        <v>2824</v>
      </c>
      <c r="Q592" t="s">
        <v>2113</v>
      </c>
      <c r="R592" t="s">
        <v>3258</v>
      </c>
      <c r="S592" t="s">
        <v>3262</v>
      </c>
      <c r="X592" t="s">
        <v>3354</v>
      </c>
      <c r="Y592" t="s">
        <v>2678</v>
      </c>
      <c r="Z592" t="s">
        <v>3355</v>
      </c>
      <c r="AA592" t="s">
        <v>3406</v>
      </c>
      <c r="AB592" t="s">
        <v>3410</v>
      </c>
      <c r="AC592">
        <f>HYPERLINK("https://lsnyc.legalserver.org/matter/dynamic-profile/view/1900720","19-1900720")</f>
        <v>0</v>
      </c>
      <c r="AD592" t="s">
        <v>3443</v>
      </c>
      <c r="AE592" t="s">
        <v>3450</v>
      </c>
      <c r="AF592" t="s">
        <v>3996</v>
      </c>
      <c r="AG592" t="s">
        <v>3355</v>
      </c>
      <c r="AH592" t="s">
        <v>4904</v>
      </c>
      <c r="AJ592" t="s">
        <v>4910</v>
      </c>
      <c r="AL592" t="s">
        <v>2131</v>
      </c>
      <c r="AN592" t="s">
        <v>3410</v>
      </c>
    </row>
    <row r="593" spans="1:40">
      <c r="A593" s="1" t="s">
        <v>629</v>
      </c>
      <c r="B593" t="s">
        <v>2001</v>
      </c>
      <c r="C593" t="s">
        <v>2002</v>
      </c>
      <c r="D593" t="s">
        <v>2037</v>
      </c>
      <c r="E593" t="s">
        <v>2112</v>
      </c>
      <c r="F593" t="s">
        <v>2115</v>
      </c>
      <c r="G593" t="s">
        <v>2212</v>
      </c>
      <c r="H593">
        <v>11368</v>
      </c>
      <c r="I593" t="s">
        <v>2229</v>
      </c>
      <c r="J593">
        <v>3</v>
      </c>
      <c r="K593">
        <v>2</v>
      </c>
      <c r="L593" t="s">
        <v>2260</v>
      </c>
      <c r="M593" t="s">
        <v>2677</v>
      </c>
      <c r="P593" t="s">
        <v>2767</v>
      </c>
      <c r="Q593" t="s">
        <v>2113</v>
      </c>
      <c r="R593" t="s">
        <v>3259</v>
      </c>
      <c r="S593" t="s">
        <v>3267</v>
      </c>
      <c r="X593" t="s">
        <v>3354</v>
      </c>
      <c r="Y593" t="s">
        <v>2678</v>
      </c>
      <c r="Z593" t="s">
        <v>3380</v>
      </c>
      <c r="AA593" t="s">
        <v>3406</v>
      </c>
      <c r="AB593" t="s">
        <v>3415</v>
      </c>
      <c r="AC593">
        <f>HYPERLINK("https://lsnyc.legalserver.org/matter/dynamic-profile/view/1900743","19-1900743")</f>
        <v>0</v>
      </c>
      <c r="AD593" t="s">
        <v>3443</v>
      </c>
      <c r="AE593" t="s">
        <v>3472</v>
      </c>
      <c r="AF593" t="s">
        <v>3881</v>
      </c>
      <c r="AG593" t="s">
        <v>3380</v>
      </c>
      <c r="AH593" t="s">
        <v>4906</v>
      </c>
      <c r="AL593" t="s">
        <v>2115</v>
      </c>
      <c r="AN593" t="s">
        <v>3415</v>
      </c>
    </row>
    <row r="594" spans="1:40">
      <c r="A594" s="1" t="s">
        <v>630</v>
      </c>
      <c r="B594" t="s">
        <v>1998</v>
      </c>
      <c r="C594" t="s">
        <v>1998</v>
      </c>
      <c r="D594" t="s">
        <v>2072</v>
      </c>
      <c r="E594" t="s">
        <v>2112</v>
      </c>
      <c r="F594" t="s">
        <v>2114</v>
      </c>
      <c r="G594" t="s">
        <v>2212</v>
      </c>
      <c r="H594">
        <v>11418</v>
      </c>
      <c r="I594" t="s">
        <v>2229</v>
      </c>
      <c r="J594">
        <v>2</v>
      </c>
      <c r="K594">
        <v>1</v>
      </c>
      <c r="L594" t="s">
        <v>2285</v>
      </c>
      <c r="M594" t="s">
        <v>2677</v>
      </c>
      <c r="P594" t="s">
        <v>2786</v>
      </c>
      <c r="Q594" t="s">
        <v>2113</v>
      </c>
      <c r="R594" t="s">
        <v>3259</v>
      </c>
      <c r="S594" t="s">
        <v>3267</v>
      </c>
      <c r="X594" t="s">
        <v>3354</v>
      </c>
      <c r="Y594" t="s">
        <v>2678</v>
      </c>
      <c r="Z594" t="s">
        <v>3359</v>
      </c>
      <c r="AA594" t="s">
        <v>3406</v>
      </c>
      <c r="AB594" t="s">
        <v>3415</v>
      </c>
      <c r="AC594">
        <f>HYPERLINK("https://lsnyc.legalserver.org/matter/dynamic-profile/view/1900766","19-1900766")</f>
        <v>0</v>
      </c>
      <c r="AD594" t="s">
        <v>3443</v>
      </c>
      <c r="AE594" t="s">
        <v>3472</v>
      </c>
      <c r="AF594" t="s">
        <v>3997</v>
      </c>
      <c r="AG594" t="s">
        <v>3359</v>
      </c>
      <c r="AH594" t="s">
        <v>4906</v>
      </c>
      <c r="AL594" t="s">
        <v>2114</v>
      </c>
      <c r="AN594" t="s">
        <v>3415</v>
      </c>
    </row>
    <row r="595" spans="1:40">
      <c r="A595" s="1" t="s">
        <v>631</v>
      </c>
      <c r="B595" t="s">
        <v>1998</v>
      </c>
      <c r="C595" t="s">
        <v>1998</v>
      </c>
      <c r="D595" t="s">
        <v>2054</v>
      </c>
      <c r="E595" t="s">
        <v>2112</v>
      </c>
      <c r="F595" t="s">
        <v>2114</v>
      </c>
      <c r="G595" t="s">
        <v>2212</v>
      </c>
      <c r="H595">
        <v>11418</v>
      </c>
      <c r="I595" t="s">
        <v>2229</v>
      </c>
      <c r="J595">
        <v>2</v>
      </c>
      <c r="K595">
        <v>1</v>
      </c>
      <c r="L595" t="s">
        <v>2260</v>
      </c>
      <c r="M595" t="s">
        <v>2677</v>
      </c>
      <c r="P595" t="s">
        <v>2830</v>
      </c>
      <c r="Q595" t="s">
        <v>2113</v>
      </c>
      <c r="R595" t="s">
        <v>3259</v>
      </c>
      <c r="S595" t="s">
        <v>3267</v>
      </c>
      <c r="X595" t="s">
        <v>3354</v>
      </c>
      <c r="Y595" t="s">
        <v>2678</v>
      </c>
      <c r="Z595" t="s">
        <v>3359</v>
      </c>
      <c r="AA595" t="s">
        <v>3406</v>
      </c>
      <c r="AB595" t="s">
        <v>3415</v>
      </c>
      <c r="AC595">
        <f>HYPERLINK("https://lsnyc.legalserver.org/matter/dynamic-profile/view/1900767","19-1900767")</f>
        <v>0</v>
      </c>
      <c r="AD595" t="s">
        <v>3443</v>
      </c>
      <c r="AE595" t="s">
        <v>3472</v>
      </c>
      <c r="AF595" t="s">
        <v>3998</v>
      </c>
      <c r="AG595" t="s">
        <v>3359</v>
      </c>
      <c r="AH595" t="s">
        <v>4906</v>
      </c>
      <c r="AK595" t="s">
        <v>4911</v>
      </c>
      <c r="AL595" t="s">
        <v>2114</v>
      </c>
      <c r="AN595" t="s">
        <v>3415</v>
      </c>
    </row>
    <row r="596" spans="1:40">
      <c r="A596" s="1" t="s">
        <v>632</v>
      </c>
      <c r="B596" t="s">
        <v>1998</v>
      </c>
      <c r="C596" t="s">
        <v>2012</v>
      </c>
      <c r="D596" t="s">
        <v>2067</v>
      </c>
      <c r="E596" t="s">
        <v>2111</v>
      </c>
      <c r="F596" t="s">
        <v>2115</v>
      </c>
      <c r="G596" t="s">
        <v>2212</v>
      </c>
      <c r="H596">
        <v>11435</v>
      </c>
      <c r="I596" t="s">
        <v>2229</v>
      </c>
      <c r="J596">
        <v>2</v>
      </c>
      <c r="K596">
        <v>1</v>
      </c>
      <c r="L596" t="s">
        <v>2260</v>
      </c>
      <c r="M596" t="s">
        <v>2677</v>
      </c>
      <c r="P596" t="s">
        <v>2801</v>
      </c>
      <c r="Q596" t="s">
        <v>2113</v>
      </c>
      <c r="R596" t="s">
        <v>3259</v>
      </c>
      <c r="S596" t="s">
        <v>3272</v>
      </c>
      <c r="X596" t="s">
        <v>3354</v>
      </c>
      <c r="Y596" t="s">
        <v>2678</v>
      </c>
      <c r="Z596" t="s">
        <v>3364</v>
      </c>
      <c r="AA596" t="s">
        <v>3406</v>
      </c>
      <c r="AB596" t="s">
        <v>3420</v>
      </c>
      <c r="AC596">
        <f>HYPERLINK("https://lsnyc.legalserver.org/matter/dynamic-profile/view/1900768","19-1900768")</f>
        <v>0</v>
      </c>
      <c r="AD596" t="s">
        <v>3443</v>
      </c>
      <c r="AE596" t="s">
        <v>3457</v>
      </c>
      <c r="AF596" t="s">
        <v>3999</v>
      </c>
      <c r="AG596" t="s">
        <v>3364</v>
      </c>
      <c r="AH596" t="s">
        <v>4904</v>
      </c>
      <c r="AL596" t="s">
        <v>2115</v>
      </c>
      <c r="AN596" t="s">
        <v>3420</v>
      </c>
    </row>
    <row r="597" spans="1:40">
      <c r="A597" s="1" t="s">
        <v>633</v>
      </c>
      <c r="B597" t="s">
        <v>2000</v>
      </c>
      <c r="C597" t="s">
        <v>2001</v>
      </c>
      <c r="D597" t="s">
        <v>2027</v>
      </c>
      <c r="E597" t="s">
        <v>2111</v>
      </c>
      <c r="F597" t="s">
        <v>2117</v>
      </c>
      <c r="G597" t="s">
        <v>2212</v>
      </c>
      <c r="H597">
        <v>11433</v>
      </c>
      <c r="I597" t="s">
        <v>2229</v>
      </c>
      <c r="J597">
        <v>3</v>
      </c>
      <c r="K597">
        <v>2</v>
      </c>
      <c r="L597" t="s">
        <v>2260</v>
      </c>
      <c r="M597" t="s">
        <v>2677</v>
      </c>
      <c r="P597" t="s">
        <v>2791</v>
      </c>
      <c r="Q597" t="s">
        <v>2113</v>
      </c>
      <c r="R597" t="s">
        <v>3259</v>
      </c>
      <c r="S597" t="s">
        <v>3272</v>
      </c>
      <c r="X597" t="s">
        <v>3354</v>
      </c>
      <c r="Y597" t="s">
        <v>2678</v>
      </c>
      <c r="Z597" t="s">
        <v>3364</v>
      </c>
      <c r="AA597" t="s">
        <v>3406</v>
      </c>
      <c r="AB597" t="s">
        <v>3420</v>
      </c>
      <c r="AC597">
        <f>HYPERLINK("https://lsnyc.legalserver.org/matter/dynamic-profile/view/1900770","19-1900770")</f>
        <v>0</v>
      </c>
      <c r="AD597" t="s">
        <v>3443</v>
      </c>
      <c r="AE597" t="s">
        <v>3457</v>
      </c>
      <c r="AF597" t="s">
        <v>4000</v>
      </c>
      <c r="AG597" t="s">
        <v>3364</v>
      </c>
      <c r="AH597" t="s">
        <v>4904</v>
      </c>
      <c r="AL597" t="s">
        <v>2117</v>
      </c>
      <c r="AN597" t="s">
        <v>3420</v>
      </c>
    </row>
    <row r="598" spans="1:40">
      <c r="A598" s="1" t="s">
        <v>634</v>
      </c>
      <c r="B598" t="s">
        <v>2018</v>
      </c>
      <c r="C598" t="s">
        <v>2002</v>
      </c>
      <c r="D598" t="s">
        <v>2036</v>
      </c>
      <c r="E598" t="s">
        <v>2111</v>
      </c>
      <c r="F598" t="s">
        <v>2116</v>
      </c>
      <c r="G598" t="s">
        <v>2212</v>
      </c>
      <c r="H598">
        <v>11368</v>
      </c>
      <c r="J598">
        <v>6</v>
      </c>
      <c r="K598">
        <v>5</v>
      </c>
      <c r="L598" t="s">
        <v>2428</v>
      </c>
      <c r="M598" t="s">
        <v>2677</v>
      </c>
      <c r="P598" t="s">
        <v>2831</v>
      </c>
      <c r="Q598" t="s">
        <v>2113</v>
      </c>
      <c r="R598" t="s">
        <v>3259</v>
      </c>
      <c r="S598" t="s">
        <v>3264</v>
      </c>
      <c r="X598" t="s">
        <v>3354</v>
      </c>
      <c r="Y598" t="s">
        <v>2677</v>
      </c>
      <c r="Z598" t="s">
        <v>3397</v>
      </c>
      <c r="AA598" t="s">
        <v>3406</v>
      </c>
      <c r="AB598" t="s">
        <v>3412</v>
      </c>
      <c r="AC598">
        <f>HYPERLINK("https://lsnyc.legalserver.org/matter/dynamic-profile/view/1900535","19-1900535")</f>
        <v>0</v>
      </c>
      <c r="AD598" t="s">
        <v>3445</v>
      </c>
      <c r="AE598" t="s">
        <v>3455</v>
      </c>
      <c r="AF598" t="s">
        <v>4001</v>
      </c>
      <c r="AG598" t="s">
        <v>3397</v>
      </c>
      <c r="AH598" t="s">
        <v>4904</v>
      </c>
      <c r="AK598" t="s">
        <v>4911</v>
      </c>
      <c r="AL598" t="s">
        <v>2116</v>
      </c>
      <c r="AN598" t="s">
        <v>3412</v>
      </c>
    </row>
    <row r="599" spans="1:40">
      <c r="A599" s="1" t="s">
        <v>635</v>
      </c>
      <c r="B599" t="s">
        <v>2018</v>
      </c>
      <c r="C599" t="s">
        <v>1998</v>
      </c>
      <c r="D599" t="s">
        <v>2067</v>
      </c>
      <c r="E599" t="s">
        <v>2111</v>
      </c>
      <c r="F599" t="s">
        <v>2116</v>
      </c>
      <c r="G599" t="s">
        <v>2212</v>
      </c>
      <c r="H599">
        <v>11368</v>
      </c>
      <c r="J599">
        <v>6</v>
      </c>
      <c r="K599">
        <v>5</v>
      </c>
      <c r="L599" t="s">
        <v>2428</v>
      </c>
      <c r="M599" t="s">
        <v>2677</v>
      </c>
      <c r="P599" t="s">
        <v>2831</v>
      </c>
      <c r="Q599" t="s">
        <v>2113</v>
      </c>
      <c r="R599" t="s">
        <v>3259</v>
      </c>
      <c r="S599" t="s">
        <v>3264</v>
      </c>
      <c r="X599" t="s">
        <v>3354</v>
      </c>
      <c r="Y599" t="s">
        <v>2677</v>
      </c>
      <c r="Z599" t="s">
        <v>3397</v>
      </c>
      <c r="AA599" t="s">
        <v>3406</v>
      </c>
      <c r="AB599" t="s">
        <v>3412</v>
      </c>
      <c r="AC599">
        <f>HYPERLINK("https://lsnyc.legalserver.org/matter/dynamic-profile/view/1900539","19-1900539")</f>
        <v>0</v>
      </c>
      <c r="AD599" t="s">
        <v>3445</v>
      </c>
      <c r="AE599" t="s">
        <v>3455</v>
      </c>
      <c r="AF599" t="s">
        <v>4002</v>
      </c>
      <c r="AG599" t="s">
        <v>3397</v>
      </c>
      <c r="AH599" t="s">
        <v>4904</v>
      </c>
      <c r="AK599" t="s">
        <v>4911</v>
      </c>
      <c r="AL599" t="s">
        <v>2116</v>
      </c>
      <c r="AN599" t="s">
        <v>3412</v>
      </c>
    </row>
    <row r="600" spans="1:40">
      <c r="A600" s="1" t="s">
        <v>636</v>
      </c>
      <c r="B600" t="s">
        <v>2018</v>
      </c>
      <c r="C600" t="s">
        <v>2002</v>
      </c>
      <c r="D600" t="s">
        <v>2036</v>
      </c>
      <c r="E600" t="s">
        <v>2111</v>
      </c>
      <c r="F600" t="s">
        <v>2116</v>
      </c>
      <c r="G600" t="s">
        <v>2212</v>
      </c>
      <c r="H600">
        <v>11368</v>
      </c>
      <c r="J600">
        <v>6</v>
      </c>
      <c r="K600">
        <v>5</v>
      </c>
      <c r="L600" t="s">
        <v>2428</v>
      </c>
      <c r="M600" t="s">
        <v>2677</v>
      </c>
      <c r="P600" t="s">
        <v>2831</v>
      </c>
      <c r="Q600" t="s">
        <v>2113</v>
      </c>
      <c r="R600" t="s">
        <v>3258</v>
      </c>
      <c r="S600" t="s">
        <v>3265</v>
      </c>
      <c r="X600" t="s">
        <v>3354</v>
      </c>
      <c r="Y600" t="s">
        <v>2677</v>
      </c>
      <c r="Z600" t="s">
        <v>3358</v>
      </c>
      <c r="AA600" t="s">
        <v>3406</v>
      </c>
      <c r="AB600" t="s">
        <v>3413</v>
      </c>
      <c r="AC600">
        <f>HYPERLINK("https://lsnyc.legalserver.org/matter/dynamic-profile/view/1900544","19-1900544")</f>
        <v>0</v>
      </c>
      <c r="AD600" t="s">
        <v>3445</v>
      </c>
      <c r="AE600" t="s">
        <v>3455</v>
      </c>
      <c r="AF600" t="s">
        <v>4001</v>
      </c>
      <c r="AG600" t="s">
        <v>3358</v>
      </c>
      <c r="AH600" t="s">
        <v>4904</v>
      </c>
      <c r="AK600" t="s">
        <v>4911</v>
      </c>
      <c r="AL600" t="s">
        <v>2116</v>
      </c>
      <c r="AN600" t="s">
        <v>3413</v>
      </c>
    </row>
    <row r="601" spans="1:40">
      <c r="A601" s="1" t="s">
        <v>637</v>
      </c>
      <c r="B601" t="s">
        <v>2018</v>
      </c>
      <c r="C601" t="s">
        <v>1998</v>
      </c>
      <c r="D601" t="s">
        <v>2067</v>
      </c>
      <c r="E601" t="s">
        <v>2111</v>
      </c>
      <c r="F601" t="s">
        <v>2116</v>
      </c>
      <c r="G601" t="s">
        <v>2212</v>
      </c>
      <c r="H601">
        <v>11368</v>
      </c>
      <c r="J601">
        <v>6</v>
      </c>
      <c r="K601">
        <v>5</v>
      </c>
      <c r="L601" t="s">
        <v>2428</v>
      </c>
      <c r="M601" t="s">
        <v>2677</v>
      </c>
      <c r="P601" t="s">
        <v>2831</v>
      </c>
      <c r="Q601" t="s">
        <v>2113</v>
      </c>
      <c r="R601" t="s">
        <v>3258</v>
      </c>
      <c r="S601" t="s">
        <v>3265</v>
      </c>
      <c r="X601" t="s">
        <v>3354</v>
      </c>
      <c r="Y601" t="s">
        <v>2677</v>
      </c>
      <c r="Z601" t="s">
        <v>3358</v>
      </c>
      <c r="AA601" t="s">
        <v>3406</v>
      </c>
      <c r="AB601" t="s">
        <v>3413</v>
      </c>
      <c r="AC601">
        <f>HYPERLINK("https://lsnyc.legalserver.org/matter/dynamic-profile/view/1900555","19-1900555")</f>
        <v>0</v>
      </c>
      <c r="AD601" t="s">
        <v>3445</v>
      </c>
      <c r="AE601" t="s">
        <v>3455</v>
      </c>
      <c r="AF601" t="s">
        <v>4002</v>
      </c>
      <c r="AG601" t="s">
        <v>3358</v>
      </c>
      <c r="AH601" t="s">
        <v>4904</v>
      </c>
      <c r="AK601" t="s">
        <v>4911</v>
      </c>
      <c r="AL601" t="s">
        <v>2116</v>
      </c>
      <c r="AN601" t="s">
        <v>3413</v>
      </c>
    </row>
    <row r="602" spans="1:40">
      <c r="A602" s="1" t="s">
        <v>638</v>
      </c>
      <c r="B602" t="s">
        <v>2018</v>
      </c>
      <c r="C602" t="s">
        <v>2009</v>
      </c>
      <c r="D602" t="s">
        <v>2060</v>
      </c>
      <c r="E602" t="s">
        <v>2112</v>
      </c>
      <c r="F602" t="s">
        <v>2116</v>
      </c>
      <c r="G602" t="s">
        <v>2212</v>
      </c>
      <c r="H602">
        <v>11368</v>
      </c>
      <c r="I602" t="s">
        <v>2229</v>
      </c>
      <c r="J602">
        <v>6</v>
      </c>
      <c r="K602">
        <v>5</v>
      </c>
      <c r="L602" t="s">
        <v>2428</v>
      </c>
      <c r="M602" t="s">
        <v>2677</v>
      </c>
      <c r="P602" t="s">
        <v>2831</v>
      </c>
      <c r="Q602" t="s">
        <v>2113</v>
      </c>
      <c r="R602" t="s">
        <v>3258</v>
      </c>
      <c r="S602" t="s">
        <v>3286</v>
      </c>
      <c r="X602" t="s">
        <v>3354</v>
      </c>
      <c r="Y602" t="s">
        <v>2677</v>
      </c>
      <c r="Z602" t="s">
        <v>3388</v>
      </c>
      <c r="AA602" t="s">
        <v>3406</v>
      </c>
      <c r="AB602" t="s">
        <v>3434</v>
      </c>
      <c r="AC602">
        <f>HYPERLINK("https://lsnyc.legalserver.org/matter/dynamic-profile/view/1900561","19-1900561")</f>
        <v>0</v>
      </c>
      <c r="AD602" t="s">
        <v>3445</v>
      </c>
      <c r="AE602" t="s">
        <v>3455</v>
      </c>
      <c r="AF602" t="s">
        <v>4003</v>
      </c>
      <c r="AG602" t="s">
        <v>3388</v>
      </c>
      <c r="AH602" t="s">
        <v>4904</v>
      </c>
      <c r="AK602" t="s">
        <v>4911</v>
      </c>
      <c r="AL602" t="s">
        <v>2116</v>
      </c>
      <c r="AN602" t="s">
        <v>3434</v>
      </c>
    </row>
    <row r="603" spans="1:40">
      <c r="A603" s="1" t="s">
        <v>639</v>
      </c>
      <c r="B603" t="s">
        <v>2018</v>
      </c>
      <c r="C603" t="s">
        <v>2009</v>
      </c>
      <c r="D603" t="s">
        <v>2060</v>
      </c>
      <c r="E603" t="s">
        <v>2112</v>
      </c>
      <c r="F603" t="s">
        <v>2116</v>
      </c>
      <c r="G603" t="s">
        <v>2212</v>
      </c>
      <c r="H603">
        <v>11368</v>
      </c>
      <c r="I603" t="s">
        <v>2229</v>
      </c>
      <c r="J603">
        <v>6</v>
      </c>
      <c r="K603">
        <v>5</v>
      </c>
      <c r="L603" t="s">
        <v>2428</v>
      </c>
      <c r="M603" t="s">
        <v>2677</v>
      </c>
      <c r="P603" t="s">
        <v>2831</v>
      </c>
      <c r="Q603" t="s">
        <v>2113</v>
      </c>
      <c r="R603" t="s">
        <v>3259</v>
      </c>
      <c r="S603" t="s">
        <v>3276</v>
      </c>
      <c r="X603" t="s">
        <v>3354</v>
      </c>
      <c r="Y603" t="s">
        <v>2677</v>
      </c>
      <c r="Z603" t="s">
        <v>3373</v>
      </c>
      <c r="AA603" t="s">
        <v>3406</v>
      </c>
      <c r="AB603" t="s">
        <v>3424</v>
      </c>
      <c r="AC603">
        <f>HYPERLINK("https://lsnyc.legalserver.org/matter/dynamic-profile/view/1900575","19-1900575")</f>
        <v>0</v>
      </c>
      <c r="AD603" t="s">
        <v>3445</v>
      </c>
      <c r="AE603" t="s">
        <v>3455</v>
      </c>
      <c r="AF603" t="s">
        <v>4003</v>
      </c>
      <c r="AG603" t="s">
        <v>3373</v>
      </c>
      <c r="AH603" t="s">
        <v>4904</v>
      </c>
      <c r="AK603" t="s">
        <v>4911</v>
      </c>
      <c r="AL603" t="s">
        <v>2116</v>
      </c>
      <c r="AN603" t="s">
        <v>3424</v>
      </c>
    </row>
    <row r="604" spans="1:40">
      <c r="A604" s="1" t="s">
        <v>640</v>
      </c>
      <c r="B604" t="s">
        <v>2018</v>
      </c>
      <c r="C604" t="s">
        <v>2009</v>
      </c>
      <c r="D604" t="s">
        <v>2060</v>
      </c>
      <c r="E604" t="s">
        <v>2112</v>
      </c>
      <c r="F604" t="s">
        <v>2116</v>
      </c>
      <c r="G604" t="s">
        <v>2212</v>
      </c>
      <c r="H604">
        <v>11368</v>
      </c>
      <c r="I604" t="s">
        <v>2229</v>
      </c>
      <c r="J604">
        <v>6</v>
      </c>
      <c r="K604">
        <v>5</v>
      </c>
      <c r="L604" t="s">
        <v>2428</v>
      </c>
      <c r="M604" t="s">
        <v>2677</v>
      </c>
      <c r="P604" t="s">
        <v>2831</v>
      </c>
      <c r="Q604" t="s">
        <v>2113</v>
      </c>
      <c r="R604" t="s">
        <v>3258</v>
      </c>
      <c r="S604" t="s">
        <v>3262</v>
      </c>
      <c r="X604" t="s">
        <v>3354</v>
      </c>
      <c r="Y604" t="s">
        <v>2677</v>
      </c>
      <c r="Z604" t="s">
        <v>3355</v>
      </c>
      <c r="AA604" t="s">
        <v>3406</v>
      </c>
      <c r="AB604" t="s">
        <v>3410</v>
      </c>
      <c r="AC604">
        <f>HYPERLINK("https://lsnyc.legalserver.org/matter/dynamic-profile/view/1900584","19-1900584")</f>
        <v>0</v>
      </c>
      <c r="AD604" t="s">
        <v>3445</v>
      </c>
      <c r="AE604" t="s">
        <v>3455</v>
      </c>
      <c r="AF604" t="s">
        <v>4003</v>
      </c>
      <c r="AG604" t="s">
        <v>3355</v>
      </c>
      <c r="AH604" t="s">
        <v>4904</v>
      </c>
      <c r="AL604" t="s">
        <v>2116</v>
      </c>
      <c r="AN604" t="s">
        <v>3410</v>
      </c>
    </row>
    <row r="605" spans="1:40">
      <c r="A605" s="1" t="s">
        <v>641</v>
      </c>
      <c r="B605" t="s">
        <v>1998</v>
      </c>
      <c r="C605" t="s">
        <v>2005</v>
      </c>
      <c r="D605" t="s">
        <v>2075</v>
      </c>
      <c r="E605" t="s">
        <v>2111</v>
      </c>
      <c r="F605" t="s">
        <v>2117</v>
      </c>
      <c r="G605" t="s">
        <v>2212</v>
      </c>
      <c r="H605">
        <v>11432</v>
      </c>
      <c r="I605" t="s">
        <v>2229</v>
      </c>
      <c r="J605">
        <v>2</v>
      </c>
      <c r="K605">
        <v>1</v>
      </c>
      <c r="L605" t="s">
        <v>2260</v>
      </c>
      <c r="M605" t="s">
        <v>2677</v>
      </c>
      <c r="P605" t="s">
        <v>2767</v>
      </c>
      <c r="Q605" t="s">
        <v>2113</v>
      </c>
      <c r="R605" t="s">
        <v>3259</v>
      </c>
      <c r="S605" t="s">
        <v>3267</v>
      </c>
      <c r="X605" t="s">
        <v>3354</v>
      </c>
      <c r="Y605" t="s">
        <v>2678</v>
      </c>
      <c r="Z605" t="s">
        <v>3359</v>
      </c>
      <c r="AA605" t="s">
        <v>3406</v>
      </c>
      <c r="AB605" t="s">
        <v>3415</v>
      </c>
      <c r="AC605">
        <f>HYPERLINK("https://lsnyc.legalserver.org/matter/dynamic-profile/view/1900508","19-1900508")</f>
        <v>0</v>
      </c>
      <c r="AD605" t="s">
        <v>3443</v>
      </c>
      <c r="AE605" t="s">
        <v>3457</v>
      </c>
      <c r="AF605" t="s">
        <v>3791</v>
      </c>
      <c r="AG605" t="s">
        <v>3359</v>
      </c>
      <c r="AH605" t="s">
        <v>4906</v>
      </c>
      <c r="AL605" t="s">
        <v>2117</v>
      </c>
      <c r="AN605" t="s">
        <v>3415</v>
      </c>
    </row>
    <row r="606" spans="1:40">
      <c r="A606" s="1" t="s">
        <v>642</v>
      </c>
      <c r="B606" t="s">
        <v>1998</v>
      </c>
      <c r="C606" t="s">
        <v>1998</v>
      </c>
      <c r="D606" t="s">
        <v>2081</v>
      </c>
      <c r="E606" t="s">
        <v>2112</v>
      </c>
      <c r="F606" t="s">
        <v>2117</v>
      </c>
      <c r="G606" t="s">
        <v>2212</v>
      </c>
      <c r="H606">
        <v>11432</v>
      </c>
      <c r="I606" t="s">
        <v>2229</v>
      </c>
      <c r="J606">
        <v>2</v>
      </c>
      <c r="K606">
        <v>1</v>
      </c>
      <c r="L606" t="s">
        <v>2285</v>
      </c>
      <c r="M606" t="s">
        <v>2677</v>
      </c>
      <c r="P606" t="s">
        <v>2787</v>
      </c>
      <c r="Q606" t="s">
        <v>3255</v>
      </c>
      <c r="R606" t="s">
        <v>3259</v>
      </c>
      <c r="S606" t="s">
        <v>3267</v>
      </c>
      <c r="X606" t="s">
        <v>3354</v>
      </c>
      <c r="Y606" t="s">
        <v>2678</v>
      </c>
      <c r="Z606" t="s">
        <v>3380</v>
      </c>
      <c r="AA606" t="s">
        <v>3406</v>
      </c>
      <c r="AB606" t="s">
        <v>3415</v>
      </c>
      <c r="AC606">
        <f>HYPERLINK("https://lsnyc.legalserver.org/matter/dynamic-profile/view/1900510","19-1900510")</f>
        <v>0</v>
      </c>
      <c r="AD606" t="s">
        <v>3443</v>
      </c>
      <c r="AE606" t="s">
        <v>3457</v>
      </c>
      <c r="AF606" t="s">
        <v>4004</v>
      </c>
      <c r="AG606" t="s">
        <v>3380</v>
      </c>
      <c r="AH606" t="s">
        <v>4904</v>
      </c>
      <c r="AL606" t="s">
        <v>2117</v>
      </c>
      <c r="AN606" t="s">
        <v>3415</v>
      </c>
    </row>
    <row r="607" spans="1:40">
      <c r="A607" s="1" t="s">
        <v>643</v>
      </c>
      <c r="B607" t="s">
        <v>2000</v>
      </c>
      <c r="C607" t="s">
        <v>2004</v>
      </c>
      <c r="D607" t="s">
        <v>2029</v>
      </c>
      <c r="E607" t="s">
        <v>2112</v>
      </c>
      <c r="F607" t="s">
        <v>2176</v>
      </c>
      <c r="G607" t="s">
        <v>2214</v>
      </c>
      <c r="H607">
        <v>11207</v>
      </c>
      <c r="I607" t="s">
        <v>2230</v>
      </c>
      <c r="J607">
        <v>5</v>
      </c>
      <c r="K607">
        <v>3</v>
      </c>
      <c r="L607" t="s">
        <v>2319</v>
      </c>
      <c r="M607" t="s">
        <v>2677</v>
      </c>
      <c r="P607" t="s">
        <v>2802</v>
      </c>
      <c r="Q607" t="s">
        <v>2113</v>
      </c>
      <c r="R607" t="s">
        <v>3259</v>
      </c>
      <c r="S607" t="s">
        <v>3270</v>
      </c>
      <c r="X607" t="s">
        <v>3354</v>
      </c>
      <c r="Y607" t="s">
        <v>2678</v>
      </c>
      <c r="Z607" t="s">
        <v>3359</v>
      </c>
      <c r="AA607" t="s">
        <v>3406</v>
      </c>
      <c r="AB607" t="s">
        <v>3418</v>
      </c>
      <c r="AC607">
        <f>HYPERLINK("https://lsnyc.legalserver.org/matter/dynamic-profile/view/1900284","19-1900284")</f>
        <v>0</v>
      </c>
      <c r="AD607" t="s">
        <v>3442</v>
      </c>
      <c r="AE607" t="s">
        <v>3470</v>
      </c>
      <c r="AF607" t="s">
        <v>3884</v>
      </c>
      <c r="AG607" t="s">
        <v>3359</v>
      </c>
      <c r="AH607" t="s">
        <v>4906</v>
      </c>
      <c r="AL607" t="s">
        <v>2176</v>
      </c>
      <c r="AN607" t="s">
        <v>3418</v>
      </c>
    </row>
    <row r="608" spans="1:40">
      <c r="A608" s="1" t="s">
        <v>644</v>
      </c>
      <c r="B608" t="s">
        <v>2002</v>
      </c>
      <c r="C608" t="s">
        <v>1998</v>
      </c>
      <c r="D608" t="s">
        <v>2057</v>
      </c>
      <c r="E608" t="s">
        <v>2112</v>
      </c>
      <c r="F608" t="s">
        <v>2117</v>
      </c>
      <c r="G608" t="s">
        <v>2213</v>
      </c>
      <c r="H608">
        <v>10457</v>
      </c>
      <c r="I608" t="s">
        <v>2229</v>
      </c>
      <c r="J608">
        <v>2</v>
      </c>
      <c r="K608">
        <v>1</v>
      </c>
      <c r="L608" t="s">
        <v>2260</v>
      </c>
      <c r="M608" t="s">
        <v>2677</v>
      </c>
      <c r="P608" t="s">
        <v>2791</v>
      </c>
      <c r="Q608" t="s">
        <v>2113</v>
      </c>
      <c r="R608" t="s">
        <v>3259</v>
      </c>
      <c r="S608" t="s">
        <v>3267</v>
      </c>
      <c r="T608" t="s">
        <v>3294</v>
      </c>
      <c r="U608" t="s">
        <v>2811</v>
      </c>
      <c r="X608" t="s">
        <v>3354</v>
      </c>
      <c r="Y608" t="s">
        <v>2678</v>
      </c>
      <c r="Z608" t="s">
        <v>3380</v>
      </c>
      <c r="AA608" t="s">
        <v>3406</v>
      </c>
      <c r="AB608" t="s">
        <v>3415</v>
      </c>
      <c r="AC608">
        <f>HYPERLINK("https://lsnyc.legalserver.org/matter/dynamic-profile/view/1900292","19-1900292")</f>
        <v>0</v>
      </c>
      <c r="AD608" t="s">
        <v>3442</v>
      </c>
      <c r="AE608" t="s">
        <v>3470</v>
      </c>
      <c r="AF608" t="s">
        <v>4005</v>
      </c>
      <c r="AG608" t="s">
        <v>3380</v>
      </c>
      <c r="AH608" t="s">
        <v>4906</v>
      </c>
      <c r="AL608" t="s">
        <v>2117</v>
      </c>
      <c r="AM608" t="s">
        <v>3294</v>
      </c>
      <c r="AN608" t="s">
        <v>3415</v>
      </c>
    </row>
    <row r="609" spans="1:41">
      <c r="A609" s="1" t="s">
        <v>645</v>
      </c>
      <c r="B609" t="s">
        <v>1998</v>
      </c>
      <c r="C609" t="s">
        <v>2002</v>
      </c>
      <c r="D609" t="s">
        <v>2094</v>
      </c>
      <c r="E609" t="s">
        <v>2112</v>
      </c>
      <c r="F609" t="s">
        <v>2116</v>
      </c>
      <c r="G609" t="s">
        <v>2212</v>
      </c>
      <c r="H609">
        <v>11369</v>
      </c>
      <c r="I609" t="s">
        <v>2230</v>
      </c>
      <c r="J609">
        <v>4</v>
      </c>
      <c r="K609">
        <v>2</v>
      </c>
      <c r="L609" t="s">
        <v>2429</v>
      </c>
      <c r="M609" t="s">
        <v>2677</v>
      </c>
      <c r="P609" t="s">
        <v>2832</v>
      </c>
      <c r="Q609" t="s">
        <v>3255</v>
      </c>
      <c r="R609" t="s">
        <v>3258</v>
      </c>
      <c r="S609" t="s">
        <v>3262</v>
      </c>
      <c r="X609" t="s">
        <v>3354</v>
      </c>
      <c r="Y609" t="s">
        <v>2678</v>
      </c>
      <c r="Z609" t="s">
        <v>3355</v>
      </c>
      <c r="AB609" t="s">
        <v>3410</v>
      </c>
      <c r="AC609">
        <f>HYPERLINK("https://lsnyc.legalserver.org/matter/dynamic-profile/view/1900357","19-1900357")</f>
        <v>0</v>
      </c>
      <c r="AD609" t="s">
        <v>3443</v>
      </c>
      <c r="AE609" t="s">
        <v>3467</v>
      </c>
      <c r="AF609" t="s">
        <v>4006</v>
      </c>
      <c r="AG609" t="s">
        <v>3355</v>
      </c>
      <c r="AI609" t="s">
        <v>4909</v>
      </c>
      <c r="AL609" t="s">
        <v>2116</v>
      </c>
      <c r="AN609" t="s">
        <v>3410</v>
      </c>
    </row>
    <row r="610" spans="1:41">
      <c r="A610" s="1" t="s">
        <v>646</v>
      </c>
      <c r="B610" t="s">
        <v>2000</v>
      </c>
      <c r="C610" t="s">
        <v>2001</v>
      </c>
      <c r="D610" t="s">
        <v>2096</v>
      </c>
      <c r="E610" t="s">
        <v>2112</v>
      </c>
      <c r="F610" t="s">
        <v>2116</v>
      </c>
      <c r="G610" t="s">
        <v>2211</v>
      </c>
      <c r="H610">
        <v>10003</v>
      </c>
      <c r="I610" t="s">
        <v>2229</v>
      </c>
      <c r="J610">
        <v>1</v>
      </c>
      <c r="K610">
        <v>0</v>
      </c>
      <c r="L610" t="s">
        <v>2260</v>
      </c>
      <c r="M610" t="s">
        <v>2677</v>
      </c>
      <c r="P610" t="s">
        <v>2762</v>
      </c>
      <c r="Q610" t="s">
        <v>2113</v>
      </c>
      <c r="R610" t="s">
        <v>3259</v>
      </c>
      <c r="S610" t="s">
        <v>3267</v>
      </c>
      <c r="X610" t="s">
        <v>3354</v>
      </c>
      <c r="Y610" t="s">
        <v>2678</v>
      </c>
      <c r="Z610" t="s">
        <v>3380</v>
      </c>
      <c r="AA610" t="s">
        <v>3406</v>
      </c>
      <c r="AB610" t="s">
        <v>3415</v>
      </c>
      <c r="AC610">
        <f>HYPERLINK("https://lsnyc.legalserver.org/matter/dynamic-profile/view/1900214","19-1900214")</f>
        <v>0</v>
      </c>
      <c r="AD610" t="s">
        <v>3443</v>
      </c>
      <c r="AE610" t="s">
        <v>3471</v>
      </c>
      <c r="AF610" t="s">
        <v>4007</v>
      </c>
      <c r="AG610" t="s">
        <v>3380</v>
      </c>
      <c r="AH610" t="s">
        <v>4906</v>
      </c>
      <c r="AL610" t="s">
        <v>2116</v>
      </c>
      <c r="AN610" t="s">
        <v>3415</v>
      </c>
    </row>
    <row r="611" spans="1:41">
      <c r="A611" s="1" t="s">
        <v>647</v>
      </c>
      <c r="B611" t="s">
        <v>2001</v>
      </c>
      <c r="C611" t="s">
        <v>1998</v>
      </c>
      <c r="D611" t="s">
        <v>2094</v>
      </c>
      <c r="E611" t="s">
        <v>2112</v>
      </c>
      <c r="F611" t="s">
        <v>2117</v>
      </c>
      <c r="G611" t="s">
        <v>2211</v>
      </c>
      <c r="H611">
        <v>10024</v>
      </c>
      <c r="I611" t="s">
        <v>2229</v>
      </c>
      <c r="J611">
        <v>3</v>
      </c>
      <c r="K611">
        <v>2</v>
      </c>
      <c r="L611" t="s">
        <v>2260</v>
      </c>
      <c r="M611" t="s">
        <v>2677</v>
      </c>
      <c r="P611" t="s">
        <v>2833</v>
      </c>
      <c r="Q611" t="s">
        <v>2113</v>
      </c>
      <c r="X611" t="s">
        <v>3354</v>
      </c>
      <c r="Y611" t="s">
        <v>2678</v>
      </c>
      <c r="Z611" t="s">
        <v>3359</v>
      </c>
      <c r="AA611" t="s">
        <v>3407</v>
      </c>
      <c r="AB611" t="s">
        <v>3407</v>
      </c>
      <c r="AC611">
        <f>HYPERLINK("https://lsnyc.legalserver.org/matter/dynamic-profile/view/1900227","19-1900227")</f>
        <v>0</v>
      </c>
      <c r="AD611" t="s">
        <v>3442</v>
      </c>
      <c r="AE611" t="s">
        <v>3460</v>
      </c>
      <c r="AF611" t="s">
        <v>4008</v>
      </c>
      <c r="AG611" t="s">
        <v>3359</v>
      </c>
      <c r="AH611" t="s">
        <v>3407</v>
      </c>
      <c r="AL611" t="s">
        <v>2117</v>
      </c>
      <c r="AN611" t="s">
        <v>3407</v>
      </c>
    </row>
    <row r="612" spans="1:41">
      <c r="A612" s="1" t="s">
        <v>648</v>
      </c>
      <c r="B612" t="s">
        <v>2009</v>
      </c>
      <c r="C612" t="s">
        <v>2001</v>
      </c>
      <c r="D612" t="s">
        <v>2073</v>
      </c>
      <c r="E612" t="s">
        <v>2111</v>
      </c>
      <c r="F612" t="s">
        <v>2117</v>
      </c>
      <c r="G612" t="s">
        <v>2211</v>
      </c>
      <c r="H612">
        <v>10024</v>
      </c>
      <c r="I612" t="s">
        <v>2229</v>
      </c>
      <c r="J612">
        <v>3</v>
      </c>
      <c r="K612">
        <v>2</v>
      </c>
      <c r="L612" t="s">
        <v>2260</v>
      </c>
      <c r="M612" t="s">
        <v>2677</v>
      </c>
      <c r="P612" t="s">
        <v>2833</v>
      </c>
      <c r="Q612" t="s">
        <v>2113</v>
      </c>
      <c r="X612" t="s">
        <v>3354</v>
      </c>
      <c r="Y612" t="s">
        <v>2678</v>
      </c>
      <c r="Z612" t="s">
        <v>3359</v>
      </c>
      <c r="AA612" t="s">
        <v>3407</v>
      </c>
      <c r="AB612" t="s">
        <v>3407</v>
      </c>
      <c r="AC612">
        <f>HYPERLINK("https://lsnyc.legalserver.org/matter/dynamic-profile/view/1900228","19-1900228")</f>
        <v>0</v>
      </c>
      <c r="AD612" t="s">
        <v>3442</v>
      </c>
      <c r="AE612" t="s">
        <v>3460</v>
      </c>
      <c r="AF612" t="s">
        <v>4009</v>
      </c>
      <c r="AG612" t="s">
        <v>3359</v>
      </c>
      <c r="AH612" t="s">
        <v>3407</v>
      </c>
      <c r="AL612" t="s">
        <v>2117</v>
      </c>
      <c r="AN612" t="s">
        <v>3407</v>
      </c>
    </row>
    <row r="613" spans="1:41">
      <c r="A613" s="1" t="s">
        <v>649</v>
      </c>
      <c r="B613" t="s">
        <v>2001</v>
      </c>
      <c r="C613" t="s">
        <v>2002</v>
      </c>
      <c r="D613" t="s">
        <v>2102</v>
      </c>
      <c r="E613" t="s">
        <v>2111</v>
      </c>
      <c r="F613" t="s">
        <v>2117</v>
      </c>
      <c r="G613" t="s">
        <v>2211</v>
      </c>
      <c r="H613">
        <v>10024</v>
      </c>
      <c r="I613" t="s">
        <v>2229</v>
      </c>
      <c r="J613">
        <v>3</v>
      </c>
      <c r="K613">
        <v>2</v>
      </c>
      <c r="L613" t="s">
        <v>2260</v>
      </c>
      <c r="M613" t="s">
        <v>2677</v>
      </c>
      <c r="P613" t="s">
        <v>2833</v>
      </c>
      <c r="Q613" t="s">
        <v>2113</v>
      </c>
      <c r="X613" t="s">
        <v>3354</v>
      </c>
      <c r="Y613" t="s">
        <v>2678</v>
      </c>
      <c r="Z613" t="s">
        <v>3359</v>
      </c>
      <c r="AA613" t="s">
        <v>3407</v>
      </c>
      <c r="AB613" t="s">
        <v>3407</v>
      </c>
      <c r="AC613">
        <f>HYPERLINK("https://lsnyc.legalserver.org/matter/dynamic-profile/view/1900229","19-1900229")</f>
        <v>0</v>
      </c>
      <c r="AD613" t="s">
        <v>3442</v>
      </c>
      <c r="AE613" t="s">
        <v>3460</v>
      </c>
      <c r="AF613" t="s">
        <v>4010</v>
      </c>
      <c r="AG613" t="s">
        <v>3359</v>
      </c>
      <c r="AH613" t="s">
        <v>3407</v>
      </c>
      <c r="AL613" t="s">
        <v>2117</v>
      </c>
      <c r="AN613" t="s">
        <v>3407</v>
      </c>
    </row>
    <row r="614" spans="1:41">
      <c r="A614" s="1" t="s">
        <v>650</v>
      </c>
      <c r="B614" t="s">
        <v>2001</v>
      </c>
      <c r="C614" t="s">
        <v>2004</v>
      </c>
      <c r="D614" t="s">
        <v>2068</v>
      </c>
      <c r="E614" t="s">
        <v>2112</v>
      </c>
      <c r="F614" t="s">
        <v>2117</v>
      </c>
      <c r="G614" t="s">
        <v>2211</v>
      </c>
      <c r="H614">
        <v>10016</v>
      </c>
      <c r="I614" t="s">
        <v>2229</v>
      </c>
      <c r="J614">
        <v>2</v>
      </c>
      <c r="K614">
        <v>1</v>
      </c>
      <c r="L614" t="s">
        <v>2260</v>
      </c>
      <c r="M614" t="s">
        <v>2677</v>
      </c>
      <c r="P614" t="s">
        <v>2833</v>
      </c>
      <c r="Q614" t="s">
        <v>2113</v>
      </c>
      <c r="R614" t="s">
        <v>3259</v>
      </c>
      <c r="S614" t="s">
        <v>3267</v>
      </c>
      <c r="T614" t="s">
        <v>3294</v>
      </c>
      <c r="U614" t="s">
        <v>2775</v>
      </c>
      <c r="X614" t="s">
        <v>3354</v>
      </c>
      <c r="Y614" t="s">
        <v>2678</v>
      </c>
      <c r="Z614" t="s">
        <v>3380</v>
      </c>
      <c r="AA614" t="s">
        <v>3406</v>
      </c>
      <c r="AB614" t="s">
        <v>3415</v>
      </c>
      <c r="AC614">
        <f>HYPERLINK("https://lsnyc.legalserver.org/matter/dynamic-profile/view/1900237","19-1900237")</f>
        <v>0</v>
      </c>
      <c r="AD614" t="s">
        <v>3442</v>
      </c>
      <c r="AE614" t="s">
        <v>3480</v>
      </c>
      <c r="AF614" t="s">
        <v>4011</v>
      </c>
      <c r="AG614" t="s">
        <v>3380</v>
      </c>
      <c r="AH614" t="s">
        <v>4906</v>
      </c>
      <c r="AL614" t="s">
        <v>2117</v>
      </c>
      <c r="AM614" t="s">
        <v>3294</v>
      </c>
      <c r="AN614" t="s">
        <v>3415</v>
      </c>
    </row>
    <row r="615" spans="1:41">
      <c r="A615" s="1" t="s">
        <v>651</v>
      </c>
      <c r="B615" t="s">
        <v>2001</v>
      </c>
      <c r="C615" t="s">
        <v>2001</v>
      </c>
      <c r="D615" t="s">
        <v>2026</v>
      </c>
      <c r="E615" t="s">
        <v>2111</v>
      </c>
      <c r="F615" t="s">
        <v>2117</v>
      </c>
      <c r="G615" t="s">
        <v>2211</v>
      </c>
      <c r="H615">
        <v>10016</v>
      </c>
      <c r="I615" t="s">
        <v>2229</v>
      </c>
      <c r="J615">
        <v>2</v>
      </c>
      <c r="K615">
        <v>1</v>
      </c>
      <c r="L615" t="s">
        <v>2260</v>
      </c>
      <c r="M615" t="s">
        <v>2677</v>
      </c>
      <c r="P615" t="s">
        <v>2833</v>
      </c>
      <c r="Q615" t="s">
        <v>2113</v>
      </c>
      <c r="R615" t="s">
        <v>3259</v>
      </c>
      <c r="S615" t="s">
        <v>3267</v>
      </c>
      <c r="T615" t="s">
        <v>3294</v>
      </c>
      <c r="U615" t="s">
        <v>2775</v>
      </c>
      <c r="X615" t="s">
        <v>3354</v>
      </c>
      <c r="Y615" t="s">
        <v>2678</v>
      </c>
      <c r="Z615" t="s">
        <v>3380</v>
      </c>
      <c r="AA615" t="s">
        <v>3406</v>
      </c>
      <c r="AB615" t="s">
        <v>3415</v>
      </c>
      <c r="AC615">
        <f>HYPERLINK("https://lsnyc.legalserver.org/matter/dynamic-profile/view/1900240","19-1900240")</f>
        <v>0</v>
      </c>
      <c r="AD615" t="s">
        <v>3442</v>
      </c>
      <c r="AE615" t="s">
        <v>3480</v>
      </c>
      <c r="AF615" t="s">
        <v>4012</v>
      </c>
      <c r="AG615" t="s">
        <v>3380</v>
      </c>
      <c r="AH615" t="s">
        <v>4906</v>
      </c>
      <c r="AL615" t="s">
        <v>2117</v>
      </c>
      <c r="AM615" t="s">
        <v>3294</v>
      </c>
      <c r="AN615" t="s">
        <v>3415</v>
      </c>
    </row>
    <row r="616" spans="1:41">
      <c r="A616" s="1" t="s">
        <v>652</v>
      </c>
      <c r="B616" t="s">
        <v>1998</v>
      </c>
      <c r="C616" t="s">
        <v>2003</v>
      </c>
      <c r="D616" t="s">
        <v>2091</v>
      </c>
      <c r="E616" t="s">
        <v>2111</v>
      </c>
      <c r="F616" t="s">
        <v>2117</v>
      </c>
      <c r="G616" t="s">
        <v>2213</v>
      </c>
      <c r="H616">
        <v>10457</v>
      </c>
      <c r="I616" t="s">
        <v>2229</v>
      </c>
      <c r="J616">
        <v>3</v>
      </c>
      <c r="K616">
        <v>2</v>
      </c>
      <c r="L616" t="s">
        <v>2260</v>
      </c>
      <c r="M616" t="s">
        <v>2677</v>
      </c>
      <c r="P616" t="s">
        <v>2834</v>
      </c>
      <c r="Q616" t="s">
        <v>2113</v>
      </c>
      <c r="R616" t="s">
        <v>3259</v>
      </c>
      <c r="S616" t="s">
        <v>3267</v>
      </c>
      <c r="X616" t="s">
        <v>3354</v>
      </c>
      <c r="Y616" t="s">
        <v>2678</v>
      </c>
      <c r="Z616" t="s">
        <v>3380</v>
      </c>
      <c r="AA616" t="s">
        <v>3406</v>
      </c>
      <c r="AB616" t="s">
        <v>3415</v>
      </c>
      <c r="AC616">
        <f>HYPERLINK("https://lsnyc.legalserver.org/matter/dynamic-profile/view/1900274","19-1900274")</f>
        <v>0</v>
      </c>
      <c r="AD616" t="s">
        <v>3442</v>
      </c>
      <c r="AE616" t="s">
        <v>3470</v>
      </c>
      <c r="AF616" t="s">
        <v>4013</v>
      </c>
      <c r="AG616" t="s">
        <v>3380</v>
      </c>
      <c r="AH616" t="s">
        <v>4906</v>
      </c>
      <c r="AL616" t="s">
        <v>2117</v>
      </c>
      <c r="AN616" t="s">
        <v>3415</v>
      </c>
    </row>
    <row r="617" spans="1:41">
      <c r="A617" s="1" t="s">
        <v>653</v>
      </c>
      <c r="B617" t="s">
        <v>1998</v>
      </c>
      <c r="C617" t="s">
        <v>2003</v>
      </c>
      <c r="D617" t="s">
        <v>2091</v>
      </c>
      <c r="E617" t="s">
        <v>2111</v>
      </c>
      <c r="F617" t="s">
        <v>2117</v>
      </c>
      <c r="G617" t="s">
        <v>2213</v>
      </c>
      <c r="H617">
        <v>10457</v>
      </c>
      <c r="I617" t="s">
        <v>2229</v>
      </c>
      <c r="J617">
        <v>3</v>
      </c>
      <c r="K617">
        <v>2</v>
      </c>
      <c r="L617" t="s">
        <v>2260</v>
      </c>
      <c r="M617" t="s">
        <v>2677</v>
      </c>
      <c r="P617" t="s">
        <v>2834</v>
      </c>
      <c r="Q617" t="s">
        <v>2113</v>
      </c>
      <c r="R617" t="s">
        <v>3259</v>
      </c>
      <c r="S617" t="s">
        <v>3267</v>
      </c>
      <c r="X617" t="s">
        <v>3354</v>
      </c>
      <c r="Y617" t="s">
        <v>2678</v>
      </c>
      <c r="Z617" t="s">
        <v>3359</v>
      </c>
      <c r="AA617" t="s">
        <v>3406</v>
      </c>
      <c r="AB617" t="s">
        <v>3415</v>
      </c>
      <c r="AC617">
        <f>HYPERLINK("https://lsnyc.legalserver.org/matter/dynamic-profile/view/1900275","19-1900275")</f>
        <v>0</v>
      </c>
      <c r="AD617" t="s">
        <v>3442</v>
      </c>
      <c r="AE617" t="s">
        <v>3470</v>
      </c>
      <c r="AF617" t="s">
        <v>4013</v>
      </c>
      <c r="AG617" t="s">
        <v>3359</v>
      </c>
      <c r="AH617" t="s">
        <v>4906</v>
      </c>
      <c r="AL617" t="s">
        <v>2117</v>
      </c>
      <c r="AN617" t="s">
        <v>3415</v>
      </c>
    </row>
    <row r="618" spans="1:41">
      <c r="A618" s="1" t="s">
        <v>654</v>
      </c>
      <c r="B618" t="s">
        <v>2000</v>
      </c>
      <c r="C618" t="s">
        <v>2009</v>
      </c>
      <c r="D618" t="s">
        <v>2080</v>
      </c>
      <c r="E618" t="s">
        <v>2111</v>
      </c>
      <c r="F618" t="s">
        <v>2139</v>
      </c>
      <c r="G618" t="s">
        <v>2213</v>
      </c>
      <c r="H618">
        <v>10458</v>
      </c>
      <c r="I618" t="s">
        <v>2247</v>
      </c>
      <c r="J618">
        <v>1</v>
      </c>
      <c r="K618">
        <v>0</v>
      </c>
      <c r="L618" t="s">
        <v>2260</v>
      </c>
      <c r="M618" t="s">
        <v>2677</v>
      </c>
      <c r="P618" t="s">
        <v>2835</v>
      </c>
      <c r="Q618" t="s">
        <v>2113</v>
      </c>
      <c r="R618" t="s">
        <v>3259</v>
      </c>
      <c r="S618" t="s">
        <v>3268</v>
      </c>
      <c r="T618" t="s">
        <v>3294</v>
      </c>
      <c r="U618" t="s">
        <v>2778</v>
      </c>
      <c r="X618" t="s">
        <v>3354</v>
      </c>
      <c r="Y618" t="s">
        <v>2677</v>
      </c>
      <c r="Z618" t="s">
        <v>3368</v>
      </c>
      <c r="AA618" t="s">
        <v>3406</v>
      </c>
      <c r="AB618" t="s">
        <v>3416</v>
      </c>
      <c r="AC618">
        <f>HYPERLINK("https://lsnyc.legalserver.org/matter/dynamic-profile/view/1900108","19-1900108")</f>
        <v>0</v>
      </c>
      <c r="AD618" t="s">
        <v>3445</v>
      </c>
      <c r="AE618" t="s">
        <v>3452</v>
      </c>
      <c r="AF618" t="s">
        <v>4014</v>
      </c>
      <c r="AG618" t="s">
        <v>3368</v>
      </c>
      <c r="AH618" t="s">
        <v>4904</v>
      </c>
      <c r="AK618" t="s">
        <v>4911</v>
      </c>
      <c r="AL618" t="s">
        <v>2139</v>
      </c>
      <c r="AM618" t="s">
        <v>3294</v>
      </c>
      <c r="AN618" t="s">
        <v>3416</v>
      </c>
    </row>
    <row r="619" spans="1:41">
      <c r="A619" s="1" t="s">
        <v>655</v>
      </c>
      <c r="B619" t="s">
        <v>2000</v>
      </c>
      <c r="C619" t="s">
        <v>1998</v>
      </c>
      <c r="D619" t="s">
        <v>2058</v>
      </c>
      <c r="E619" t="s">
        <v>2111</v>
      </c>
      <c r="F619" t="s">
        <v>2114</v>
      </c>
      <c r="G619" t="s">
        <v>2214</v>
      </c>
      <c r="H619">
        <v>11230</v>
      </c>
      <c r="J619">
        <v>4</v>
      </c>
      <c r="K619">
        <v>2</v>
      </c>
      <c r="L619" t="s">
        <v>2402</v>
      </c>
      <c r="M619" t="s">
        <v>2677</v>
      </c>
      <c r="P619" t="s">
        <v>2836</v>
      </c>
      <c r="Q619" t="s">
        <v>2113</v>
      </c>
      <c r="R619" t="s">
        <v>3259</v>
      </c>
      <c r="S619" t="s">
        <v>3272</v>
      </c>
      <c r="X619" t="s">
        <v>3354</v>
      </c>
      <c r="Y619" t="s">
        <v>2677</v>
      </c>
      <c r="Z619" t="s">
        <v>3364</v>
      </c>
      <c r="AA619" t="s">
        <v>3406</v>
      </c>
      <c r="AB619" t="s">
        <v>3420</v>
      </c>
      <c r="AC619">
        <f>HYPERLINK("https://lsnyc.legalserver.org/matter/dynamic-profile/view/1899940","19-1899940")</f>
        <v>0</v>
      </c>
      <c r="AD619" t="s">
        <v>3445</v>
      </c>
      <c r="AE619" t="s">
        <v>3455</v>
      </c>
      <c r="AF619" t="s">
        <v>3915</v>
      </c>
      <c r="AG619" t="s">
        <v>3364</v>
      </c>
      <c r="AH619" t="s">
        <v>4904</v>
      </c>
      <c r="AK619" t="s">
        <v>4911</v>
      </c>
      <c r="AL619" t="s">
        <v>2114</v>
      </c>
      <c r="AN619" t="s">
        <v>3420</v>
      </c>
    </row>
    <row r="620" spans="1:41">
      <c r="A620" s="1" t="s">
        <v>656</v>
      </c>
      <c r="B620" t="s">
        <v>2000</v>
      </c>
      <c r="C620" t="s">
        <v>2001</v>
      </c>
      <c r="D620" t="s">
        <v>2075</v>
      </c>
      <c r="E620" t="s">
        <v>2111</v>
      </c>
      <c r="F620" t="s">
        <v>2114</v>
      </c>
      <c r="G620" t="s">
        <v>2214</v>
      </c>
      <c r="H620">
        <v>11230</v>
      </c>
      <c r="J620">
        <v>4</v>
      </c>
      <c r="K620">
        <v>2</v>
      </c>
      <c r="L620" t="s">
        <v>2402</v>
      </c>
      <c r="M620" t="s">
        <v>2677</v>
      </c>
      <c r="P620" t="s">
        <v>2836</v>
      </c>
      <c r="Q620" t="s">
        <v>2113</v>
      </c>
      <c r="R620" t="s">
        <v>3259</v>
      </c>
      <c r="S620" t="s">
        <v>3272</v>
      </c>
      <c r="X620" t="s">
        <v>3354</v>
      </c>
      <c r="Y620" t="s">
        <v>2677</v>
      </c>
      <c r="Z620" t="s">
        <v>3364</v>
      </c>
      <c r="AA620" t="s">
        <v>3406</v>
      </c>
      <c r="AB620" t="s">
        <v>3420</v>
      </c>
      <c r="AC620">
        <f>HYPERLINK("https://lsnyc.legalserver.org/matter/dynamic-profile/view/1899945","19-1899945")</f>
        <v>0</v>
      </c>
      <c r="AD620" t="s">
        <v>3445</v>
      </c>
      <c r="AE620" t="s">
        <v>3455</v>
      </c>
      <c r="AF620" t="s">
        <v>3916</v>
      </c>
      <c r="AG620" t="s">
        <v>3364</v>
      </c>
      <c r="AH620" t="s">
        <v>4904</v>
      </c>
      <c r="AK620" t="s">
        <v>4911</v>
      </c>
      <c r="AL620" t="s">
        <v>2114</v>
      </c>
      <c r="AN620" t="s">
        <v>3420</v>
      </c>
    </row>
    <row r="621" spans="1:41">
      <c r="A621" s="1" t="s">
        <v>657</v>
      </c>
      <c r="B621" t="s">
        <v>2000</v>
      </c>
      <c r="C621" t="s">
        <v>2001</v>
      </c>
      <c r="D621" t="s">
        <v>2096</v>
      </c>
      <c r="E621" t="s">
        <v>2112</v>
      </c>
      <c r="F621" t="s">
        <v>2131</v>
      </c>
      <c r="G621" t="s">
        <v>2212</v>
      </c>
      <c r="H621">
        <v>11368</v>
      </c>
      <c r="I621" t="s">
        <v>2229</v>
      </c>
      <c r="J621">
        <v>5</v>
      </c>
      <c r="K621">
        <v>3</v>
      </c>
      <c r="L621" t="s">
        <v>2430</v>
      </c>
      <c r="M621" t="s">
        <v>2677</v>
      </c>
      <c r="P621" t="s">
        <v>2836</v>
      </c>
      <c r="Q621" t="s">
        <v>2113</v>
      </c>
      <c r="R621" t="s">
        <v>3259</v>
      </c>
      <c r="S621" t="s">
        <v>3268</v>
      </c>
      <c r="X621" t="s">
        <v>3354</v>
      </c>
      <c r="Y621" t="s">
        <v>2678</v>
      </c>
      <c r="Z621" t="s">
        <v>3368</v>
      </c>
      <c r="AA621" t="s">
        <v>3406</v>
      </c>
      <c r="AB621" t="s">
        <v>3416</v>
      </c>
      <c r="AC621">
        <f>HYPERLINK("https://lsnyc.legalserver.org/matter/dynamic-profile/view/1900024","19-1900024")</f>
        <v>0</v>
      </c>
      <c r="AD621" t="s">
        <v>3443</v>
      </c>
      <c r="AE621" t="s">
        <v>3471</v>
      </c>
      <c r="AF621" t="s">
        <v>3807</v>
      </c>
      <c r="AG621" t="s">
        <v>3368</v>
      </c>
      <c r="AH621" t="s">
        <v>4904</v>
      </c>
      <c r="AL621" t="s">
        <v>2131</v>
      </c>
      <c r="AN621" t="s">
        <v>3416</v>
      </c>
    </row>
    <row r="622" spans="1:41">
      <c r="A622" s="1" t="s">
        <v>658</v>
      </c>
      <c r="B622" t="s">
        <v>1998</v>
      </c>
      <c r="C622" t="s">
        <v>2016</v>
      </c>
      <c r="D622" t="s">
        <v>2052</v>
      </c>
      <c r="E622" t="s">
        <v>2112</v>
      </c>
      <c r="F622" t="s">
        <v>2117</v>
      </c>
      <c r="G622" t="s">
        <v>2213</v>
      </c>
      <c r="H622">
        <v>10456</v>
      </c>
      <c r="I622" t="s">
        <v>2229</v>
      </c>
      <c r="J622">
        <v>2</v>
      </c>
      <c r="K622">
        <v>1</v>
      </c>
      <c r="L622" t="s">
        <v>2305</v>
      </c>
      <c r="M622" t="s">
        <v>2677</v>
      </c>
      <c r="P622" t="s">
        <v>2804</v>
      </c>
      <c r="Q622" t="s">
        <v>2113</v>
      </c>
      <c r="R622" t="s">
        <v>3259</v>
      </c>
      <c r="S622" t="s">
        <v>3267</v>
      </c>
      <c r="X622" t="s">
        <v>3354</v>
      </c>
      <c r="Y622" t="s">
        <v>2678</v>
      </c>
      <c r="Z622" t="s">
        <v>3359</v>
      </c>
      <c r="AA622" t="s">
        <v>3406</v>
      </c>
      <c r="AB622" t="s">
        <v>3415</v>
      </c>
      <c r="AC622">
        <f>HYPERLINK("https://lsnyc.legalserver.org/matter/dynamic-profile/view/1899888","19-1899888")</f>
        <v>0</v>
      </c>
      <c r="AD622" t="s">
        <v>3444</v>
      </c>
      <c r="AE622" t="s">
        <v>3451</v>
      </c>
      <c r="AF622" t="s">
        <v>4015</v>
      </c>
      <c r="AG622" t="s">
        <v>3359</v>
      </c>
      <c r="AH622" t="s">
        <v>4906</v>
      </c>
      <c r="AL622" t="s">
        <v>2117</v>
      </c>
      <c r="AN622" t="s">
        <v>3415</v>
      </c>
    </row>
    <row r="623" spans="1:41">
      <c r="A623" s="1" t="s">
        <v>659</v>
      </c>
      <c r="B623" t="s">
        <v>1998</v>
      </c>
      <c r="C623" t="s">
        <v>2001</v>
      </c>
      <c r="D623" t="s">
        <v>2094</v>
      </c>
      <c r="E623" t="s">
        <v>2112</v>
      </c>
      <c r="F623" t="s">
        <v>2122</v>
      </c>
      <c r="G623" t="s">
        <v>2212</v>
      </c>
      <c r="H623">
        <v>11427</v>
      </c>
      <c r="I623" t="s">
        <v>2230</v>
      </c>
      <c r="J623">
        <v>3</v>
      </c>
      <c r="K623">
        <v>2</v>
      </c>
      <c r="L623" t="s">
        <v>2272</v>
      </c>
      <c r="M623" t="s">
        <v>2677</v>
      </c>
      <c r="P623" t="s">
        <v>2768</v>
      </c>
      <c r="Q623" t="s">
        <v>3255</v>
      </c>
      <c r="R623" t="s">
        <v>3258</v>
      </c>
      <c r="S623" t="s">
        <v>3269</v>
      </c>
      <c r="T623" t="s">
        <v>3294</v>
      </c>
      <c r="U623" t="s">
        <v>2768</v>
      </c>
      <c r="X623" t="s">
        <v>3354</v>
      </c>
      <c r="Y623" t="s">
        <v>2678</v>
      </c>
      <c r="Z623" t="s">
        <v>3361</v>
      </c>
      <c r="AA623" t="s">
        <v>3406</v>
      </c>
      <c r="AB623" t="s">
        <v>3417</v>
      </c>
      <c r="AC623">
        <f>HYPERLINK("https://lsnyc.legalserver.org/matter/dynamic-profile/view/1907311","19-1907311")</f>
        <v>0</v>
      </c>
      <c r="AD623" t="s">
        <v>3443</v>
      </c>
      <c r="AE623" t="s">
        <v>3471</v>
      </c>
      <c r="AF623" t="s">
        <v>4016</v>
      </c>
      <c r="AG623" t="s">
        <v>3361</v>
      </c>
      <c r="AH623" t="s">
        <v>4904</v>
      </c>
      <c r="AL623" t="s">
        <v>2122</v>
      </c>
      <c r="AM623" t="s">
        <v>3294</v>
      </c>
      <c r="AN623" t="s">
        <v>3417</v>
      </c>
    </row>
    <row r="624" spans="1:41">
      <c r="A624" s="1" t="s">
        <v>660</v>
      </c>
      <c r="B624" t="s">
        <v>1998</v>
      </c>
      <c r="C624" t="s">
        <v>2000</v>
      </c>
      <c r="D624" t="s">
        <v>2069</v>
      </c>
      <c r="E624" t="s">
        <v>2111</v>
      </c>
      <c r="F624" t="s">
        <v>2117</v>
      </c>
      <c r="G624" t="s">
        <v>2212</v>
      </c>
      <c r="H624">
        <v>11429</v>
      </c>
      <c r="I624" t="s">
        <v>2229</v>
      </c>
      <c r="J624">
        <v>4</v>
      </c>
      <c r="K624">
        <v>1</v>
      </c>
      <c r="L624" t="s">
        <v>2294</v>
      </c>
      <c r="M624" t="s">
        <v>2677</v>
      </c>
      <c r="P624" t="s">
        <v>2749</v>
      </c>
      <c r="Q624" t="s">
        <v>2113</v>
      </c>
      <c r="R624" t="s">
        <v>3259</v>
      </c>
      <c r="S624" t="s">
        <v>3272</v>
      </c>
      <c r="V624" t="s">
        <v>3353</v>
      </c>
      <c r="X624" t="s">
        <v>3354</v>
      </c>
      <c r="Y624" t="s">
        <v>2678</v>
      </c>
      <c r="Z624" t="s">
        <v>3383</v>
      </c>
      <c r="AA624" t="s">
        <v>3406</v>
      </c>
      <c r="AB624" t="s">
        <v>3420</v>
      </c>
      <c r="AC624">
        <f>HYPERLINK("https://lsnyc.legalserver.org/matter/dynamic-profile/view/1899560","19-1899560")</f>
        <v>0</v>
      </c>
      <c r="AD624" t="s">
        <v>3443</v>
      </c>
      <c r="AE624" t="s">
        <v>3450</v>
      </c>
      <c r="AF624" t="s">
        <v>4017</v>
      </c>
      <c r="AG624" t="s">
        <v>3383</v>
      </c>
      <c r="AH624" t="s">
        <v>4905</v>
      </c>
      <c r="AL624" t="s">
        <v>2117</v>
      </c>
      <c r="AN624" t="s">
        <v>3420</v>
      </c>
      <c r="AO624" t="s">
        <v>3353</v>
      </c>
    </row>
    <row r="625" spans="1:41">
      <c r="A625" s="1" t="s">
        <v>661</v>
      </c>
      <c r="B625" t="s">
        <v>2012</v>
      </c>
      <c r="C625" t="s">
        <v>1998</v>
      </c>
      <c r="D625" t="s">
        <v>2049</v>
      </c>
      <c r="E625" t="s">
        <v>2112</v>
      </c>
      <c r="F625" t="s">
        <v>2114</v>
      </c>
      <c r="G625" t="s">
        <v>2214</v>
      </c>
      <c r="H625">
        <v>11218</v>
      </c>
      <c r="I625" t="s">
        <v>2230</v>
      </c>
      <c r="J625">
        <v>3</v>
      </c>
      <c r="K625">
        <v>1</v>
      </c>
      <c r="L625" t="s">
        <v>2272</v>
      </c>
      <c r="M625" t="s">
        <v>2677</v>
      </c>
      <c r="P625" t="s">
        <v>2739</v>
      </c>
      <c r="Q625" t="s">
        <v>3255</v>
      </c>
      <c r="R625" t="s">
        <v>3259</v>
      </c>
      <c r="S625" t="s">
        <v>3267</v>
      </c>
      <c r="V625" t="s">
        <v>3353</v>
      </c>
      <c r="X625" t="s">
        <v>3354</v>
      </c>
      <c r="Y625" t="s">
        <v>2678</v>
      </c>
      <c r="Z625" t="s">
        <v>3359</v>
      </c>
      <c r="AA625" t="s">
        <v>3406</v>
      </c>
      <c r="AB625" t="s">
        <v>3415</v>
      </c>
      <c r="AC625">
        <f>HYPERLINK("https://lsnyc.legalserver.org/matter/dynamic-profile/view/1899569","19-1899569")</f>
        <v>0</v>
      </c>
      <c r="AD625" t="s">
        <v>3446</v>
      </c>
      <c r="AE625" t="s">
        <v>3465</v>
      </c>
      <c r="AF625" t="s">
        <v>4018</v>
      </c>
      <c r="AG625" t="s">
        <v>3359</v>
      </c>
      <c r="AH625" t="s">
        <v>4906</v>
      </c>
      <c r="AL625" t="s">
        <v>2114</v>
      </c>
      <c r="AN625" t="s">
        <v>3415</v>
      </c>
      <c r="AO625" t="s">
        <v>3353</v>
      </c>
    </row>
    <row r="626" spans="1:41">
      <c r="A626" s="1" t="s">
        <v>662</v>
      </c>
      <c r="B626" t="s">
        <v>2012</v>
      </c>
      <c r="C626" t="s">
        <v>2001</v>
      </c>
      <c r="D626" t="s">
        <v>2052</v>
      </c>
      <c r="E626" t="s">
        <v>2111</v>
      </c>
      <c r="F626" t="s">
        <v>2114</v>
      </c>
      <c r="G626" t="s">
        <v>2214</v>
      </c>
      <c r="H626">
        <v>11218</v>
      </c>
      <c r="I626" t="s">
        <v>2229</v>
      </c>
      <c r="J626">
        <v>3</v>
      </c>
      <c r="K626">
        <v>1</v>
      </c>
      <c r="L626" t="s">
        <v>2272</v>
      </c>
      <c r="M626" t="s">
        <v>2677</v>
      </c>
      <c r="P626" t="s">
        <v>2739</v>
      </c>
      <c r="Q626" t="s">
        <v>2113</v>
      </c>
      <c r="R626" t="s">
        <v>3259</v>
      </c>
      <c r="S626" t="s">
        <v>3267</v>
      </c>
      <c r="X626" t="s">
        <v>3354</v>
      </c>
      <c r="Y626" t="s">
        <v>2678</v>
      </c>
      <c r="Z626" t="s">
        <v>3359</v>
      </c>
      <c r="AA626" t="s">
        <v>3406</v>
      </c>
      <c r="AB626" t="s">
        <v>3415</v>
      </c>
      <c r="AC626">
        <f>HYPERLINK("https://lsnyc.legalserver.org/matter/dynamic-profile/view/1899577","19-1899577")</f>
        <v>0</v>
      </c>
      <c r="AD626" t="s">
        <v>3446</v>
      </c>
      <c r="AE626" t="s">
        <v>3465</v>
      </c>
      <c r="AF626" t="s">
        <v>4019</v>
      </c>
      <c r="AG626" t="s">
        <v>3359</v>
      </c>
      <c r="AH626" t="s">
        <v>4906</v>
      </c>
      <c r="AL626" t="s">
        <v>2114</v>
      </c>
      <c r="AN626" t="s">
        <v>3415</v>
      </c>
    </row>
    <row r="627" spans="1:41">
      <c r="A627" s="1" t="s">
        <v>663</v>
      </c>
      <c r="B627" t="s">
        <v>1998</v>
      </c>
      <c r="C627" t="s">
        <v>2002</v>
      </c>
      <c r="D627" t="s">
        <v>2074</v>
      </c>
      <c r="E627" t="s">
        <v>2112</v>
      </c>
      <c r="F627" t="s">
        <v>2179</v>
      </c>
      <c r="G627" t="s">
        <v>2212</v>
      </c>
      <c r="H627">
        <v>11435</v>
      </c>
      <c r="I627" t="s">
        <v>2230</v>
      </c>
      <c r="J627">
        <v>2</v>
      </c>
      <c r="K627">
        <v>0</v>
      </c>
      <c r="L627" t="s">
        <v>2431</v>
      </c>
      <c r="M627" t="s">
        <v>2677</v>
      </c>
      <c r="P627" t="s">
        <v>2837</v>
      </c>
      <c r="Q627" t="s">
        <v>2113</v>
      </c>
      <c r="R627" t="s">
        <v>3258</v>
      </c>
      <c r="S627" t="s">
        <v>3271</v>
      </c>
      <c r="X627" t="s">
        <v>3354</v>
      </c>
      <c r="Y627" t="s">
        <v>2678</v>
      </c>
      <c r="Z627" t="s">
        <v>3362</v>
      </c>
      <c r="AA627" t="s">
        <v>3406</v>
      </c>
      <c r="AB627" t="s">
        <v>3419</v>
      </c>
      <c r="AC627">
        <f>HYPERLINK("https://lsnyc.legalserver.org/matter/dynamic-profile/view/1899591","19-1899591")</f>
        <v>0</v>
      </c>
      <c r="AD627" t="s">
        <v>3443</v>
      </c>
      <c r="AE627" t="s">
        <v>3477</v>
      </c>
      <c r="AF627" t="s">
        <v>4020</v>
      </c>
      <c r="AG627" t="s">
        <v>3362</v>
      </c>
      <c r="AH627" t="s">
        <v>4904</v>
      </c>
      <c r="AK627" t="s">
        <v>4911</v>
      </c>
      <c r="AL627" t="s">
        <v>2179</v>
      </c>
      <c r="AN627" t="s">
        <v>3419</v>
      </c>
    </row>
    <row r="628" spans="1:41">
      <c r="A628" s="1" t="s">
        <v>664</v>
      </c>
      <c r="B628" t="s">
        <v>2016</v>
      </c>
      <c r="C628" t="s">
        <v>1998</v>
      </c>
      <c r="D628" t="s">
        <v>2086</v>
      </c>
      <c r="E628" t="s">
        <v>2112</v>
      </c>
      <c r="F628" t="s">
        <v>2139</v>
      </c>
      <c r="G628" t="s">
        <v>2212</v>
      </c>
      <c r="H628">
        <v>11423</v>
      </c>
      <c r="I628" t="s">
        <v>2230</v>
      </c>
      <c r="J628">
        <v>1</v>
      </c>
      <c r="K628">
        <v>0</v>
      </c>
      <c r="L628" t="s">
        <v>2432</v>
      </c>
      <c r="M628" t="s">
        <v>2677</v>
      </c>
      <c r="P628" t="s">
        <v>2837</v>
      </c>
      <c r="Q628" t="s">
        <v>2113</v>
      </c>
      <c r="R628" t="s">
        <v>3259</v>
      </c>
      <c r="S628" t="s">
        <v>3270</v>
      </c>
      <c r="X628" t="s">
        <v>3354</v>
      </c>
      <c r="Y628" t="s">
        <v>2678</v>
      </c>
      <c r="Z628" t="s">
        <v>3377</v>
      </c>
      <c r="AA628" t="s">
        <v>3406</v>
      </c>
      <c r="AB628" t="s">
        <v>3418</v>
      </c>
      <c r="AC628">
        <f>HYPERLINK("https://lsnyc.legalserver.org/matter/dynamic-profile/view/1899602","19-1899602")</f>
        <v>0</v>
      </c>
      <c r="AD628" t="s">
        <v>3443</v>
      </c>
      <c r="AE628" t="s">
        <v>3477</v>
      </c>
      <c r="AF628" t="s">
        <v>4021</v>
      </c>
      <c r="AG628" t="s">
        <v>3377</v>
      </c>
      <c r="AH628" t="s">
        <v>4904</v>
      </c>
      <c r="AL628" t="s">
        <v>2139</v>
      </c>
      <c r="AN628" t="s">
        <v>3418</v>
      </c>
    </row>
    <row r="629" spans="1:41">
      <c r="A629" s="1" t="s">
        <v>665</v>
      </c>
      <c r="B629" t="s">
        <v>2005</v>
      </c>
      <c r="C629" t="s">
        <v>2005</v>
      </c>
      <c r="D629" t="s">
        <v>2060</v>
      </c>
      <c r="E629" t="s">
        <v>2112</v>
      </c>
      <c r="F629" t="s">
        <v>2117</v>
      </c>
      <c r="G629" t="s">
        <v>2221</v>
      </c>
      <c r="H629">
        <v>11550</v>
      </c>
      <c r="I629" t="s">
        <v>2229</v>
      </c>
      <c r="J629">
        <v>2</v>
      </c>
      <c r="K629">
        <v>1</v>
      </c>
      <c r="L629" t="s">
        <v>2256</v>
      </c>
      <c r="M629" t="s">
        <v>2677</v>
      </c>
      <c r="P629" t="s">
        <v>2785</v>
      </c>
      <c r="Q629" t="s">
        <v>2113</v>
      </c>
      <c r="R629" t="s">
        <v>3259</v>
      </c>
      <c r="S629" t="s">
        <v>3267</v>
      </c>
      <c r="X629" t="s">
        <v>3354</v>
      </c>
      <c r="Y629" t="s">
        <v>2678</v>
      </c>
      <c r="Z629" t="s">
        <v>3359</v>
      </c>
      <c r="AA629" t="s">
        <v>3406</v>
      </c>
      <c r="AB629" t="s">
        <v>3415</v>
      </c>
      <c r="AC629">
        <f>HYPERLINK("https://lsnyc.legalserver.org/matter/dynamic-profile/view/1899625","19-1899625")</f>
        <v>0</v>
      </c>
      <c r="AD629" t="s">
        <v>3443</v>
      </c>
      <c r="AE629" t="s">
        <v>3450</v>
      </c>
      <c r="AF629" t="s">
        <v>4022</v>
      </c>
      <c r="AG629" t="s">
        <v>3359</v>
      </c>
      <c r="AH629" t="s">
        <v>4906</v>
      </c>
      <c r="AL629" t="s">
        <v>2117</v>
      </c>
      <c r="AN629" t="s">
        <v>3415</v>
      </c>
    </row>
    <row r="630" spans="1:41">
      <c r="A630" s="1" t="s">
        <v>666</v>
      </c>
      <c r="B630" t="s">
        <v>1998</v>
      </c>
      <c r="C630" t="s">
        <v>2016</v>
      </c>
      <c r="D630" t="s">
        <v>2048</v>
      </c>
      <c r="E630" t="s">
        <v>2112</v>
      </c>
      <c r="F630" t="s">
        <v>2151</v>
      </c>
      <c r="G630" t="s">
        <v>2212</v>
      </c>
      <c r="H630">
        <v>11372</v>
      </c>
      <c r="I630" t="s">
        <v>2230</v>
      </c>
      <c r="J630">
        <v>2</v>
      </c>
      <c r="K630">
        <v>1</v>
      </c>
      <c r="L630" t="s">
        <v>2260</v>
      </c>
      <c r="M630" t="s">
        <v>2677</v>
      </c>
      <c r="P630" t="s">
        <v>2772</v>
      </c>
      <c r="Q630" t="s">
        <v>3255</v>
      </c>
      <c r="R630" t="s">
        <v>3259</v>
      </c>
      <c r="S630" t="s">
        <v>3264</v>
      </c>
      <c r="X630" t="s">
        <v>3354</v>
      </c>
      <c r="Y630" t="s">
        <v>2678</v>
      </c>
      <c r="Z630" t="s">
        <v>3357</v>
      </c>
      <c r="AA630" t="s">
        <v>3406</v>
      </c>
      <c r="AB630" t="s">
        <v>3412</v>
      </c>
      <c r="AC630">
        <f>HYPERLINK("https://lsnyc.legalserver.org/matter/dynamic-profile/view/1899640","19-1899640")</f>
        <v>0</v>
      </c>
      <c r="AD630" t="s">
        <v>3443</v>
      </c>
      <c r="AE630" t="s">
        <v>3457</v>
      </c>
      <c r="AF630" t="s">
        <v>4023</v>
      </c>
      <c r="AG630" t="s">
        <v>3357</v>
      </c>
      <c r="AH630" t="s">
        <v>4904</v>
      </c>
      <c r="AL630" t="s">
        <v>2151</v>
      </c>
      <c r="AN630" t="s">
        <v>3412</v>
      </c>
    </row>
    <row r="631" spans="1:41">
      <c r="A631" s="1" t="s">
        <v>667</v>
      </c>
      <c r="B631" t="s">
        <v>2016</v>
      </c>
      <c r="C631" t="s">
        <v>2001</v>
      </c>
      <c r="D631" t="s">
        <v>2068</v>
      </c>
      <c r="E631" t="s">
        <v>2111</v>
      </c>
      <c r="F631" t="s">
        <v>2139</v>
      </c>
      <c r="G631" t="s">
        <v>2214</v>
      </c>
      <c r="H631">
        <v>11236</v>
      </c>
      <c r="I631" t="s">
        <v>2247</v>
      </c>
      <c r="J631">
        <v>1</v>
      </c>
      <c r="K631">
        <v>0</v>
      </c>
      <c r="L631" t="s">
        <v>2260</v>
      </c>
      <c r="M631" t="s">
        <v>2677</v>
      </c>
      <c r="P631" t="s">
        <v>2837</v>
      </c>
      <c r="Q631" t="s">
        <v>2113</v>
      </c>
      <c r="R631" t="s">
        <v>3258</v>
      </c>
      <c r="S631" t="s">
        <v>3262</v>
      </c>
      <c r="T631" t="s">
        <v>3295</v>
      </c>
      <c r="X631" t="s">
        <v>3354</v>
      </c>
      <c r="Y631" t="s">
        <v>2678</v>
      </c>
      <c r="Z631" t="s">
        <v>3355</v>
      </c>
      <c r="AA631" t="s">
        <v>3406</v>
      </c>
      <c r="AB631" t="s">
        <v>3410</v>
      </c>
      <c r="AC631">
        <f>HYPERLINK("https://lsnyc.legalserver.org/matter/dynamic-profile/view/1899651","19-1899651")</f>
        <v>0</v>
      </c>
      <c r="AD631" t="s">
        <v>3446</v>
      </c>
      <c r="AE631" t="s">
        <v>3481</v>
      </c>
      <c r="AF631" t="s">
        <v>4024</v>
      </c>
      <c r="AG631" t="s">
        <v>3355</v>
      </c>
      <c r="AH631" t="s">
        <v>4904</v>
      </c>
      <c r="AK631" t="s">
        <v>4911</v>
      </c>
      <c r="AL631" t="s">
        <v>2139</v>
      </c>
      <c r="AM631" t="s">
        <v>3295</v>
      </c>
      <c r="AN631" t="s">
        <v>3410</v>
      </c>
    </row>
    <row r="632" spans="1:41">
      <c r="A632" s="1" t="s">
        <v>668</v>
      </c>
      <c r="B632" t="s">
        <v>2002</v>
      </c>
      <c r="C632" t="s">
        <v>2012</v>
      </c>
      <c r="D632" t="s">
        <v>2040</v>
      </c>
      <c r="E632" t="s">
        <v>2111</v>
      </c>
      <c r="F632" t="s">
        <v>2135</v>
      </c>
      <c r="G632" t="s">
        <v>2213</v>
      </c>
      <c r="H632">
        <v>10451</v>
      </c>
      <c r="J632">
        <v>4</v>
      </c>
      <c r="K632">
        <v>2</v>
      </c>
      <c r="L632" t="s">
        <v>2272</v>
      </c>
      <c r="M632" t="s">
        <v>2677</v>
      </c>
      <c r="P632" t="s">
        <v>2838</v>
      </c>
      <c r="Q632" t="s">
        <v>2113</v>
      </c>
      <c r="R632" t="s">
        <v>3258</v>
      </c>
      <c r="S632" t="s">
        <v>3269</v>
      </c>
      <c r="X632" t="s">
        <v>3354</v>
      </c>
      <c r="Y632" t="s">
        <v>2678</v>
      </c>
      <c r="Z632" t="s">
        <v>3361</v>
      </c>
      <c r="AA632" t="s">
        <v>3406</v>
      </c>
      <c r="AB632" t="s">
        <v>3417</v>
      </c>
      <c r="AC632">
        <f>HYPERLINK("https://lsnyc.legalserver.org/matter/dynamic-profile/view/1899290","19-1899290")</f>
        <v>0</v>
      </c>
      <c r="AD632" t="s">
        <v>3446</v>
      </c>
      <c r="AE632" t="s">
        <v>3456</v>
      </c>
      <c r="AF632" t="s">
        <v>4025</v>
      </c>
      <c r="AG632" t="s">
        <v>3361</v>
      </c>
      <c r="AH632" t="s">
        <v>4904</v>
      </c>
      <c r="AI632" t="s">
        <v>4909</v>
      </c>
      <c r="AK632" t="s">
        <v>4911</v>
      </c>
      <c r="AL632" t="s">
        <v>2135</v>
      </c>
      <c r="AN632" t="s">
        <v>3417</v>
      </c>
    </row>
    <row r="633" spans="1:41">
      <c r="A633" s="1" t="s">
        <v>669</v>
      </c>
      <c r="B633" t="s">
        <v>2015</v>
      </c>
      <c r="C633" t="s">
        <v>2001</v>
      </c>
      <c r="D633" t="s">
        <v>2099</v>
      </c>
      <c r="E633" t="s">
        <v>2112</v>
      </c>
      <c r="F633" t="s">
        <v>2117</v>
      </c>
      <c r="G633" t="s">
        <v>2213</v>
      </c>
      <c r="H633">
        <v>10452</v>
      </c>
      <c r="I633" t="s">
        <v>2229</v>
      </c>
      <c r="J633">
        <v>1</v>
      </c>
      <c r="K633">
        <v>0</v>
      </c>
      <c r="L633" t="s">
        <v>2433</v>
      </c>
      <c r="M633" t="s">
        <v>2677</v>
      </c>
      <c r="P633" t="s">
        <v>2839</v>
      </c>
      <c r="Q633" t="s">
        <v>2113</v>
      </c>
      <c r="R633" t="s">
        <v>3258</v>
      </c>
      <c r="S633" t="s">
        <v>3286</v>
      </c>
      <c r="X633" t="s">
        <v>3354</v>
      </c>
      <c r="Y633" t="s">
        <v>2677</v>
      </c>
      <c r="Z633" t="s">
        <v>3388</v>
      </c>
      <c r="AA633" t="s">
        <v>3406</v>
      </c>
      <c r="AB633" t="s">
        <v>3434</v>
      </c>
      <c r="AC633">
        <f>HYPERLINK("https://lsnyc.legalserver.org/matter/dynamic-profile/view/1899423","19-1899423")</f>
        <v>0</v>
      </c>
      <c r="AD633" t="s">
        <v>3445</v>
      </c>
      <c r="AE633" t="s">
        <v>3452</v>
      </c>
      <c r="AF633" t="s">
        <v>4026</v>
      </c>
      <c r="AG633" t="s">
        <v>3388</v>
      </c>
      <c r="AH633" t="s">
        <v>4904</v>
      </c>
      <c r="AK633" t="s">
        <v>4911</v>
      </c>
      <c r="AL633" t="s">
        <v>2117</v>
      </c>
      <c r="AN633" t="s">
        <v>3434</v>
      </c>
    </row>
    <row r="634" spans="1:41">
      <c r="A634" s="1" t="s">
        <v>670</v>
      </c>
      <c r="B634" t="s">
        <v>2002</v>
      </c>
      <c r="C634" t="s">
        <v>1998</v>
      </c>
      <c r="D634" t="s">
        <v>2049</v>
      </c>
      <c r="E634" t="s">
        <v>2112</v>
      </c>
      <c r="F634" t="s">
        <v>2138</v>
      </c>
      <c r="G634" t="s">
        <v>2214</v>
      </c>
      <c r="H634">
        <v>11204</v>
      </c>
      <c r="J634">
        <v>3</v>
      </c>
      <c r="K634">
        <v>1</v>
      </c>
      <c r="L634" t="s">
        <v>2286</v>
      </c>
      <c r="M634" t="s">
        <v>2677</v>
      </c>
      <c r="P634" t="s">
        <v>2839</v>
      </c>
      <c r="Q634" t="s">
        <v>2113</v>
      </c>
      <c r="R634" t="s">
        <v>3258</v>
      </c>
      <c r="S634" t="s">
        <v>3286</v>
      </c>
      <c r="T634" t="s">
        <v>3294</v>
      </c>
      <c r="U634" t="s">
        <v>3306</v>
      </c>
      <c r="X634" t="s">
        <v>3354</v>
      </c>
      <c r="Y634" t="s">
        <v>2677</v>
      </c>
      <c r="Z634" t="s">
        <v>3388</v>
      </c>
      <c r="AA634" t="s">
        <v>3406</v>
      </c>
      <c r="AB634" t="s">
        <v>3434</v>
      </c>
      <c r="AC634">
        <f>HYPERLINK("https://lsnyc.legalserver.org/matter/dynamic-profile/view/1899443","19-1899443")</f>
        <v>0</v>
      </c>
      <c r="AD634" t="s">
        <v>3445</v>
      </c>
      <c r="AE634" t="s">
        <v>3452</v>
      </c>
      <c r="AF634" t="s">
        <v>4027</v>
      </c>
      <c r="AG634" t="s">
        <v>3388</v>
      </c>
      <c r="AH634" t="s">
        <v>4904</v>
      </c>
      <c r="AK634" t="s">
        <v>4911</v>
      </c>
      <c r="AL634" t="s">
        <v>2138</v>
      </c>
      <c r="AM634" t="s">
        <v>3294</v>
      </c>
      <c r="AN634" t="s">
        <v>3434</v>
      </c>
    </row>
    <row r="635" spans="1:41">
      <c r="A635" s="1" t="s">
        <v>671</v>
      </c>
      <c r="B635" t="s">
        <v>2001</v>
      </c>
      <c r="C635" t="s">
        <v>1998</v>
      </c>
      <c r="D635" t="s">
        <v>2032</v>
      </c>
      <c r="E635" t="s">
        <v>2112</v>
      </c>
      <c r="F635" t="s">
        <v>2123</v>
      </c>
      <c r="G635" t="s">
        <v>2214</v>
      </c>
      <c r="H635">
        <v>11225</v>
      </c>
      <c r="I635" t="s">
        <v>2229</v>
      </c>
      <c r="J635">
        <v>2</v>
      </c>
      <c r="K635">
        <v>0</v>
      </c>
      <c r="L635" t="s">
        <v>2273</v>
      </c>
      <c r="M635" t="s">
        <v>2677</v>
      </c>
      <c r="P635" t="s">
        <v>2839</v>
      </c>
      <c r="Q635" t="s">
        <v>2113</v>
      </c>
      <c r="R635" t="s">
        <v>3258</v>
      </c>
      <c r="S635" t="s">
        <v>3286</v>
      </c>
      <c r="T635" t="s">
        <v>3294</v>
      </c>
      <c r="U635" t="s">
        <v>2804</v>
      </c>
      <c r="X635" t="s">
        <v>3354</v>
      </c>
      <c r="Y635" t="s">
        <v>2677</v>
      </c>
      <c r="Z635" t="s">
        <v>3388</v>
      </c>
      <c r="AA635" t="s">
        <v>3406</v>
      </c>
      <c r="AB635" t="s">
        <v>3434</v>
      </c>
      <c r="AC635">
        <f>HYPERLINK("https://lsnyc.legalserver.org/matter/dynamic-profile/view/1899477","19-1899477")</f>
        <v>0</v>
      </c>
      <c r="AD635" t="s">
        <v>3445</v>
      </c>
      <c r="AE635" t="s">
        <v>3452</v>
      </c>
      <c r="AF635" t="s">
        <v>4028</v>
      </c>
      <c r="AG635" t="s">
        <v>3388</v>
      </c>
      <c r="AH635" t="s">
        <v>4904</v>
      </c>
      <c r="AK635" t="s">
        <v>4911</v>
      </c>
      <c r="AL635" t="s">
        <v>2123</v>
      </c>
      <c r="AM635" t="s">
        <v>3294</v>
      </c>
      <c r="AN635" t="s">
        <v>3434</v>
      </c>
    </row>
    <row r="636" spans="1:41">
      <c r="A636" s="1" t="s">
        <v>672</v>
      </c>
      <c r="B636" t="s">
        <v>2018</v>
      </c>
      <c r="C636" t="s">
        <v>1998</v>
      </c>
      <c r="D636" t="s">
        <v>2097</v>
      </c>
      <c r="E636" t="s">
        <v>2112</v>
      </c>
      <c r="F636" t="s">
        <v>2144</v>
      </c>
      <c r="G636" t="s">
        <v>2216</v>
      </c>
      <c r="H636">
        <v>10303</v>
      </c>
      <c r="J636">
        <v>1</v>
      </c>
      <c r="K636">
        <v>0</v>
      </c>
      <c r="L636" t="s">
        <v>2434</v>
      </c>
      <c r="M636" t="s">
        <v>2677</v>
      </c>
      <c r="P636" t="s">
        <v>2839</v>
      </c>
      <c r="Q636" t="s">
        <v>2113</v>
      </c>
      <c r="R636" t="s">
        <v>3258</v>
      </c>
      <c r="S636" t="s">
        <v>3286</v>
      </c>
      <c r="T636" t="s">
        <v>3294</v>
      </c>
      <c r="U636" t="s">
        <v>2822</v>
      </c>
      <c r="X636" t="s">
        <v>3354</v>
      </c>
      <c r="Y636" t="s">
        <v>2677</v>
      </c>
      <c r="Z636" t="s">
        <v>3388</v>
      </c>
      <c r="AA636" t="s">
        <v>3406</v>
      </c>
      <c r="AB636" t="s">
        <v>3434</v>
      </c>
      <c r="AC636">
        <f>HYPERLINK("https://lsnyc.legalserver.org/matter/dynamic-profile/view/1899531","19-1899531")</f>
        <v>0</v>
      </c>
      <c r="AD636" t="s">
        <v>3445</v>
      </c>
      <c r="AE636" t="s">
        <v>3452</v>
      </c>
      <c r="AF636" t="s">
        <v>4029</v>
      </c>
      <c r="AG636" t="s">
        <v>3388</v>
      </c>
      <c r="AH636" t="s">
        <v>4904</v>
      </c>
      <c r="AK636" t="s">
        <v>4911</v>
      </c>
      <c r="AL636" t="s">
        <v>2144</v>
      </c>
      <c r="AM636" t="s">
        <v>3294</v>
      </c>
      <c r="AN636" t="s">
        <v>3434</v>
      </c>
    </row>
    <row r="637" spans="1:41">
      <c r="A637" s="1" t="s">
        <v>673</v>
      </c>
      <c r="B637" t="s">
        <v>2005</v>
      </c>
      <c r="C637" t="s">
        <v>1998</v>
      </c>
      <c r="D637" t="s">
        <v>2083</v>
      </c>
      <c r="E637" t="s">
        <v>2112</v>
      </c>
      <c r="F637" t="s">
        <v>2167</v>
      </c>
      <c r="G637" t="s">
        <v>2211</v>
      </c>
      <c r="H637">
        <v>10026</v>
      </c>
      <c r="I637" t="s">
        <v>2230</v>
      </c>
      <c r="J637">
        <v>3</v>
      </c>
      <c r="K637">
        <v>2</v>
      </c>
      <c r="L637" t="s">
        <v>2435</v>
      </c>
      <c r="M637" t="s">
        <v>2677</v>
      </c>
      <c r="P637" t="s">
        <v>2839</v>
      </c>
      <c r="Q637" t="s">
        <v>2113</v>
      </c>
      <c r="R637" t="s">
        <v>3258</v>
      </c>
      <c r="S637" t="s">
        <v>3286</v>
      </c>
      <c r="T637" t="s">
        <v>3294</v>
      </c>
      <c r="U637" t="s">
        <v>2827</v>
      </c>
      <c r="X637" t="s">
        <v>3354</v>
      </c>
      <c r="Y637" t="s">
        <v>2677</v>
      </c>
      <c r="Z637" t="s">
        <v>3388</v>
      </c>
      <c r="AA637" t="s">
        <v>3406</v>
      </c>
      <c r="AB637" t="s">
        <v>3434</v>
      </c>
      <c r="AC637">
        <f>HYPERLINK("https://lsnyc.legalserver.org/matter/dynamic-profile/view/1899534","19-1899534")</f>
        <v>0</v>
      </c>
      <c r="AD637" t="s">
        <v>3445</v>
      </c>
      <c r="AE637" t="s">
        <v>3452</v>
      </c>
      <c r="AF637" t="s">
        <v>4030</v>
      </c>
      <c r="AG637" t="s">
        <v>3388</v>
      </c>
      <c r="AH637" t="s">
        <v>4904</v>
      </c>
      <c r="AK637" t="s">
        <v>4911</v>
      </c>
      <c r="AL637" t="s">
        <v>2167</v>
      </c>
      <c r="AM637" t="s">
        <v>3294</v>
      </c>
      <c r="AN637" t="s">
        <v>3434</v>
      </c>
    </row>
    <row r="638" spans="1:41">
      <c r="A638" s="1" t="s">
        <v>674</v>
      </c>
      <c r="B638" t="s">
        <v>2000</v>
      </c>
      <c r="C638" t="s">
        <v>2001</v>
      </c>
      <c r="D638" t="s">
        <v>2034</v>
      </c>
      <c r="E638" t="s">
        <v>2111</v>
      </c>
      <c r="F638" t="s">
        <v>2117</v>
      </c>
      <c r="G638" t="s">
        <v>2213</v>
      </c>
      <c r="H638">
        <v>10460</v>
      </c>
      <c r="I638" t="s">
        <v>2229</v>
      </c>
      <c r="J638">
        <v>1</v>
      </c>
      <c r="K638">
        <v>0</v>
      </c>
      <c r="L638" t="s">
        <v>2260</v>
      </c>
      <c r="M638" t="s">
        <v>2677</v>
      </c>
      <c r="P638" t="s">
        <v>2840</v>
      </c>
      <c r="Q638" t="s">
        <v>2113</v>
      </c>
      <c r="R638" t="s">
        <v>3259</v>
      </c>
      <c r="S638" t="s">
        <v>3272</v>
      </c>
      <c r="X638" t="s">
        <v>3354</v>
      </c>
      <c r="Y638" t="s">
        <v>2678</v>
      </c>
      <c r="Z638" t="s">
        <v>3364</v>
      </c>
      <c r="AA638" t="s">
        <v>3406</v>
      </c>
      <c r="AB638" t="s">
        <v>3420</v>
      </c>
      <c r="AC638">
        <f>HYPERLINK("https://lsnyc.legalserver.org/matter/dynamic-profile/view/1899310","19-1899310")</f>
        <v>0</v>
      </c>
      <c r="AD638" t="s">
        <v>3442</v>
      </c>
      <c r="AE638" t="s">
        <v>3448</v>
      </c>
      <c r="AF638" t="s">
        <v>4031</v>
      </c>
      <c r="AG638" t="s">
        <v>3364</v>
      </c>
      <c r="AH638" t="s">
        <v>4906</v>
      </c>
      <c r="AK638" t="s">
        <v>4911</v>
      </c>
      <c r="AL638" t="s">
        <v>2117</v>
      </c>
      <c r="AN638" t="s">
        <v>3420</v>
      </c>
    </row>
    <row r="639" spans="1:41">
      <c r="A639" s="1" t="s">
        <v>675</v>
      </c>
      <c r="B639" t="s">
        <v>2016</v>
      </c>
      <c r="C639" t="s">
        <v>2001</v>
      </c>
      <c r="D639" t="s">
        <v>2049</v>
      </c>
      <c r="E639" t="s">
        <v>2111</v>
      </c>
      <c r="F639" t="s">
        <v>2123</v>
      </c>
      <c r="G639" t="s">
        <v>2213</v>
      </c>
      <c r="H639">
        <v>10466</v>
      </c>
      <c r="I639" t="s">
        <v>2229</v>
      </c>
      <c r="J639">
        <v>5</v>
      </c>
      <c r="K639">
        <v>1</v>
      </c>
      <c r="L639" t="s">
        <v>2260</v>
      </c>
      <c r="M639" t="s">
        <v>2677</v>
      </c>
      <c r="P639" t="s">
        <v>2840</v>
      </c>
      <c r="Q639" t="s">
        <v>2113</v>
      </c>
      <c r="R639" t="s">
        <v>3258</v>
      </c>
      <c r="S639" t="s">
        <v>3286</v>
      </c>
      <c r="X639" t="s">
        <v>3354</v>
      </c>
      <c r="Y639" t="s">
        <v>2677</v>
      </c>
      <c r="Z639" t="s">
        <v>3388</v>
      </c>
      <c r="AA639" t="s">
        <v>3406</v>
      </c>
      <c r="AB639" t="s">
        <v>3434</v>
      </c>
      <c r="AC639">
        <f>HYPERLINK("https://lsnyc.legalserver.org/matter/dynamic-profile/view/1899319","19-1899319")</f>
        <v>0</v>
      </c>
      <c r="AD639" t="s">
        <v>3445</v>
      </c>
      <c r="AE639" t="s">
        <v>3452</v>
      </c>
      <c r="AF639" t="s">
        <v>4032</v>
      </c>
      <c r="AG639" t="s">
        <v>3388</v>
      </c>
      <c r="AH639" t="s">
        <v>4904</v>
      </c>
      <c r="AK639" t="s">
        <v>4911</v>
      </c>
      <c r="AL639" t="s">
        <v>2123</v>
      </c>
      <c r="AN639" t="s">
        <v>3434</v>
      </c>
    </row>
    <row r="640" spans="1:41">
      <c r="A640" s="1" t="s">
        <v>676</v>
      </c>
      <c r="B640" t="s">
        <v>2001</v>
      </c>
      <c r="C640" t="s">
        <v>1999</v>
      </c>
      <c r="D640" t="s">
        <v>2091</v>
      </c>
      <c r="E640" t="s">
        <v>2112</v>
      </c>
      <c r="F640" t="s">
        <v>2156</v>
      </c>
      <c r="G640" t="s">
        <v>2216</v>
      </c>
      <c r="H640">
        <v>10303</v>
      </c>
      <c r="I640" t="s">
        <v>2230</v>
      </c>
      <c r="J640">
        <v>6</v>
      </c>
      <c r="K640">
        <v>4</v>
      </c>
      <c r="L640" t="s">
        <v>2436</v>
      </c>
      <c r="M640" t="s">
        <v>2677</v>
      </c>
      <c r="P640" t="s">
        <v>2840</v>
      </c>
      <c r="Q640" t="s">
        <v>2113</v>
      </c>
      <c r="R640" t="s">
        <v>3258</v>
      </c>
      <c r="S640" t="s">
        <v>3286</v>
      </c>
      <c r="T640" t="s">
        <v>3294</v>
      </c>
      <c r="U640" t="s">
        <v>2793</v>
      </c>
      <c r="X640" t="s">
        <v>3354</v>
      </c>
      <c r="Y640" t="s">
        <v>2677</v>
      </c>
      <c r="Z640" t="s">
        <v>3388</v>
      </c>
      <c r="AA640" t="s">
        <v>3406</v>
      </c>
      <c r="AB640" t="s">
        <v>3434</v>
      </c>
      <c r="AC640">
        <f>HYPERLINK("https://lsnyc.legalserver.org/matter/dynamic-profile/view/1899330","19-1899330")</f>
        <v>0</v>
      </c>
      <c r="AD640" t="s">
        <v>3445</v>
      </c>
      <c r="AE640" t="s">
        <v>3452</v>
      </c>
      <c r="AF640" t="s">
        <v>4033</v>
      </c>
      <c r="AG640" t="s">
        <v>3388</v>
      </c>
      <c r="AH640" t="s">
        <v>4904</v>
      </c>
      <c r="AK640" t="s">
        <v>4911</v>
      </c>
      <c r="AL640" t="s">
        <v>2156</v>
      </c>
      <c r="AM640" t="s">
        <v>3294</v>
      </c>
      <c r="AN640" t="s">
        <v>3434</v>
      </c>
    </row>
    <row r="641" spans="1:41">
      <c r="A641" s="1" t="s">
        <v>677</v>
      </c>
      <c r="B641" t="s">
        <v>2000</v>
      </c>
      <c r="C641" t="s">
        <v>2012</v>
      </c>
      <c r="D641" t="s">
        <v>2068</v>
      </c>
      <c r="E641" t="s">
        <v>2112</v>
      </c>
      <c r="F641" t="s">
        <v>2156</v>
      </c>
      <c r="G641" t="s">
        <v>2211</v>
      </c>
      <c r="H641">
        <v>10001</v>
      </c>
      <c r="I641" t="s">
        <v>2230</v>
      </c>
      <c r="J641">
        <v>2</v>
      </c>
      <c r="K641">
        <v>1</v>
      </c>
      <c r="L641" t="s">
        <v>2266</v>
      </c>
      <c r="M641" t="s">
        <v>2677</v>
      </c>
      <c r="P641" t="s">
        <v>2840</v>
      </c>
      <c r="Q641" t="s">
        <v>2113</v>
      </c>
      <c r="R641" t="s">
        <v>3258</v>
      </c>
      <c r="S641" t="s">
        <v>3286</v>
      </c>
      <c r="X641" t="s">
        <v>3354</v>
      </c>
      <c r="Y641" t="s">
        <v>2677</v>
      </c>
      <c r="Z641" t="s">
        <v>3388</v>
      </c>
      <c r="AA641" t="s">
        <v>3406</v>
      </c>
      <c r="AB641" t="s">
        <v>3434</v>
      </c>
      <c r="AC641">
        <f>HYPERLINK("https://lsnyc.legalserver.org/matter/dynamic-profile/view/1899344","19-1899344")</f>
        <v>0</v>
      </c>
      <c r="AD641" t="s">
        <v>3445</v>
      </c>
      <c r="AE641" t="s">
        <v>3452</v>
      </c>
      <c r="AF641" t="s">
        <v>4034</v>
      </c>
      <c r="AG641" t="s">
        <v>3388</v>
      </c>
      <c r="AH641" t="s">
        <v>4904</v>
      </c>
      <c r="AK641" t="s">
        <v>4911</v>
      </c>
      <c r="AL641" t="s">
        <v>2156</v>
      </c>
      <c r="AN641" t="s">
        <v>3434</v>
      </c>
    </row>
    <row r="642" spans="1:41">
      <c r="A642" s="1" t="s">
        <v>678</v>
      </c>
      <c r="B642" t="s">
        <v>2000</v>
      </c>
      <c r="C642" t="s">
        <v>2000</v>
      </c>
      <c r="D642" t="s">
        <v>2079</v>
      </c>
      <c r="E642" t="s">
        <v>2111</v>
      </c>
      <c r="F642" t="s">
        <v>2148</v>
      </c>
      <c r="G642" t="s">
        <v>2213</v>
      </c>
      <c r="H642">
        <v>10456</v>
      </c>
      <c r="J642">
        <v>7</v>
      </c>
      <c r="K642">
        <v>4</v>
      </c>
      <c r="L642" t="s">
        <v>2437</v>
      </c>
      <c r="M642" t="s">
        <v>2677</v>
      </c>
      <c r="P642" t="s">
        <v>2840</v>
      </c>
      <c r="Q642" t="s">
        <v>2113</v>
      </c>
      <c r="R642" t="s">
        <v>3258</v>
      </c>
      <c r="S642" t="s">
        <v>3286</v>
      </c>
      <c r="X642" t="s">
        <v>3354</v>
      </c>
      <c r="Y642" t="s">
        <v>2677</v>
      </c>
      <c r="Z642" t="s">
        <v>3388</v>
      </c>
      <c r="AA642" t="s">
        <v>3406</v>
      </c>
      <c r="AB642" t="s">
        <v>3434</v>
      </c>
      <c r="AC642">
        <f>HYPERLINK("https://lsnyc.legalserver.org/matter/dynamic-profile/view/1899356","19-1899356")</f>
        <v>0</v>
      </c>
      <c r="AD642" t="s">
        <v>3445</v>
      </c>
      <c r="AE642" t="s">
        <v>3452</v>
      </c>
      <c r="AF642" t="s">
        <v>4035</v>
      </c>
      <c r="AG642" t="s">
        <v>3388</v>
      </c>
      <c r="AH642" t="s">
        <v>4904</v>
      </c>
      <c r="AK642" t="s">
        <v>4911</v>
      </c>
      <c r="AL642" t="s">
        <v>2148</v>
      </c>
      <c r="AN642" t="s">
        <v>3434</v>
      </c>
    </row>
    <row r="643" spans="1:41">
      <c r="A643" s="1" t="s">
        <v>679</v>
      </c>
      <c r="B643" t="s">
        <v>2001</v>
      </c>
      <c r="C643" t="s">
        <v>2000</v>
      </c>
      <c r="D643" t="s">
        <v>2089</v>
      </c>
      <c r="E643" t="s">
        <v>2112</v>
      </c>
      <c r="F643" t="s">
        <v>2123</v>
      </c>
      <c r="G643" t="s">
        <v>2211</v>
      </c>
      <c r="H643">
        <v>10032</v>
      </c>
      <c r="I643" t="s">
        <v>2229</v>
      </c>
      <c r="J643">
        <v>2</v>
      </c>
      <c r="K643">
        <v>0</v>
      </c>
      <c r="L643" t="s">
        <v>2438</v>
      </c>
      <c r="M643" t="s">
        <v>2677</v>
      </c>
      <c r="P643" t="s">
        <v>2840</v>
      </c>
      <c r="Q643" t="s">
        <v>2113</v>
      </c>
      <c r="R643" t="s">
        <v>3258</v>
      </c>
      <c r="S643" t="s">
        <v>3286</v>
      </c>
      <c r="X643" t="s">
        <v>3354</v>
      </c>
      <c r="Y643" t="s">
        <v>2677</v>
      </c>
      <c r="Z643" t="s">
        <v>3388</v>
      </c>
      <c r="AA643" t="s">
        <v>3406</v>
      </c>
      <c r="AB643" t="s">
        <v>3434</v>
      </c>
      <c r="AC643">
        <f>HYPERLINK("https://lsnyc.legalserver.org/matter/dynamic-profile/view/1899370","19-1899370")</f>
        <v>0</v>
      </c>
      <c r="AD643" t="s">
        <v>3445</v>
      </c>
      <c r="AE643" t="s">
        <v>3452</v>
      </c>
      <c r="AF643" t="s">
        <v>4036</v>
      </c>
      <c r="AG643" t="s">
        <v>3388</v>
      </c>
      <c r="AH643" t="s">
        <v>4904</v>
      </c>
      <c r="AK643" t="s">
        <v>4911</v>
      </c>
      <c r="AL643" t="s">
        <v>2123</v>
      </c>
      <c r="AN643" t="s">
        <v>3434</v>
      </c>
    </row>
    <row r="644" spans="1:41">
      <c r="A644" s="1" t="s">
        <v>680</v>
      </c>
      <c r="B644" t="s">
        <v>2001</v>
      </c>
      <c r="C644" t="s">
        <v>2002</v>
      </c>
      <c r="D644" t="s">
        <v>2051</v>
      </c>
      <c r="E644" t="s">
        <v>2111</v>
      </c>
      <c r="F644" t="s">
        <v>2123</v>
      </c>
      <c r="G644" t="s">
        <v>2216</v>
      </c>
      <c r="H644">
        <v>10301</v>
      </c>
      <c r="J644">
        <v>3</v>
      </c>
      <c r="K644">
        <v>1</v>
      </c>
      <c r="L644" t="s">
        <v>2439</v>
      </c>
      <c r="M644" t="s">
        <v>2677</v>
      </c>
      <c r="P644" t="s">
        <v>2840</v>
      </c>
      <c r="Q644" t="s">
        <v>2113</v>
      </c>
      <c r="R644" t="s">
        <v>3258</v>
      </c>
      <c r="S644" t="s">
        <v>3286</v>
      </c>
      <c r="X644" t="s">
        <v>3354</v>
      </c>
      <c r="Y644" t="s">
        <v>2677</v>
      </c>
      <c r="Z644" t="s">
        <v>3388</v>
      </c>
      <c r="AA644" t="s">
        <v>3406</v>
      </c>
      <c r="AB644" t="s">
        <v>3434</v>
      </c>
      <c r="AC644">
        <f>HYPERLINK("https://lsnyc.legalserver.org/matter/dynamic-profile/view/1899396","19-1899396")</f>
        <v>0</v>
      </c>
      <c r="AD644" t="s">
        <v>3445</v>
      </c>
      <c r="AE644" t="s">
        <v>3455</v>
      </c>
      <c r="AF644" t="s">
        <v>4037</v>
      </c>
      <c r="AG644" t="s">
        <v>3388</v>
      </c>
      <c r="AH644" t="s">
        <v>4904</v>
      </c>
      <c r="AK644" t="s">
        <v>4911</v>
      </c>
      <c r="AL644" t="s">
        <v>2123</v>
      </c>
      <c r="AN644" t="s">
        <v>3434</v>
      </c>
    </row>
    <row r="645" spans="1:41">
      <c r="A645" s="1" t="s">
        <v>681</v>
      </c>
      <c r="B645" t="s">
        <v>2000</v>
      </c>
      <c r="C645" t="s">
        <v>2001</v>
      </c>
      <c r="D645" t="s">
        <v>2068</v>
      </c>
      <c r="E645" t="s">
        <v>2112</v>
      </c>
      <c r="F645" t="s">
        <v>2115</v>
      </c>
      <c r="G645" t="s">
        <v>2214</v>
      </c>
      <c r="H645">
        <v>11219</v>
      </c>
      <c r="J645">
        <v>4</v>
      </c>
      <c r="K645">
        <v>3</v>
      </c>
      <c r="L645" t="s">
        <v>2440</v>
      </c>
      <c r="M645" t="s">
        <v>2677</v>
      </c>
      <c r="P645" t="s">
        <v>2841</v>
      </c>
      <c r="Q645" t="s">
        <v>2113</v>
      </c>
      <c r="R645" t="s">
        <v>3259</v>
      </c>
      <c r="S645" t="s">
        <v>3276</v>
      </c>
      <c r="X645" t="s">
        <v>3354</v>
      </c>
      <c r="Y645" t="s">
        <v>2677</v>
      </c>
      <c r="Z645" t="s">
        <v>3373</v>
      </c>
      <c r="AA645" t="s">
        <v>3406</v>
      </c>
      <c r="AB645" t="s">
        <v>3424</v>
      </c>
      <c r="AC645">
        <f>HYPERLINK("https://lsnyc.legalserver.org/matter/dynamic-profile/view/1899197","19-1899197")</f>
        <v>0</v>
      </c>
      <c r="AD645" t="s">
        <v>3445</v>
      </c>
      <c r="AE645" t="s">
        <v>3455</v>
      </c>
      <c r="AF645" t="s">
        <v>4038</v>
      </c>
      <c r="AG645" t="s">
        <v>3373</v>
      </c>
      <c r="AH645" t="s">
        <v>4904</v>
      </c>
      <c r="AK645" t="s">
        <v>4911</v>
      </c>
      <c r="AL645" t="s">
        <v>2115</v>
      </c>
      <c r="AN645" t="s">
        <v>3424</v>
      </c>
    </row>
    <row r="646" spans="1:41">
      <c r="A646" s="1" t="s">
        <v>682</v>
      </c>
      <c r="B646" t="s">
        <v>2001</v>
      </c>
      <c r="C646" t="s">
        <v>2018</v>
      </c>
      <c r="D646" t="s">
        <v>2037</v>
      </c>
      <c r="E646" t="s">
        <v>2111</v>
      </c>
      <c r="F646" t="s">
        <v>2115</v>
      </c>
      <c r="G646" t="s">
        <v>2214</v>
      </c>
      <c r="H646">
        <v>11219</v>
      </c>
      <c r="J646">
        <v>4</v>
      </c>
      <c r="K646">
        <v>3</v>
      </c>
      <c r="L646" t="s">
        <v>2440</v>
      </c>
      <c r="M646" t="s">
        <v>2677</v>
      </c>
      <c r="P646" t="s">
        <v>2841</v>
      </c>
      <c r="Q646" t="s">
        <v>2113</v>
      </c>
      <c r="R646" t="s">
        <v>3259</v>
      </c>
      <c r="S646" t="s">
        <v>3264</v>
      </c>
      <c r="X646" t="s">
        <v>3354</v>
      </c>
      <c r="Y646" t="s">
        <v>2677</v>
      </c>
      <c r="Z646" t="s">
        <v>3397</v>
      </c>
      <c r="AA646" t="s">
        <v>3406</v>
      </c>
      <c r="AB646" t="s">
        <v>3412</v>
      </c>
      <c r="AC646">
        <f>HYPERLINK("https://lsnyc.legalserver.org/matter/dynamic-profile/view/1899205","19-1899205")</f>
        <v>0</v>
      </c>
      <c r="AD646" t="s">
        <v>3445</v>
      </c>
      <c r="AE646" t="s">
        <v>3455</v>
      </c>
      <c r="AF646" t="s">
        <v>4039</v>
      </c>
      <c r="AG646" t="s">
        <v>3397</v>
      </c>
      <c r="AH646" t="s">
        <v>4904</v>
      </c>
      <c r="AK646" t="s">
        <v>4911</v>
      </c>
      <c r="AL646" t="s">
        <v>2115</v>
      </c>
      <c r="AN646" t="s">
        <v>3412</v>
      </c>
    </row>
    <row r="647" spans="1:41">
      <c r="A647" s="1" t="s">
        <v>683</v>
      </c>
      <c r="B647" t="s">
        <v>2000</v>
      </c>
      <c r="C647" t="s">
        <v>2012</v>
      </c>
      <c r="D647" t="s">
        <v>2073</v>
      </c>
      <c r="E647" t="s">
        <v>2112</v>
      </c>
      <c r="F647" t="s">
        <v>2115</v>
      </c>
      <c r="G647" t="s">
        <v>2214</v>
      </c>
      <c r="H647">
        <v>11219</v>
      </c>
      <c r="J647">
        <v>4</v>
      </c>
      <c r="K647">
        <v>3</v>
      </c>
      <c r="L647" t="s">
        <v>2440</v>
      </c>
      <c r="M647" t="s">
        <v>2677</v>
      </c>
      <c r="P647" t="s">
        <v>2841</v>
      </c>
      <c r="Q647" t="s">
        <v>2113</v>
      </c>
      <c r="R647" t="s">
        <v>3259</v>
      </c>
      <c r="S647" t="s">
        <v>3264</v>
      </c>
      <c r="X647" t="s">
        <v>3354</v>
      </c>
      <c r="Y647" t="s">
        <v>2677</v>
      </c>
      <c r="Z647" t="s">
        <v>3397</v>
      </c>
      <c r="AA647" t="s">
        <v>3406</v>
      </c>
      <c r="AB647" t="s">
        <v>3412</v>
      </c>
      <c r="AC647">
        <f>HYPERLINK("https://lsnyc.legalserver.org/matter/dynamic-profile/view/1899212","19-1899212")</f>
        <v>0</v>
      </c>
      <c r="AD647" t="s">
        <v>3445</v>
      </c>
      <c r="AE647" t="s">
        <v>3455</v>
      </c>
      <c r="AF647" t="s">
        <v>4040</v>
      </c>
      <c r="AG647" t="s">
        <v>3397</v>
      </c>
      <c r="AH647" t="s">
        <v>4904</v>
      </c>
      <c r="AK647" t="s">
        <v>4911</v>
      </c>
      <c r="AL647" t="s">
        <v>2115</v>
      </c>
      <c r="AN647" t="s">
        <v>3412</v>
      </c>
    </row>
    <row r="648" spans="1:41">
      <c r="A648" s="1" t="s">
        <v>684</v>
      </c>
      <c r="B648" t="s">
        <v>2000</v>
      </c>
      <c r="C648" t="s">
        <v>2012</v>
      </c>
      <c r="D648" t="s">
        <v>2073</v>
      </c>
      <c r="E648" t="s">
        <v>2112</v>
      </c>
      <c r="F648" t="s">
        <v>2115</v>
      </c>
      <c r="G648" t="s">
        <v>2214</v>
      </c>
      <c r="H648">
        <v>11219</v>
      </c>
      <c r="J648">
        <v>4</v>
      </c>
      <c r="K648">
        <v>3</v>
      </c>
      <c r="L648" t="s">
        <v>2440</v>
      </c>
      <c r="M648" t="s">
        <v>2677</v>
      </c>
      <c r="P648" t="s">
        <v>2841</v>
      </c>
      <c r="Q648" t="s">
        <v>2113</v>
      </c>
      <c r="R648" t="s">
        <v>3259</v>
      </c>
      <c r="S648" t="s">
        <v>3276</v>
      </c>
      <c r="X648" t="s">
        <v>3354</v>
      </c>
      <c r="Y648" t="s">
        <v>2677</v>
      </c>
      <c r="Z648" t="s">
        <v>3373</v>
      </c>
      <c r="AA648" t="s">
        <v>3406</v>
      </c>
      <c r="AB648" t="s">
        <v>3424</v>
      </c>
      <c r="AC648">
        <f>HYPERLINK("https://lsnyc.legalserver.org/matter/dynamic-profile/view/1899229","19-1899229")</f>
        <v>0</v>
      </c>
      <c r="AD648" t="s">
        <v>3445</v>
      </c>
      <c r="AE648" t="s">
        <v>3455</v>
      </c>
      <c r="AF648" t="s">
        <v>4040</v>
      </c>
      <c r="AG648" t="s">
        <v>3373</v>
      </c>
      <c r="AH648" t="s">
        <v>4904</v>
      </c>
      <c r="AK648" t="s">
        <v>4911</v>
      </c>
      <c r="AL648" t="s">
        <v>2115</v>
      </c>
      <c r="AN648" t="s">
        <v>3424</v>
      </c>
    </row>
    <row r="649" spans="1:41">
      <c r="A649" s="1" t="s">
        <v>685</v>
      </c>
      <c r="B649" t="s">
        <v>2001</v>
      </c>
      <c r="C649" t="s">
        <v>2018</v>
      </c>
      <c r="D649" t="s">
        <v>2037</v>
      </c>
      <c r="E649" t="s">
        <v>2111</v>
      </c>
      <c r="F649" t="s">
        <v>2115</v>
      </c>
      <c r="G649" t="s">
        <v>2214</v>
      </c>
      <c r="H649">
        <v>11219</v>
      </c>
      <c r="J649">
        <v>4</v>
      </c>
      <c r="K649">
        <v>3</v>
      </c>
      <c r="L649" t="s">
        <v>2440</v>
      </c>
      <c r="M649" t="s">
        <v>2677</v>
      </c>
      <c r="P649" t="s">
        <v>2841</v>
      </c>
      <c r="Q649" t="s">
        <v>2113</v>
      </c>
      <c r="R649" t="s">
        <v>3259</v>
      </c>
      <c r="S649" t="s">
        <v>3276</v>
      </c>
      <c r="X649" t="s">
        <v>3354</v>
      </c>
      <c r="Y649" t="s">
        <v>2677</v>
      </c>
      <c r="Z649" t="s">
        <v>3373</v>
      </c>
      <c r="AA649" t="s">
        <v>3406</v>
      </c>
      <c r="AB649" t="s">
        <v>3424</v>
      </c>
      <c r="AC649">
        <f>HYPERLINK("https://lsnyc.legalserver.org/matter/dynamic-profile/view/1899236","19-1899236")</f>
        <v>0</v>
      </c>
      <c r="AD649" t="s">
        <v>3445</v>
      </c>
      <c r="AE649" t="s">
        <v>3455</v>
      </c>
      <c r="AF649" t="s">
        <v>4039</v>
      </c>
      <c r="AG649" t="s">
        <v>3373</v>
      </c>
      <c r="AH649" t="s">
        <v>4904</v>
      </c>
      <c r="AK649" t="s">
        <v>4911</v>
      </c>
      <c r="AL649" t="s">
        <v>2115</v>
      </c>
      <c r="AN649" t="s">
        <v>3424</v>
      </c>
    </row>
    <row r="650" spans="1:41">
      <c r="A650" s="1" t="s">
        <v>686</v>
      </c>
      <c r="B650" t="s">
        <v>2001</v>
      </c>
      <c r="C650" t="s">
        <v>2016</v>
      </c>
      <c r="D650" t="s">
        <v>2029</v>
      </c>
      <c r="E650" t="s">
        <v>2112</v>
      </c>
      <c r="F650" t="s">
        <v>2123</v>
      </c>
      <c r="G650" t="s">
        <v>2211</v>
      </c>
      <c r="H650">
        <v>10453</v>
      </c>
      <c r="J650">
        <v>4</v>
      </c>
      <c r="K650">
        <v>2</v>
      </c>
      <c r="L650" t="s">
        <v>2441</v>
      </c>
      <c r="M650" t="s">
        <v>2677</v>
      </c>
      <c r="P650" t="s">
        <v>2841</v>
      </c>
      <c r="Q650" t="s">
        <v>2113</v>
      </c>
      <c r="R650" t="s">
        <v>3258</v>
      </c>
      <c r="S650" t="s">
        <v>3286</v>
      </c>
      <c r="X650" t="s">
        <v>3354</v>
      </c>
      <c r="Y650" t="s">
        <v>2677</v>
      </c>
      <c r="Z650" t="s">
        <v>3388</v>
      </c>
      <c r="AA650" t="s">
        <v>3406</v>
      </c>
      <c r="AB650" t="s">
        <v>3434</v>
      </c>
      <c r="AC650">
        <f>HYPERLINK("https://lsnyc.legalserver.org/matter/dynamic-profile/view/1899249","19-1899249")</f>
        <v>0</v>
      </c>
      <c r="AD650" t="s">
        <v>3445</v>
      </c>
      <c r="AE650" t="s">
        <v>3455</v>
      </c>
      <c r="AF650" t="s">
        <v>4041</v>
      </c>
      <c r="AG650" t="s">
        <v>3388</v>
      </c>
      <c r="AH650" t="s">
        <v>4904</v>
      </c>
      <c r="AK650" t="s">
        <v>4911</v>
      </c>
      <c r="AL650" t="s">
        <v>2123</v>
      </c>
      <c r="AN650" t="s">
        <v>3434</v>
      </c>
    </row>
    <row r="651" spans="1:41">
      <c r="A651" s="1" t="s">
        <v>687</v>
      </c>
      <c r="B651" t="s">
        <v>2001</v>
      </c>
      <c r="C651" t="s">
        <v>1998</v>
      </c>
      <c r="D651" t="s">
        <v>2044</v>
      </c>
      <c r="E651" t="s">
        <v>2111</v>
      </c>
      <c r="F651" t="s">
        <v>2131</v>
      </c>
      <c r="G651" t="s">
        <v>2212</v>
      </c>
      <c r="H651">
        <v>11372</v>
      </c>
      <c r="J651">
        <v>1</v>
      </c>
      <c r="K651">
        <v>0</v>
      </c>
      <c r="L651" t="s">
        <v>2260</v>
      </c>
      <c r="M651" t="s">
        <v>2677</v>
      </c>
      <c r="P651" t="s">
        <v>2842</v>
      </c>
      <c r="Q651" t="s">
        <v>2113</v>
      </c>
      <c r="R651" t="s">
        <v>3258</v>
      </c>
      <c r="S651" t="s">
        <v>3262</v>
      </c>
      <c r="X651" t="s">
        <v>3354</v>
      </c>
      <c r="Y651" t="s">
        <v>2677</v>
      </c>
      <c r="Z651" t="s">
        <v>3355</v>
      </c>
      <c r="AA651" t="s">
        <v>3406</v>
      </c>
      <c r="AB651" t="s">
        <v>3410</v>
      </c>
      <c r="AC651">
        <f>HYPERLINK("https://lsnyc.legalserver.org/matter/dynamic-profile/view/1899057","19-1899057")</f>
        <v>0</v>
      </c>
      <c r="AD651" t="s">
        <v>3445</v>
      </c>
      <c r="AE651" t="s">
        <v>3455</v>
      </c>
      <c r="AF651" t="s">
        <v>4042</v>
      </c>
      <c r="AG651" t="s">
        <v>3355</v>
      </c>
      <c r="AH651" t="s">
        <v>4904</v>
      </c>
      <c r="AI651" t="s">
        <v>4909</v>
      </c>
      <c r="AK651" t="s">
        <v>4911</v>
      </c>
      <c r="AL651" t="s">
        <v>2131</v>
      </c>
      <c r="AN651" t="s">
        <v>3410</v>
      </c>
    </row>
    <row r="652" spans="1:41">
      <c r="A652" s="1" t="s">
        <v>688</v>
      </c>
      <c r="B652" t="s">
        <v>1998</v>
      </c>
      <c r="C652" t="s">
        <v>2001</v>
      </c>
      <c r="D652" t="s">
        <v>2044</v>
      </c>
      <c r="E652" t="s">
        <v>2112</v>
      </c>
      <c r="F652" t="s">
        <v>2117</v>
      </c>
      <c r="G652" t="s">
        <v>2213</v>
      </c>
      <c r="H652">
        <v>10458</v>
      </c>
      <c r="J652">
        <v>2</v>
      </c>
      <c r="K652">
        <v>1</v>
      </c>
      <c r="L652" t="s">
        <v>2262</v>
      </c>
      <c r="M652" t="s">
        <v>2677</v>
      </c>
      <c r="P652" t="s">
        <v>2842</v>
      </c>
      <c r="Q652" t="s">
        <v>2113</v>
      </c>
      <c r="R652" t="s">
        <v>3259</v>
      </c>
      <c r="S652" t="s">
        <v>3267</v>
      </c>
      <c r="X652" t="s">
        <v>3354</v>
      </c>
      <c r="Y652" t="s">
        <v>2677</v>
      </c>
      <c r="Z652" t="s">
        <v>3359</v>
      </c>
      <c r="AA652" t="s">
        <v>3406</v>
      </c>
      <c r="AB652" t="s">
        <v>3415</v>
      </c>
      <c r="AC652">
        <f>HYPERLINK("https://lsnyc.legalserver.org/matter/dynamic-profile/view/1899068","19-1899068")</f>
        <v>0</v>
      </c>
      <c r="AD652" t="s">
        <v>3445</v>
      </c>
      <c r="AE652" t="s">
        <v>3452</v>
      </c>
      <c r="AF652" t="s">
        <v>3705</v>
      </c>
      <c r="AG652" t="s">
        <v>3359</v>
      </c>
      <c r="AH652" t="s">
        <v>4906</v>
      </c>
      <c r="AK652" t="s">
        <v>4911</v>
      </c>
      <c r="AL652" t="s">
        <v>2117</v>
      </c>
      <c r="AN652" t="s">
        <v>3415</v>
      </c>
    </row>
    <row r="653" spans="1:41">
      <c r="A653" s="1" t="s">
        <v>689</v>
      </c>
      <c r="B653" t="s">
        <v>1998</v>
      </c>
      <c r="C653" t="s">
        <v>2016</v>
      </c>
      <c r="D653" t="s">
        <v>2079</v>
      </c>
      <c r="E653" t="s">
        <v>2111</v>
      </c>
      <c r="F653" t="s">
        <v>2114</v>
      </c>
      <c r="G653" t="s">
        <v>2213</v>
      </c>
      <c r="H653">
        <v>10474</v>
      </c>
      <c r="J653">
        <v>2</v>
      </c>
      <c r="K653">
        <v>0</v>
      </c>
      <c r="L653" t="s">
        <v>2405</v>
      </c>
      <c r="M653" t="s">
        <v>2677</v>
      </c>
      <c r="P653" t="s">
        <v>2842</v>
      </c>
      <c r="Q653" t="s">
        <v>2113</v>
      </c>
      <c r="R653" t="s">
        <v>3258</v>
      </c>
      <c r="S653" t="s">
        <v>3286</v>
      </c>
      <c r="X653" t="s">
        <v>3354</v>
      </c>
      <c r="Y653" t="s">
        <v>2677</v>
      </c>
      <c r="Z653" t="s">
        <v>3388</v>
      </c>
      <c r="AA653" t="s">
        <v>3406</v>
      </c>
      <c r="AB653" t="s">
        <v>3434</v>
      </c>
      <c r="AC653">
        <f>HYPERLINK("https://lsnyc.legalserver.org/matter/dynamic-profile/view/1899076","19-1899076")</f>
        <v>0</v>
      </c>
      <c r="AD653" t="s">
        <v>3445</v>
      </c>
      <c r="AE653" t="s">
        <v>3455</v>
      </c>
      <c r="AF653" t="s">
        <v>4043</v>
      </c>
      <c r="AG653" t="s">
        <v>3388</v>
      </c>
      <c r="AH653" t="s">
        <v>4904</v>
      </c>
      <c r="AI653" t="s">
        <v>4909</v>
      </c>
      <c r="AK653" t="s">
        <v>4911</v>
      </c>
      <c r="AL653" t="s">
        <v>2114</v>
      </c>
      <c r="AN653" t="s">
        <v>3434</v>
      </c>
    </row>
    <row r="654" spans="1:41">
      <c r="A654" s="1" t="s">
        <v>690</v>
      </c>
      <c r="B654" t="s">
        <v>2016</v>
      </c>
      <c r="C654" t="s">
        <v>2003</v>
      </c>
      <c r="D654" t="s">
        <v>2055</v>
      </c>
      <c r="E654" t="s">
        <v>2111</v>
      </c>
      <c r="F654" t="s">
        <v>2117</v>
      </c>
      <c r="G654" t="s">
        <v>2211</v>
      </c>
      <c r="H654">
        <v>10033</v>
      </c>
      <c r="I654" t="s">
        <v>2229</v>
      </c>
      <c r="J654">
        <v>3</v>
      </c>
      <c r="K654">
        <v>2</v>
      </c>
      <c r="L654" t="s">
        <v>2260</v>
      </c>
      <c r="M654" t="s">
        <v>2677</v>
      </c>
      <c r="P654" t="s">
        <v>2741</v>
      </c>
      <c r="Q654" t="s">
        <v>2113</v>
      </c>
      <c r="R654" t="s">
        <v>3259</v>
      </c>
      <c r="S654" t="s">
        <v>3267</v>
      </c>
      <c r="V654" t="s">
        <v>3353</v>
      </c>
      <c r="X654" t="s">
        <v>3354</v>
      </c>
      <c r="Y654" t="s">
        <v>2678</v>
      </c>
      <c r="Z654" t="s">
        <v>3359</v>
      </c>
      <c r="AA654" t="s">
        <v>3406</v>
      </c>
      <c r="AB654" t="s">
        <v>3415</v>
      </c>
      <c r="AC654">
        <f>HYPERLINK("https://lsnyc.legalserver.org/matter/dynamic-profile/view/1899089","19-1899089")</f>
        <v>0</v>
      </c>
      <c r="AD654" t="s">
        <v>3442</v>
      </c>
      <c r="AE654" t="s">
        <v>3448</v>
      </c>
      <c r="AF654" t="s">
        <v>4044</v>
      </c>
      <c r="AG654" t="s">
        <v>3359</v>
      </c>
      <c r="AH654" t="s">
        <v>4904</v>
      </c>
      <c r="AL654" t="s">
        <v>2117</v>
      </c>
      <c r="AN654" t="s">
        <v>3415</v>
      </c>
      <c r="AO654" t="s">
        <v>3353</v>
      </c>
    </row>
    <row r="655" spans="1:41">
      <c r="A655" s="1" t="s">
        <v>691</v>
      </c>
      <c r="B655" t="s">
        <v>2016</v>
      </c>
      <c r="C655" t="s">
        <v>2021</v>
      </c>
      <c r="D655" t="s">
        <v>2036</v>
      </c>
      <c r="E655" t="s">
        <v>2111</v>
      </c>
      <c r="F655" t="s">
        <v>2117</v>
      </c>
      <c r="G655" t="s">
        <v>2211</v>
      </c>
      <c r="H655">
        <v>10033</v>
      </c>
      <c r="I655" t="s">
        <v>2229</v>
      </c>
      <c r="J655">
        <v>3</v>
      </c>
      <c r="K655">
        <v>2</v>
      </c>
      <c r="L655" t="s">
        <v>2260</v>
      </c>
      <c r="M655" t="s">
        <v>2677</v>
      </c>
      <c r="P655" t="s">
        <v>2842</v>
      </c>
      <c r="Q655" t="s">
        <v>2113</v>
      </c>
      <c r="R655" t="s">
        <v>3259</v>
      </c>
      <c r="S655" t="s">
        <v>3268</v>
      </c>
      <c r="X655" t="s">
        <v>3354</v>
      </c>
      <c r="Y655" t="s">
        <v>2678</v>
      </c>
      <c r="Z655" t="s">
        <v>3368</v>
      </c>
      <c r="AA655" t="s">
        <v>3406</v>
      </c>
      <c r="AB655" t="s">
        <v>3416</v>
      </c>
      <c r="AC655">
        <f>HYPERLINK("https://lsnyc.legalserver.org/matter/dynamic-profile/view/1899100","19-1899100")</f>
        <v>0</v>
      </c>
      <c r="AD655" t="s">
        <v>3442</v>
      </c>
      <c r="AE655" t="s">
        <v>3448</v>
      </c>
      <c r="AF655" t="s">
        <v>4045</v>
      </c>
      <c r="AG655" t="s">
        <v>3368</v>
      </c>
      <c r="AH655" t="s">
        <v>4904</v>
      </c>
      <c r="AK655" t="s">
        <v>4911</v>
      </c>
      <c r="AL655" t="s">
        <v>2117</v>
      </c>
      <c r="AN655" t="s">
        <v>3416</v>
      </c>
    </row>
    <row r="656" spans="1:41">
      <c r="A656" s="1" t="s">
        <v>692</v>
      </c>
      <c r="B656" t="s">
        <v>2016</v>
      </c>
      <c r="C656" t="s">
        <v>2021</v>
      </c>
      <c r="D656" t="s">
        <v>2036</v>
      </c>
      <c r="E656" t="s">
        <v>2111</v>
      </c>
      <c r="F656" t="s">
        <v>2117</v>
      </c>
      <c r="G656" t="s">
        <v>2211</v>
      </c>
      <c r="H656">
        <v>10033</v>
      </c>
      <c r="I656" t="s">
        <v>2229</v>
      </c>
      <c r="J656">
        <v>3</v>
      </c>
      <c r="K656">
        <v>2</v>
      </c>
      <c r="L656" t="s">
        <v>2260</v>
      </c>
      <c r="M656" t="s">
        <v>2677</v>
      </c>
      <c r="P656" t="s">
        <v>2712</v>
      </c>
      <c r="Q656" t="s">
        <v>2113</v>
      </c>
      <c r="R656" t="s">
        <v>3259</v>
      </c>
      <c r="S656" t="s">
        <v>3272</v>
      </c>
      <c r="T656" t="s">
        <v>3294</v>
      </c>
      <c r="U656" t="s">
        <v>2712</v>
      </c>
      <c r="X656" t="s">
        <v>3354</v>
      </c>
      <c r="Y656" t="s">
        <v>2678</v>
      </c>
      <c r="Z656" t="s">
        <v>3383</v>
      </c>
      <c r="AA656" t="s">
        <v>3406</v>
      </c>
      <c r="AB656" t="s">
        <v>3420</v>
      </c>
      <c r="AC656">
        <f>HYPERLINK("https://lsnyc.legalserver.org/matter/dynamic-profile/view/1899105","19-1899105")</f>
        <v>0</v>
      </c>
      <c r="AD656" t="s">
        <v>3442</v>
      </c>
      <c r="AE656" t="s">
        <v>3448</v>
      </c>
      <c r="AF656" t="s">
        <v>4045</v>
      </c>
      <c r="AG656" t="s">
        <v>3383</v>
      </c>
      <c r="AH656" t="s">
        <v>4906</v>
      </c>
      <c r="AL656" t="s">
        <v>2117</v>
      </c>
      <c r="AM656" t="s">
        <v>3294</v>
      </c>
      <c r="AN656" t="s">
        <v>3420</v>
      </c>
    </row>
    <row r="657" spans="1:40">
      <c r="A657" s="1" t="s">
        <v>693</v>
      </c>
      <c r="B657" t="s">
        <v>2016</v>
      </c>
      <c r="C657" t="s">
        <v>2002</v>
      </c>
      <c r="D657" t="s">
        <v>2065</v>
      </c>
      <c r="E657" t="s">
        <v>2111</v>
      </c>
      <c r="F657" t="s">
        <v>2117</v>
      </c>
      <c r="G657" t="s">
        <v>2213</v>
      </c>
      <c r="H657">
        <v>10451</v>
      </c>
      <c r="I657" t="s">
        <v>2229</v>
      </c>
      <c r="J657">
        <v>3</v>
      </c>
      <c r="K657">
        <v>1</v>
      </c>
      <c r="L657" t="s">
        <v>2275</v>
      </c>
      <c r="M657" t="s">
        <v>2677</v>
      </c>
      <c r="P657" t="s">
        <v>2842</v>
      </c>
      <c r="Q657" t="s">
        <v>2113</v>
      </c>
      <c r="R657" t="s">
        <v>3258</v>
      </c>
      <c r="S657" t="s">
        <v>3265</v>
      </c>
      <c r="X657" t="s">
        <v>3354</v>
      </c>
      <c r="Y657" t="s">
        <v>2678</v>
      </c>
      <c r="Z657" t="s">
        <v>3358</v>
      </c>
      <c r="AA657" t="s">
        <v>3406</v>
      </c>
      <c r="AB657" t="s">
        <v>3413</v>
      </c>
      <c r="AC657">
        <f>HYPERLINK("https://lsnyc.legalserver.org/matter/dynamic-profile/view/1899108","19-1899108")</f>
        <v>0</v>
      </c>
      <c r="AD657" t="s">
        <v>3442</v>
      </c>
      <c r="AE657" t="s">
        <v>3448</v>
      </c>
      <c r="AF657" t="s">
        <v>4046</v>
      </c>
      <c r="AG657" t="s">
        <v>3358</v>
      </c>
      <c r="AH657" t="s">
        <v>4906</v>
      </c>
      <c r="AK657" t="s">
        <v>4911</v>
      </c>
      <c r="AL657" t="s">
        <v>2117</v>
      </c>
      <c r="AN657" t="s">
        <v>3413</v>
      </c>
    </row>
    <row r="658" spans="1:40">
      <c r="A658" s="1" t="s">
        <v>694</v>
      </c>
      <c r="B658" t="s">
        <v>2001</v>
      </c>
      <c r="C658" t="s">
        <v>2001</v>
      </c>
      <c r="D658" t="s">
        <v>2076</v>
      </c>
      <c r="E658" t="s">
        <v>2112</v>
      </c>
      <c r="F658" t="s">
        <v>2116</v>
      </c>
      <c r="G658" t="s">
        <v>2212</v>
      </c>
      <c r="H658">
        <v>11372</v>
      </c>
      <c r="I658" t="s">
        <v>2229</v>
      </c>
      <c r="J658">
        <v>5</v>
      </c>
      <c r="K658">
        <v>4</v>
      </c>
      <c r="L658" t="s">
        <v>2275</v>
      </c>
      <c r="M658" t="s">
        <v>2677</v>
      </c>
      <c r="P658" t="s">
        <v>2842</v>
      </c>
      <c r="Q658" t="s">
        <v>2113</v>
      </c>
      <c r="R658" t="s">
        <v>3258</v>
      </c>
      <c r="S658" t="s">
        <v>3286</v>
      </c>
      <c r="X658" t="s">
        <v>3354</v>
      </c>
      <c r="Y658" t="s">
        <v>2677</v>
      </c>
      <c r="Z658" t="s">
        <v>3388</v>
      </c>
      <c r="AA658" t="s">
        <v>3406</v>
      </c>
      <c r="AB658" t="s">
        <v>3434</v>
      </c>
      <c r="AC658">
        <f>HYPERLINK("https://lsnyc.legalserver.org/matter/dynamic-profile/view/1899160","19-1899160")</f>
        <v>0</v>
      </c>
      <c r="AD658" t="s">
        <v>3445</v>
      </c>
      <c r="AE658" t="s">
        <v>3455</v>
      </c>
      <c r="AF658" t="s">
        <v>4047</v>
      </c>
      <c r="AG658" t="s">
        <v>3388</v>
      </c>
      <c r="AH658" t="s">
        <v>4904</v>
      </c>
      <c r="AL658" t="s">
        <v>2116</v>
      </c>
      <c r="AN658" t="s">
        <v>3434</v>
      </c>
    </row>
    <row r="659" spans="1:40">
      <c r="A659" s="1" t="s">
        <v>695</v>
      </c>
      <c r="B659" t="s">
        <v>2001</v>
      </c>
      <c r="C659" t="s">
        <v>2001</v>
      </c>
      <c r="D659" t="s">
        <v>2076</v>
      </c>
      <c r="E659" t="s">
        <v>2112</v>
      </c>
      <c r="F659" t="s">
        <v>2116</v>
      </c>
      <c r="G659" t="s">
        <v>2212</v>
      </c>
      <c r="H659">
        <v>11372</v>
      </c>
      <c r="I659" t="s">
        <v>2229</v>
      </c>
      <c r="J659">
        <v>5</v>
      </c>
      <c r="K659">
        <v>4</v>
      </c>
      <c r="L659" t="s">
        <v>2275</v>
      </c>
      <c r="M659" t="s">
        <v>2677</v>
      </c>
      <c r="P659" t="s">
        <v>2842</v>
      </c>
      <c r="Q659" t="s">
        <v>2113</v>
      </c>
      <c r="R659" t="s">
        <v>3259</v>
      </c>
      <c r="S659" t="s">
        <v>3276</v>
      </c>
      <c r="X659" t="s">
        <v>3354</v>
      </c>
      <c r="Y659" t="s">
        <v>2677</v>
      </c>
      <c r="Z659" t="s">
        <v>3373</v>
      </c>
      <c r="AA659" t="s">
        <v>3406</v>
      </c>
      <c r="AB659" t="s">
        <v>3424</v>
      </c>
      <c r="AC659">
        <f>HYPERLINK("https://lsnyc.legalserver.org/matter/dynamic-profile/view/1899169","19-1899169")</f>
        <v>0</v>
      </c>
      <c r="AD659" t="s">
        <v>3445</v>
      </c>
      <c r="AE659" t="s">
        <v>3455</v>
      </c>
      <c r="AF659" t="s">
        <v>4047</v>
      </c>
      <c r="AG659" t="s">
        <v>3373</v>
      </c>
      <c r="AH659" t="s">
        <v>4904</v>
      </c>
      <c r="AK659" t="s">
        <v>4911</v>
      </c>
      <c r="AL659" t="s">
        <v>2116</v>
      </c>
      <c r="AN659" t="s">
        <v>3424</v>
      </c>
    </row>
    <row r="660" spans="1:40">
      <c r="A660" s="1" t="s">
        <v>696</v>
      </c>
      <c r="B660" t="s">
        <v>2001</v>
      </c>
      <c r="C660" t="s">
        <v>2001</v>
      </c>
      <c r="D660" t="s">
        <v>2076</v>
      </c>
      <c r="E660" t="s">
        <v>2112</v>
      </c>
      <c r="F660" t="s">
        <v>2116</v>
      </c>
      <c r="G660" t="s">
        <v>2212</v>
      </c>
      <c r="H660">
        <v>11372</v>
      </c>
      <c r="J660">
        <v>5</v>
      </c>
      <c r="K660">
        <v>4</v>
      </c>
      <c r="L660" t="s">
        <v>2275</v>
      </c>
      <c r="M660" t="s">
        <v>2677</v>
      </c>
      <c r="P660" t="s">
        <v>2842</v>
      </c>
      <c r="Q660" t="s">
        <v>2113</v>
      </c>
      <c r="R660" t="s">
        <v>3258</v>
      </c>
      <c r="S660" t="s">
        <v>3262</v>
      </c>
      <c r="X660" t="s">
        <v>3354</v>
      </c>
      <c r="Y660" t="s">
        <v>2677</v>
      </c>
      <c r="Z660" t="s">
        <v>3355</v>
      </c>
      <c r="AA660" t="s">
        <v>3406</v>
      </c>
      <c r="AB660" t="s">
        <v>3410</v>
      </c>
      <c r="AC660">
        <f>HYPERLINK("https://lsnyc.legalserver.org/matter/dynamic-profile/view/1899173","19-1899173")</f>
        <v>0</v>
      </c>
      <c r="AD660" t="s">
        <v>3445</v>
      </c>
      <c r="AE660" t="s">
        <v>3455</v>
      </c>
      <c r="AF660" t="s">
        <v>4047</v>
      </c>
      <c r="AG660" t="s">
        <v>3355</v>
      </c>
      <c r="AH660" t="s">
        <v>4904</v>
      </c>
      <c r="AL660" t="s">
        <v>2116</v>
      </c>
      <c r="AN660" t="s">
        <v>3410</v>
      </c>
    </row>
    <row r="661" spans="1:40">
      <c r="A661" s="1" t="s">
        <v>697</v>
      </c>
      <c r="B661" t="s">
        <v>2002</v>
      </c>
      <c r="C661" t="s">
        <v>2000</v>
      </c>
      <c r="D661" t="s">
        <v>2041</v>
      </c>
      <c r="E661" t="s">
        <v>2111</v>
      </c>
      <c r="F661" t="s">
        <v>2120</v>
      </c>
      <c r="G661" t="s">
        <v>2213</v>
      </c>
      <c r="H661">
        <v>10469</v>
      </c>
      <c r="J661">
        <v>2</v>
      </c>
      <c r="K661">
        <v>0</v>
      </c>
      <c r="L661" t="s">
        <v>2442</v>
      </c>
      <c r="M661" t="s">
        <v>2677</v>
      </c>
      <c r="P661" t="s">
        <v>2843</v>
      </c>
      <c r="Q661" t="s">
        <v>2113</v>
      </c>
      <c r="R661" t="s">
        <v>3258</v>
      </c>
      <c r="S661" t="s">
        <v>3286</v>
      </c>
      <c r="X661" t="s">
        <v>3354</v>
      </c>
      <c r="Y661" t="s">
        <v>2677</v>
      </c>
      <c r="Z661" t="s">
        <v>3388</v>
      </c>
      <c r="AA661" t="s">
        <v>3406</v>
      </c>
      <c r="AB661" t="s">
        <v>3434</v>
      </c>
      <c r="AC661">
        <f>HYPERLINK("https://lsnyc.legalserver.org/matter/dynamic-profile/view/1898943","19-1898943")</f>
        <v>0</v>
      </c>
      <c r="AD661" t="s">
        <v>3445</v>
      </c>
      <c r="AE661" t="s">
        <v>3455</v>
      </c>
      <c r="AF661" t="s">
        <v>4048</v>
      </c>
      <c r="AG661" t="s">
        <v>3388</v>
      </c>
      <c r="AH661" t="s">
        <v>4904</v>
      </c>
      <c r="AI661" t="s">
        <v>4909</v>
      </c>
      <c r="AK661" t="s">
        <v>4911</v>
      </c>
      <c r="AL661" t="s">
        <v>2120</v>
      </c>
      <c r="AN661" t="s">
        <v>3434</v>
      </c>
    </row>
    <row r="662" spans="1:40">
      <c r="A662" s="1" t="s">
        <v>698</v>
      </c>
      <c r="B662" t="s">
        <v>2012</v>
      </c>
      <c r="C662" t="s">
        <v>2001</v>
      </c>
      <c r="D662" t="s">
        <v>2064</v>
      </c>
      <c r="E662" t="s">
        <v>2111</v>
      </c>
      <c r="F662" t="s">
        <v>2117</v>
      </c>
      <c r="G662" t="s">
        <v>2213</v>
      </c>
      <c r="H662">
        <v>10454</v>
      </c>
      <c r="I662" t="s">
        <v>2229</v>
      </c>
      <c r="J662">
        <v>4</v>
      </c>
      <c r="K662">
        <v>2</v>
      </c>
      <c r="L662" t="s">
        <v>2294</v>
      </c>
      <c r="M662" t="s">
        <v>2677</v>
      </c>
      <c r="P662" t="s">
        <v>2691</v>
      </c>
      <c r="Q662" t="s">
        <v>2113</v>
      </c>
      <c r="R662" t="s">
        <v>3259</v>
      </c>
      <c r="S662" t="s">
        <v>3267</v>
      </c>
      <c r="X662" t="s">
        <v>3354</v>
      </c>
      <c r="Y662" t="s">
        <v>2678</v>
      </c>
      <c r="Z662" t="s">
        <v>3359</v>
      </c>
      <c r="AA662" t="s">
        <v>3406</v>
      </c>
      <c r="AB662" t="s">
        <v>3415</v>
      </c>
      <c r="AC662">
        <f>HYPERLINK("https://lsnyc.legalserver.org/matter/dynamic-profile/view/1898949","19-1898949")</f>
        <v>0</v>
      </c>
      <c r="AD662" t="s">
        <v>3444</v>
      </c>
      <c r="AE662" t="s">
        <v>3451</v>
      </c>
      <c r="AF662" t="s">
        <v>3561</v>
      </c>
      <c r="AG662" t="s">
        <v>3359</v>
      </c>
      <c r="AH662" t="s">
        <v>4906</v>
      </c>
      <c r="AL662" t="s">
        <v>2117</v>
      </c>
      <c r="AN662" t="s">
        <v>3415</v>
      </c>
    </row>
    <row r="663" spans="1:40">
      <c r="A663" s="1" t="s">
        <v>699</v>
      </c>
      <c r="B663" t="s">
        <v>1998</v>
      </c>
      <c r="C663" t="s">
        <v>2002</v>
      </c>
      <c r="D663" t="s">
        <v>2081</v>
      </c>
      <c r="E663" t="s">
        <v>2111</v>
      </c>
      <c r="F663" t="s">
        <v>2116</v>
      </c>
      <c r="G663" t="s">
        <v>2213</v>
      </c>
      <c r="H663">
        <v>10451</v>
      </c>
      <c r="I663" t="s">
        <v>2229</v>
      </c>
      <c r="J663">
        <v>1</v>
      </c>
      <c r="K663">
        <v>0</v>
      </c>
      <c r="L663" t="s">
        <v>2264</v>
      </c>
      <c r="M663" t="s">
        <v>2677</v>
      </c>
      <c r="P663" t="s">
        <v>2843</v>
      </c>
      <c r="Q663" t="s">
        <v>2113</v>
      </c>
      <c r="X663" t="s">
        <v>3354</v>
      </c>
      <c r="Y663" t="s">
        <v>2677</v>
      </c>
      <c r="AA663" t="s">
        <v>3407</v>
      </c>
      <c r="AB663" t="s">
        <v>3407</v>
      </c>
      <c r="AC663">
        <f>HYPERLINK("https://lsnyc.legalserver.org/matter/dynamic-profile/view/1899030","19-1899030")</f>
        <v>0</v>
      </c>
      <c r="AD663" t="s">
        <v>3445</v>
      </c>
      <c r="AE663" t="s">
        <v>3469</v>
      </c>
      <c r="AF663" t="s">
        <v>4049</v>
      </c>
      <c r="AH663" t="s">
        <v>3407</v>
      </c>
      <c r="AL663" t="s">
        <v>2116</v>
      </c>
      <c r="AN663" t="s">
        <v>3407</v>
      </c>
    </row>
    <row r="664" spans="1:40">
      <c r="A664" s="1" t="s">
        <v>700</v>
      </c>
      <c r="B664" t="s">
        <v>2012</v>
      </c>
      <c r="C664" t="s">
        <v>1998</v>
      </c>
      <c r="D664" t="s">
        <v>2068</v>
      </c>
      <c r="E664" t="s">
        <v>2111</v>
      </c>
      <c r="F664" t="s">
        <v>2144</v>
      </c>
      <c r="G664" t="s">
        <v>2214</v>
      </c>
      <c r="H664">
        <v>11229</v>
      </c>
      <c r="I664" t="s">
        <v>2230</v>
      </c>
      <c r="J664">
        <v>1</v>
      </c>
      <c r="K664">
        <v>0</v>
      </c>
      <c r="L664" t="s">
        <v>2260</v>
      </c>
      <c r="M664" t="s">
        <v>2677</v>
      </c>
      <c r="P664" t="s">
        <v>2843</v>
      </c>
      <c r="Q664" t="s">
        <v>3255</v>
      </c>
      <c r="R664" t="s">
        <v>3259</v>
      </c>
      <c r="S664" t="s">
        <v>3268</v>
      </c>
      <c r="X664" t="s">
        <v>3354</v>
      </c>
      <c r="Y664" t="s">
        <v>2678</v>
      </c>
      <c r="Z664" t="s">
        <v>3368</v>
      </c>
      <c r="AA664" t="s">
        <v>3406</v>
      </c>
      <c r="AB664" t="s">
        <v>3416</v>
      </c>
      <c r="AC664">
        <f>HYPERLINK("https://lsnyc.legalserver.org/matter/dynamic-profile/view/1899032","19-1899032")</f>
        <v>0</v>
      </c>
      <c r="AD664" t="s">
        <v>3447</v>
      </c>
      <c r="AE664" t="s">
        <v>3458</v>
      </c>
      <c r="AF664" t="s">
        <v>4050</v>
      </c>
      <c r="AG664" t="s">
        <v>3368</v>
      </c>
      <c r="AH664" t="s">
        <v>4904</v>
      </c>
      <c r="AK664" t="s">
        <v>4911</v>
      </c>
      <c r="AL664" t="s">
        <v>2144</v>
      </c>
      <c r="AN664" t="s">
        <v>3416</v>
      </c>
    </row>
    <row r="665" spans="1:40">
      <c r="A665" s="1" t="s">
        <v>701</v>
      </c>
      <c r="B665" t="s">
        <v>1998</v>
      </c>
      <c r="C665" t="s">
        <v>2004</v>
      </c>
      <c r="D665" t="s">
        <v>2075</v>
      </c>
      <c r="E665" t="s">
        <v>2111</v>
      </c>
      <c r="F665" t="s">
        <v>2117</v>
      </c>
      <c r="G665" t="s">
        <v>2211</v>
      </c>
      <c r="H665">
        <v>10026</v>
      </c>
      <c r="I665" t="s">
        <v>2229</v>
      </c>
      <c r="J665">
        <v>2</v>
      </c>
      <c r="K665">
        <v>1</v>
      </c>
      <c r="L665" t="s">
        <v>2260</v>
      </c>
      <c r="M665" t="s">
        <v>2677</v>
      </c>
      <c r="P665" t="s">
        <v>2844</v>
      </c>
      <c r="Q665" t="s">
        <v>2113</v>
      </c>
      <c r="R665" t="s">
        <v>3259</v>
      </c>
      <c r="S665" t="s">
        <v>3267</v>
      </c>
      <c r="X665" t="s">
        <v>3354</v>
      </c>
      <c r="Y665" t="s">
        <v>2678</v>
      </c>
      <c r="Z665" t="s">
        <v>3380</v>
      </c>
      <c r="AA665" t="s">
        <v>3406</v>
      </c>
      <c r="AB665" t="s">
        <v>3415</v>
      </c>
      <c r="AC665">
        <f>HYPERLINK("https://lsnyc.legalserver.org/matter/dynamic-profile/view/1898819","19-1898819")</f>
        <v>0</v>
      </c>
      <c r="AD665" t="s">
        <v>3442</v>
      </c>
      <c r="AE665" t="s">
        <v>3480</v>
      </c>
      <c r="AF665" t="s">
        <v>4051</v>
      </c>
      <c r="AG665" t="s">
        <v>3380</v>
      </c>
      <c r="AH665" t="s">
        <v>4908</v>
      </c>
      <c r="AK665" t="s">
        <v>4911</v>
      </c>
      <c r="AL665" t="s">
        <v>2117</v>
      </c>
      <c r="AN665" t="s">
        <v>3415</v>
      </c>
    </row>
    <row r="666" spans="1:40">
      <c r="A666" s="1" t="s">
        <v>702</v>
      </c>
      <c r="B666" t="s">
        <v>1998</v>
      </c>
      <c r="C666" t="s">
        <v>2001</v>
      </c>
      <c r="D666" t="s">
        <v>2076</v>
      </c>
      <c r="E666" t="s">
        <v>2112</v>
      </c>
      <c r="F666" t="s">
        <v>2117</v>
      </c>
      <c r="G666" t="s">
        <v>2211</v>
      </c>
      <c r="H666">
        <v>10026</v>
      </c>
      <c r="I666" t="s">
        <v>2229</v>
      </c>
      <c r="J666">
        <v>2</v>
      </c>
      <c r="K666">
        <v>1</v>
      </c>
      <c r="L666" t="s">
        <v>2260</v>
      </c>
      <c r="M666" t="s">
        <v>2677</v>
      </c>
      <c r="P666" t="s">
        <v>2844</v>
      </c>
      <c r="Q666" t="s">
        <v>2113</v>
      </c>
      <c r="R666" t="s">
        <v>3259</v>
      </c>
      <c r="S666" t="s">
        <v>3267</v>
      </c>
      <c r="X666" t="s">
        <v>3354</v>
      </c>
      <c r="Y666" t="s">
        <v>2678</v>
      </c>
      <c r="Z666" t="s">
        <v>3380</v>
      </c>
      <c r="AA666" t="s">
        <v>3406</v>
      </c>
      <c r="AB666" t="s">
        <v>3415</v>
      </c>
      <c r="AC666">
        <f>HYPERLINK("https://lsnyc.legalserver.org/matter/dynamic-profile/view/1898833","19-1898833")</f>
        <v>0</v>
      </c>
      <c r="AD666" t="s">
        <v>3442</v>
      </c>
      <c r="AE666" t="s">
        <v>3480</v>
      </c>
      <c r="AF666" t="s">
        <v>4052</v>
      </c>
      <c r="AG666" t="s">
        <v>3380</v>
      </c>
      <c r="AH666" t="s">
        <v>4908</v>
      </c>
      <c r="AK666" t="s">
        <v>4911</v>
      </c>
      <c r="AL666" t="s">
        <v>2117</v>
      </c>
      <c r="AN666" t="s">
        <v>3415</v>
      </c>
    </row>
    <row r="667" spans="1:40">
      <c r="A667" s="1" t="s">
        <v>703</v>
      </c>
      <c r="B667" t="s">
        <v>2000</v>
      </c>
      <c r="C667" t="s">
        <v>2004</v>
      </c>
      <c r="D667" t="s">
        <v>2052</v>
      </c>
      <c r="E667" t="s">
        <v>2111</v>
      </c>
      <c r="F667" t="s">
        <v>2117</v>
      </c>
      <c r="G667" t="s">
        <v>2211</v>
      </c>
      <c r="H667">
        <v>10025</v>
      </c>
      <c r="I667" t="s">
        <v>2229</v>
      </c>
      <c r="J667">
        <v>3</v>
      </c>
      <c r="K667">
        <v>2</v>
      </c>
      <c r="L667" t="s">
        <v>2443</v>
      </c>
      <c r="M667" t="s">
        <v>2677</v>
      </c>
      <c r="P667" t="s">
        <v>2845</v>
      </c>
      <c r="Q667" t="s">
        <v>2113</v>
      </c>
      <c r="R667" t="s">
        <v>3259</v>
      </c>
      <c r="S667" t="s">
        <v>3267</v>
      </c>
      <c r="X667" t="s">
        <v>3354</v>
      </c>
      <c r="Y667" t="s">
        <v>2678</v>
      </c>
      <c r="Z667" t="s">
        <v>3380</v>
      </c>
      <c r="AA667" t="s">
        <v>3406</v>
      </c>
      <c r="AB667" t="s">
        <v>3415</v>
      </c>
      <c r="AC667">
        <f>HYPERLINK("https://lsnyc.legalserver.org/matter/dynamic-profile/view/1898642","19-1898642")</f>
        <v>0</v>
      </c>
      <c r="AD667" t="s">
        <v>3442</v>
      </c>
      <c r="AE667" t="s">
        <v>3476</v>
      </c>
      <c r="AF667" t="s">
        <v>4053</v>
      </c>
      <c r="AG667" t="s">
        <v>3380</v>
      </c>
      <c r="AH667" t="s">
        <v>4906</v>
      </c>
      <c r="AK667" t="s">
        <v>4911</v>
      </c>
      <c r="AL667" t="s">
        <v>2117</v>
      </c>
      <c r="AN667" t="s">
        <v>3415</v>
      </c>
    </row>
    <row r="668" spans="1:40">
      <c r="A668" s="1" t="s">
        <v>704</v>
      </c>
      <c r="B668" t="s">
        <v>2000</v>
      </c>
      <c r="C668" t="s">
        <v>2004</v>
      </c>
      <c r="D668" t="s">
        <v>2045</v>
      </c>
      <c r="E668" t="s">
        <v>2112</v>
      </c>
      <c r="F668" t="s">
        <v>2117</v>
      </c>
      <c r="G668" t="s">
        <v>2211</v>
      </c>
      <c r="H668">
        <v>10025</v>
      </c>
      <c r="I668" t="s">
        <v>2229</v>
      </c>
      <c r="J668">
        <v>4</v>
      </c>
      <c r="K668">
        <v>3</v>
      </c>
      <c r="L668" t="s">
        <v>2443</v>
      </c>
      <c r="M668" t="s">
        <v>2677</v>
      </c>
      <c r="P668" t="s">
        <v>2845</v>
      </c>
      <c r="Q668" t="s">
        <v>2113</v>
      </c>
      <c r="R668" t="s">
        <v>3259</v>
      </c>
      <c r="S668" t="s">
        <v>3267</v>
      </c>
      <c r="X668" t="s">
        <v>3354</v>
      </c>
      <c r="Y668" t="s">
        <v>2678</v>
      </c>
      <c r="Z668" t="s">
        <v>3380</v>
      </c>
      <c r="AA668" t="s">
        <v>3406</v>
      </c>
      <c r="AB668" t="s">
        <v>3415</v>
      </c>
      <c r="AC668">
        <f>HYPERLINK("https://lsnyc.legalserver.org/matter/dynamic-profile/view/1898651","19-1898651")</f>
        <v>0</v>
      </c>
      <c r="AD668" t="s">
        <v>3442</v>
      </c>
      <c r="AE668" t="s">
        <v>3476</v>
      </c>
      <c r="AF668" t="s">
        <v>4054</v>
      </c>
      <c r="AG668" t="s">
        <v>3380</v>
      </c>
      <c r="AH668" t="s">
        <v>4906</v>
      </c>
      <c r="AK668" t="s">
        <v>4911</v>
      </c>
      <c r="AL668" t="s">
        <v>2117</v>
      </c>
      <c r="AN668" t="s">
        <v>3415</v>
      </c>
    </row>
    <row r="669" spans="1:40">
      <c r="A669" s="1" t="s">
        <v>705</v>
      </c>
      <c r="B669" t="s">
        <v>1998</v>
      </c>
      <c r="C669" t="s">
        <v>2003</v>
      </c>
      <c r="D669" t="s">
        <v>2031</v>
      </c>
      <c r="E669" t="s">
        <v>2111</v>
      </c>
      <c r="F669" t="s">
        <v>2117</v>
      </c>
      <c r="G669" t="s">
        <v>2213</v>
      </c>
      <c r="H669">
        <v>10457</v>
      </c>
      <c r="I669" t="s">
        <v>2229</v>
      </c>
      <c r="J669">
        <v>2</v>
      </c>
      <c r="K669">
        <v>1</v>
      </c>
      <c r="L669" t="s">
        <v>2260</v>
      </c>
      <c r="M669" t="s">
        <v>2677</v>
      </c>
      <c r="P669" t="s">
        <v>2834</v>
      </c>
      <c r="Q669" t="s">
        <v>2113</v>
      </c>
      <c r="R669" t="s">
        <v>3259</v>
      </c>
      <c r="S669" t="s">
        <v>3267</v>
      </c>
      <c r="X669" t="s">
        <v>3354</v>
      </c>
      <c r="Y669" t="s">
        <v>2678</v>
      </c>
      <c r="Z669" t="s">
        <v>3359</v>
      </c>
      <c r="AA669" t="s">
        <v>3406</v>
      </c>
      <c r="AB669" t="s">
        <v>3415</v>
      </c>
      <c r="AC669">
        <f>HYPERLINK("https://lsnyc.legalserver.org/matter/dynamic-profile/view/1898660","19-1898660")</f>
        <v>0</v>
      </c>
      <c r="AD669" t="s">
        <v>3442</v>
      </c>
      <c r="AE669" t="s">
        <v>3470</v>
      </c>
      <c r="AF669" t="s">
        <v>4055</v>
      </c>
      <c r="AG669" t="s">
        <v>3359</v>
      </c>
      <c r="AH669" t="s">
        <v>4906</v>
      </c>
      <c r="AL669" t="s">
        <v>2117</v>
      </c>
      <c r="AN669" t="s">
        <v>3415</v>
      </c>
    </row>
    <row r="670" spans="1:40">
      <c r="A670" s="1" t="s">
        <v>706</v>
      </c>
      <c r="B670" t="s">
        <v>1998</v>
      </c>
      <c r="C670" t="s">
        <v>1998</v>
      </c>
      <c r="D670" t="s">
        <v>2096</v>
      </c>
      <c r="E670" t="s">
        <v>2112</v>
      </c>
      <c r="F670" t="s">
        <v>2117</v>
      </c>
      <c r="G670" t="s">
        <v>2213</v>
      </c>
      <c r="H670">
        <v>10452</v>
      </c>
      <c r="I670" t="s">
        <v>2229</v>
      </c>
      <c r="J670">
        <v>4</v>
      </c>
      <c r="K670">
        <v>3</v>
      </c>
      <c r="L670" t="s">
        <v>2260</v>
      </c>
      <c r="M670" t="s">
        <v>2677</v>
      </c>
      <c r="P670" t="s">
        <v>2845</v>
      </c>
      <c r="Q670" t="s">
        <v>2113</v>
      </c>
      <c r="R670" t="s">
        <v>3259</v>
      </c>
      <c r="S670" t="s">
        <v>3267</v>
      </c>
      <c r="X670" t="s">
        <v>3354</v>
      </c>
      <c r="Y670" t="s">
        <v>2678</v>
      </c>
      <c r="Z670" t="s">
        <v>3380</v>
      </c>
      <c r="AA670" t="s">
        <v>3406</v>
      </c>
      <c r="AB670" t="s">
        <v>3415</v>
      </c>
      <c r="AC670">
        <f>HYPERLINK("https://lsnyc.legalserver.org/matter/dynamic-profile/view/1898663","19-1898663")</f>
        <v>0</v>
      </c>
      <c r="AD670" t="s">
        <v>3442</v>
      </c>
      <c r="AE670" t="s">
        <v>3476</v>
      </c>
      <c r="AF670" t="s">
        <v>4056</v>
      </c>
      <c r="AG670" t="s">
        <v>3380</v>
      </c>
      <c r="AH670" t="s">
        <v>4906</v>
      </c>
      <c r="AK670" t="s">
        <v>4911</v>
      </c>
      <c r="AL670" t="s">
        <v>2117</v>
      </c>
      <c r="AN670" t="s">
        <v>3415</v>
      </c>
    </row>
    <row r="671" spans="1:40">
      <c r="A671" s="1" t="s">
        <v>707</v>
      </c>
      <c r="B671" t="s">
        <v>2009</v>
      </c>
      <c r="C671" t="s">
        <v>2000</v>
      </c>
      <c r="D671" t="s">
        <v>2036</v>
      </c>
      <c r="E671" t="s">
        <v>2111</v>
      </c>
      <c r="F671" t="s">
        <v>2114</v>
      </c>
      <c r="G671" t="s">
        <v>2214</v>
      </c>
      <c r="H671">
        <v>11235</v>
      </c>
      <c r="I671" t="s">
        <v>2229</v>
      </c>
      <c r="J671">
        <v>2</v>
      </c>
      <c r="K671">
        <v>1</v>
      </c>
      <c r="L671" t="s">
        <v>2288</v>
      </c>
      <c r="M671" t="s">
        <v>2677</v>
      </c>
      <c r="P671" t="s">
        <v>2845</v>
      </c>
      <c r="Q671" t="s">
        <v>3255</v>
      </c>
      <c r="R671" t="s">
        <v>3259</v>
      </c>
      <c r="S671" t="s">
        <v>3267</v>
      </c>
      <c r="X671" t="s">
        <v>3354</v>
      </c>
      <c r="Y671" t="s">
        <v>2677</v>
      </c>
      <c r="Z671" t="s">
        <v>3359</v>
      </c>
      <c r="AA671" t="s">
        <v>3406</v>
      </c>
      <c r="AB671" t="s">
        <v>3415</v>
      </c>
      <c r="AC671">
        <f>HYPERLINK("https://lsnyc.legalserver.org/matter/dynamic-profile/view/1898669","19-1898669")</f>
        <v>0</v>
      </c>
      <c r="AD671" t="s">
        <v>3445</v>
      </c>
      <c r="AE671" t="s">
        <v>3455</v>
      </c>
      <c r="AF671" t="s">
        <v>4057</v>
      </c>
      <c r="AG671" t="s">
        <v>3359</v>
      </c>
      <c r="AH671" t="s">
        <v>4906</v>
      </c>
      <c r="AK671" t="s">
        <v>4911</v>
      </c>
      <c r="AL671" t="s">
        <v>2114</v>
      </c>
      <c r="AN671" t="s">
        <v>3415</v>
      </c>
    </row>
    <row r="672" spans="1:40">
      <c r="A672" s="1" t="s">
        <v>708</v>
      </c>
      <c r="B672" t="s">
        <v>2009</v>
      </c>
      <c r="C672" t="s">
        <v>2000</v>
      </c>
      <c r="D672" t="s">
        <v>2036</v>
      </c>
      <c r="E672" t="s">
        <v>2111</v>
      </c>
      <c r="F672" t="s">
        <v>2114</v>
      </c>
      <c r="G672" t="s">
        <v>2214</v>
      </c>
      <c r="H672">
        <v>11235</v>
      </c>
      <c r="I672" t="s">
        <v>2229</v>
      </c>
      <c r="J672">
        <v>2</v>
      </c>
      <c r="K672">
        <v>1</v>
      </c>
      <c r="L672" t="s">
        <v>2288</v>
      </c>
      <c r="M672" t="s">
        <v>2677</v>
      </c>
      <c r="P672" t="s">
        <v>2845</v>
      </c>
      <c r="Q672" t="s">
        <v>3255</v>
      </c>
      <c r="R672" t="s">
        <v>3258</v>
      </c>
      <c r="S672" t="s">
        <v>3262</v>
      </c>
      <c r="X672" t="s">
        <v>3354</v>
      </c>
      <c r="Y672" t="s">
        <v>2677</v>
      </c>
      <c r="Z672" t="s">
        <v>3355</v>
      </c>
      <c r="AA672" t="s">
        <v>3406</v>
      </c>
      <c r="AB672" t="s">
        <v>3410</v>
      </c>
      <c r="AC672">
        <f>HYPERLINK("https://lsnyc.legalserver.org/matter/dynamic-profile/view/1898671","19-1898671")</f>
        <v>0</v>
      </c>
      <c r="AD672" t="s">
        <v>3445</v>
      </c>
      <c r="AE672" t="s">
        <v>3455</v>
      </c>
      <c r="AF672" t="s">
        <v>4057</v>
      </c>
      <c r="AG672" t="s">
        <v>3355</v>
      </c>
      <c r="AH672" t="s">
        <v>4904</v>
      </c>
      <c r="AK672" t="s">
        <v>4911</v>
      </c>
      <c r="AL672" t="s">
        <v>2114</v>
      </c>
      <c r="AN672" t="s">
        <v>3410</v>
      </c>
    </row>
    <row r="673" spans="1:40">
      <c r="A673" s="1" t="s">
        <v>709</v>
      </c>
      <c r="B673" t="s">
        <v>2002</v>
      </c>
      <c r="C673" t="s">
        <v>2009</v>
      </c>
      <c r="D673" t="s">
        <v>2054</v>
      </c>
      <c r="E673" t="s">
        <v>2112</v>
      </c>
      <c r="F673" t="s">
        <v>2117</v>
      </c>
      <c r="G673" t="s">
        <v>2213</v>
      </c>
      <c r="H673">
        <v>10452</v>
      </c>
      <c r="I673" t="s">
        <v>2229</v>
      </c>
      <c r="J673">
        <v>4</v>
      </c>
      <c r="K673">
        <v>3</v>
      </c>
      <c r="L673" t="s">
        <v>2260</v>
      </c>
      <c r="M673" t="s">
        <v>2677</v>
      </c>
      <c r="P673" t="s">
        <v>2845</v>
      </c>
      <c r="Q673" t="s">
        <v>2113</v>
      </c>
      <c r="R673" t="s">
        <v>3259</v>
      </c>
      <c r="S673" t="s">
        <v>3272</v>
      </c>
      <c r="X673" t="s">
        <v>3354</v>
      </c>
      <c r="Y673" t="s">
        <v>2678</v>
      </c>
      <c r="Z673" t="s">
        <v>3364</v>
      </c>
      <c r="AA673" t="s">
        <v>3406</v>
      </c>
      <c r="AB673" t="s">
        <v>3420</v>
      </c>
      <c r="AC673">
        <f>HYPERLINK("https://lsnyc.legalserver.org/matter/dynamic-profile/view/1898708","19-1898708")</f>
        <v>0</v>
      </c>
      <c r="AD673" t="s">
        <v>3442</v>
      </c>
      <c r="AE673" t="s">
        <v>3476</v>
      </c>
      <c r="AF673" t="s">
        <v>4058</v>
      </c>
      <c r="AG673" t="s">
        <v>3364</v>
      </c>
      <c r="AH673" t="s">
        <v>4904</v>
      </c>
      <c r="AK673" t="s">
        <v>4911</v>
      </c>
      <c r="AL673" t="s">
        <v>2117</v>
      </c>
      <c r="AN673" t="s">
        <v>3420</v>
      </c>
    </row>
    <row r="674" spans="1:40">
      <c r="A674" s="1" t="s">
        <v>710</v>
      </c>
      <c r="B674" t="s">
        <v>2002</v>
      </c>
      <c r="C674" t="s">
        <v>2009</v>
      </c>
      <c r="D674" t="s">
        <v>2054</v>
      </c>
      <c r="E674" t="s">
        <v>2112</v>
      </c>
      <c r="F674" t="s">
        <v>2117</v>
      </c>
      <c r="G674" t="s">
        <v>2213</v>
      </c>
      <c r="H674">
        <v>10452</v>
      </c>
      <c r="I674" t="s">
        <v>2229</v>
      </c>
      <c r="J674">
        <v>4</v>
      </c>
      <c r="K674">
        <v>3</v>
      </c>
      <c r="L674" t="s">
        <v>2260</v>
      </c>
      <c r="M674" t="s">
        <v>2677</v>
      </c>
      <c r="P674" t="s">
        <v>2845</v>
      </c>
      <c r="Q674" t="s">
        <v>2113</v>
      </c>
      <c r="R674" t="s">
        <v>3259</v>
      </c>
      <c r="S674" t="s">
        <v>3267</v>
      </c>
      <c r="X674" t="s">
        <v>3354</v>
      </c>
      <c r="Y674" t="s">
        <v>2678</v>
      </c>
      <c r="Z674" t="s">
        <v>3380</v>
      </c>
      <c r="AA674" t="s">
        <v>3406</v>
      </c>
      <c r="AB674" t="s">
        <v>3415</v>
      </c>
      <c r="AC674">
        <f>HYPERLINK("https://lsnyc.legalserver.org/matter/dynamic-profile/view/1898715","19-1898715")</f>
        <v>0</v>
      </c>
      <c r="AD674" t="s">
        <v>3442</v>
      </c>
      <c r="AE674" t="s">
        <v>3476</v>
      </c>
      <c r="AF674" t="s">
        <v>4058</v>
      </c>
      <c r="AG674" t="s">
        <v>3380</v>
      </c>
      <c r="AH674" t="s">
        <v>4906</v>
      </c>
      <c r="AK674" t="s">
        <v>4911</v>
      </c>
      <c r="AL674" t="s">
        <v>2117</v>
      </c>
      <c r="AN674" t="s">
        <v>3415</v>
      </c>
    </row>
    <row r="675" spans="1:40">
      <c r="A675" s="1" t="s">
        <v>711</v>
      </c>
      <c r="B675" t="s">
        <v>2002</v>
      </c>
      <c r="C675" t="s">
        <v>2001</v>
      </c>
      <c r="D675" t="s">
        <v>2036</v>
      </c>
      <c r="E675" t="s">
        <v>2112</v>
      </c>
      <c r="F675" t="s">
        <v>2117</v>
      </c>
      <c r="G675" t="s">
        <v>2213</v>
      </c>
      <c r="H675">
        <v>10452</v>
      </c>
      <c r="I675" t="s">
        <v>2229</v>
      </c>
      <c r="J675">
        <v>4</v>
      </c>
      <c r="K675">
        <v>3</v>
      </c>
      <c r="L675" t="s">
        <v>2260</v>
      </c>
      <c r="M675" t="s">
        <v>2677</v>
      </c>
      <c r="P675" t="s">
        <v>2845</v>
      </c>
      <c r="Q675" t="s">
        <v>2113</v>
      </c>
      <c r="R675" t="s">
        <v>3259</v>
      </c>
      <c r="S675" t="s">
        <v>3267</v>
      </c>
      <c r="X675" t="s">
        <v>3354</v>
      </c>
      <c r="Y675" t="s">
        <v>2678</v>
      </c>
      <c r="Z675" t="s">
        <v>3380</v>
      </c>
      <c r="AA675" t="s">
        <v>3406</v>
      </c>
      <c r="AB675" t="s">
        <v>3415</v>
      </c>
      <c r="AC675">
        <f>HYPERLINK("https://lsnyc.legalserver.org/matter/dynamic-profile/view/1898723","19-1898723")</f>
        <v>0</v>
      </c>
      <c r="AD675" t="s">
        <v>3442</v>
      </c>
      <c r="AE675" t="s">
        <v>3476</v>
      </c>
      <c r="AF675" t="s">
        <v>4059</v>
      </c>
      <c r="AG675" t="s">
        <v>3380</v>
      </c>
      <c r="AH675" t="s">
        <v>4906</v>
      </c>
      <c r="AK675" t="s">
        <v>4911</v>
      </c>
      <c r="AL675" t="s">
        <v>2117</v>
      </c>
      <c r="AN675" t="s">
        <v>3415</v>
      </c>
    </row>
    <row r="676" spans="1:40">
      <c r="A676" s="1" t="s">
        <v>712</v>
      </c>
      <c r="B676" t="s">
        <v>2002</v>
      </c>
      <c r="C676" t="s">
        <v>2001</v>
      </c>
      <c r="D676" t="s">
        <v>2036</v>
      </c>
      <c r="E676" t="s">
        <v>2112</v>
      </c>
      <c r="F676" t="s">
        <v>2117</v>
      </c>
      <c r="G676" t="s">
        <v>2213</v>
      </c>
      <c r="H676">
        <v>10452</v>
      </c>
      <c r="I676" t="s">
        <v>2229</v>
      </c>
      <c r="J676">
        <v>4</v>
      </c>
      <c r="K676">
        <v>3</v>
      </c>
      <c r="L676" t="s">
        <v>2260</v>
      </c>
      <c r="M676" t="s">
        <v>2677</v>
      </c>
      <c r="P676" t="s">
        <v>2845</v>
      </c>
      <c r="Q676" t="s">
        <v>2113</v>
      </c>
      <c r="R676" t="s">
        <v>3259</v>
      </c>
      <c r="S676" t="s">
        <v>3272</v>
      </c>
      <c r="X676" t="s">
        <v>3354</v>
      </c>
      <c r="Y676" t="s">
        <v>2678</v>
      </c>
      <c r="Z676" t="s">
        <v>3364</v>
      </c>
      <c r="AA676" t="s">
        <v>3406</v>
      </c>
      <c r="AB676" t="s">
        <v>3420</v>
      </c>
      <c r="AC676">
        <f>HYPERLINK("https://lsnyc.legalserver.org/matter/dynamic-profile/view/1898725","19-1898725")</f>
        <v>0</v>
      </c>
      <c r="AD676" t="s">
        <v>3442</v>
      </c>
      <c r="AE676" t="s">
        <v>3476</v>
      </c>
      <c r="AF676" t="s">
        <v>4059</v>
      </c>
      <c r="AG676" t="s">
        <v>3364</v>
      </c>
      <c r="AH676" t="s">
        <v>4904</v>
      </c>
      <c r="AK676" t="s">
        <v>4911</v>
      </c>
      <c r="AL676" t="s">
        <v>2117</v>
      </c>
      <c r="AN676" t="s">
        <v>3420</v>
      </c>
    </row>
    <row r="677" spans="1:40">
      <c r="A677" s="1" t="s">
        <v>713</v>
      </c>
      <c r="B677" t="s">
        <v>2002</v>
      </c>
      <c r="C677" t="s">
        <v>1998</v>
      </c>
      <c r="D677" t="s">
        <v>2037</v>
      </c>
      <c r="E677" t="s">
        <v>2112</v>
      </c>
      <c r="F677" t="s">
        <v>2117</v>
      </c>
      <c r="G677" t="s">
        <v>2213</v>
      </c>
      <c r="H677">
        <v>10452</v>
      </c>
      <c r="I677" t="s">
        <v>2229</v>
      </c>
      <c r="J677">
        <v>4</v>
      </c>
      <c r="K677">
        <v>3</v>
      </c>
      <c r="L677" t="s">
        <v>2260</v>
      </c>
      <c r="M677" t="s">
        <v>2677</v>
      </c>
      <c r="P677" t="s">
        <v>2845</v>
      </c>
      <c r="Q677" t="s">
        <v>2113</v>
      </c>
      <c r="R677" t="s">
        <v>3259</v>
      </c>
      <c r="S677" t="s">
        <v>3272</v>
      </c>
      <c r="X677" t="s">
        <v>3354</v>
      </c>
      <c r="Y677" t="s">
        <v>2678</v>
      </c>
      <c r="Z677" t="s">
        <v>3364</v>
      </c>
      <c r="AA677" t="s">
        <v>3406</v>
      </c>
      <c r="AB677" t="s">
        <v>3420</v>
      </c>
      <c r="AC677">
        <f>HYPERLINK("https://lsnyc.legalserver.org/matter/dynamic-profile/view/1898735","19-1898735")</f>
        <v>0</v>
      </c>
      <c r="AD677" t="s">
        <v>3442</v>
      </c>
      <c r="AE677" t="s">
        <v>3476</v>
      </c>
      <c r="AF677" t="s">
        <v>4060</v>
      </c>
      <c r="AG677" t="s">
        <v>3364</v>
      </c>
      <c r="AH677" t="s">
        <v>4904</v>
      </c>
      <c r="AK677" t="s">
        <v>4911</v>
      </c>
      <c r="AL677" t="s">
        <v>2117</v>
      </c>
      <c r="AN677" t="s">
        <v>3420</v>
      </c>
    </row>
    <row r="678" spans="1:40">
      <c r="A678" s="1" t="s">
        <v>714</v>
      </c>
      <c r="B678" t="s">
        <v>2002</v>
      </c>
      <c r="C678" t="s">
        <v>1998</v>
      </c>
      <c r="D678" t="s">
        <v>2037</v>
      </c>
      <c r="E678" t="s">
        <v>2112</v>
      </c>
      <c r="F678" t="s">
        <v>2117</v>
      </c>
      <c r="G678" t="s">
        <v>2213</v>
      </c>
      <c r="H678">
        <v>10452</v>
      </c>
      <c r="I678" t="s">
        <v>2229</v>
      </c>
      <c r="J678">
        <v>4</v>
      </c>
      <c r="K678">
        <v>3</v>
      </c>
      <c r="L678" t="s">
        <v>2260</v>
      </c>
      <c r="M678" t="s">
        <v>2677</v>
      </c>
      <c r="P678" t="s">
        <v>2845</v>
      </c>
      <c r="Q678" t="s">
        <v>2113</v>
      </c>
      <c r="R678" t="s">
        <v>3259</v>
      </c>
      <c r="S678" t="s">
        <v>3270</v>
      </c>
      <c r="X678" t="s">
        <v>3354</v>
      </c>
      <c r="Y678" t="s">
        <v>2678</v>
      </c>
      <c r="Z678" t="s">
        <v>3380</v>
      </c>
      <c r="AA678" t="s">
        <v>3406</v>
      </c>
      <c r="AB678" t="s">
        <v>3418</v>
      </c>
      <c r="AC678">
        <f>HYPERLINK("https://lsnyc.legalserver.org/matter/dynamic-profile/view/1898737","19-1898737")</f>
        <v>0</v>
      </c>
      <c r="AD678" t="s">
        <v>3442</v>
      </c>
      <c r="AE678" t="s">
        <v>3476</v>
      </c>
      <c r="AF678" t="s">
        <v>4060</v>
      </c>
      <c r="AG678" t="s">
        <v>3380</v>
      </c>
      <c r="AH678" t="s">
        <v>4906</v>
      </c>
      <c r="AK678" t="s">
        <v>4911</v>
      </c>
      <c r="AL678" t="s">
        <v>2117</v>
      </c>
      <c r="AN678" t="s">
        <v>3418</v>
      </c>
    </row>
    <row r="679" spans="1:40">
      <c r="A679" s="1" t="s">
        <v>715</v>
      </c>
      <c r="B679" t="s">
        <v>2000</v>
      </c>
      <c r="C679" t="s">
        <v>2004</v>
      </c>
      <c r="D679" t="s">
        <v>2052</v>
      </c>
      <c r="E679" t="s">
        <v>2111</v>
      </c>
      <c r="F679" t="s">
        <v>2117</v>
      </c>
      <c r="G679" t="s">
        <v>2211</v>
      </c>
      <c r="H679">
        <v>10025</v>
      </c>
      <c r="I679" t="s">
        <v>2229</v>
      </c>
      <c r="J679">
        <v>3</v>
      </c>
      <c r="K679">
        <v>2</v>
      </c>
      <c r="L679" t="s">
        <v>2443</v>
      </c>
      <c r="M679" t="s">
        <v>2677</v>
      </c>
      <c r="P679" t="s">
        <v>2846</v>
      </c>
      <c r="Q679" t="s">
        <v>2113</v>
      </c>
      <c r="R679" t="s">
        <v>3259</v>
      </c>
      <c r="S679" t="s">
        <v>3272</v>
      </c>
      <c r="X679" t="s">
        <v>3354</v>
      </c>
      <c r="Y679" t="s">
        <v>2678</v>
      </c>
      <c r="Z679" t="s">
        <v>3364</v>
      </c>
      <c r="AA679" t="s">
        <v>3406</v>
      </c>
      <c r="AB679" t="s">
        <v>3420</v>
      </c>
      <c r="AC679">
        <f>HYPERLINK("https://lsnyc.legalserver.org/matter/dynamic-profile/view/1898587","19-1898587")</f>
        <v>0</v>
      </c>
      <c r="AD679" t="s">
        <v>3442</v>
      </c>
      <c r="AE679" t="s">
        <v>3476</v>
      </c>
      <c r="AF679" t="s">
        <v>4053</v>
      </c>
      <c r="AG679" t="s">
        <v>3364</v>
      </c>
      <c r="AH679" t="s">
        <v>4904</v>
      </c>
      <c r="AK679" t="s">
        <v>4911</v>
      </c>
      <c r="AL679" t="s">
        <v>2117</v>
      </c>
      <c r="AN679" t="s">
        <v>3420</v>
      </c>
    </row>
    <row r="680" spans="1:40">
      <c r="A680" s="1" t="s">
        <v>716</v>
      </c>
      <c r="B680" t="s">
        <v>1998</v>
      </c>
      <c r="C680" t="s">
        <v>2004</v>
      </c>
      <c r="D680" t="s">
        <v>2053</v>
      </c>
      <c r="E680" t="s">
        <v>2111</v>
      </c>
      <c r="F680" t="s">
        <v>2117</v>
      </c>
      <c r="G680" t="s">
        <v>2211</v>
      </c>
      <c r="H680">
        <v>10025</v>
      </c>
      <c r="I680" t="s">
        <v>2229</v>
      </c>
      <c r="J680">
        <v>3</v>
      </c>
      <c r="K680">
        <v>2</v>
      </c>
      <c r="L680" t="s">
        <v>2443</v>
      </c>
      <c r="M680" t="s">
        <v>2677</v>
      </c>
      <c r="P680" t="s">
        <v>2846</v>
      </c>
      <c r="Q680" t="s">
        <v>2113</v>
      </c>
      <c r="R680" t="s">
        <v>3259</v>
      </c>
      <c r="S680" t="s">
        <v>3272</v>
      </c>
      <c r="X680" t="s">
        <v>3354</v>
      </c>
      <c r="Y680" t="s">
        <v>2678</v>
      </c>
      <c r="Z680" t="s">
        <v>3364</v>
      </c>
      <c r="AA680" t="s">
        <v>3406</v>
      </c>
      <c r="AB680" t="s">
        <v>3420</v>
      </c>
      <c r="AC680">
        <f>HYPERLINK("https://lsnyc.legalserver.org/matter/dynamic-profile/view/1898594","19-1898594")</f>
        <v>0</v>
      </c>
      <c r="AD680" t="s">
        <v>3442</v>
      </c>
      <c r="AE680" t="s">
        <v>3476</v>
      </c>
      <c r="AF680" t="s">
        <v>4061</v>
      </c>
      <c r="AG680" t="s">
        <v>3364</v>
      </c>
      <c r="AH680" t="s">
        <v>4904</v>
      </c>
      <c r="AK680" t="s">
        <v>4911</v>
      </c>
      <c r="AL680" t="s">
        <v>2117</v>
      </c>
      <c r="AN680" t="s">
        <v>3420</v>
      </c>
    </row>
    <row r="681" spans="1:40">
      <c r="A681" s="1" t="s">
        <v>717</v>
      </c>
      <c r="B681" t="s">
        <v>1998</v>
      </c>
      <c r="C681" t="s">
        <v>2004</v>
      </c>
      <c r="D681" t="s">
        <v>2053</v>
      </c>
      <c r="E681" t="s">
        <v>2111</v>
      </c>
      <c r="F681" t="s">
        <v>2117</v>
      </c>
      <c r="G681" t="s">
        <v>2211</v>
      </c>
      <c r="H681">
        <v>10025</v>
      </c>
      <c r="I681" t="s">
        <v>2229</v>
      </c>
      <c r="J681">
        <v>3</v>
      </c>
      <c r="K681">
        <v>2</v>
      </c>
      <c r="L681" t="s">
        <v>2443</v>
      </c>
      <c r="M681" t="s">
        <v>2677</v>
      </c>
      <c r="P681" t="s">
        <v>2846</v>
      </c>
      <c r="Q681" t="s">
        <v>2113</v>
      </c>
      <c r="R681" t="s">
        <v>3259</v>
      </c>
      <c r="S681" t="s">
        <v>3267</v>
      </c>
      <c r="X681" t="s">
        <v>3354</v>
      </c>
      <c r="Y681" t="s">
        <v>2678</v>
      </c>
      <c r="Z681" t="s">
        <v>3380</v>
      </c>
      <c r="AA681" t="s">
        <v>3406</v>
      </c>
      <c r="AB681" t="s">
        <v>3415</v>
      </c>
      <c r="AC681">
        <f>HYPERLINK("https://lsnyc.legalserver.org/matter/dynamic-profile/view/1898603","19-1898603")</f>
        <v>0</v>
      </c>
      <c r="AD681" t="s">
        <v>3442</v>
      </c>
      <c r="AE681" t="s">
        <v>3476</v>
      </c>
      <c r="AF681" t="s">
        <v>4061</v>
      </c>
      <c r="AG681" t="s">
        <v>3380</v>
      </c>
      <c r="AH681" t="s">
        <v>4906</v>
      </c>
      <c r="AI681" t="s">
        <v>4909</v>
      </c>
      <c r="AK681" t="s">
        <v>4911</v>
      </c>
      <c r="AL681" t="s">
        <v>2117</v>
      </c>
      <c r="AN681" t="s">
        <v>3415</v>
      </c>
    </row>
    <row r="682" spans="1:40">
      <c r="A682" s="1" t="s">
        <v>718</v>
      </c>
      <c r="B682" t="s">
        <v>2000</v>
      </c>
      <c r="C682" t="s">
        <v>2001</v>
      </c>
      <c r="D682" t="s">
        <v>2094</v>
      </c>
      <c r="E682" t="s">
        <v>2111</v>
      </c>
      <c r="F682" t="s">
        <v>2117</v>
      </c>
      <c r="G682" t="s">
        <v>2212</v>
      </c>
      <c r="H682">
        <v>11368</v>
      </c>
      <c r="I682" t="s">
        <v>2229</v>
      </c>
      <c r="J682">
        <v>1</v>
      </c>
      <c r="K682">
        <v>0</v>
      </c>
      <c r="L682" t="s">
        <v>2444</v>
      </c>
      <c r="M682" t="s">
        <v>2678</v>
      </c>
      <c r="P682" t="s">
        <v>2770</v>
      </c>
      <c r="Q682" t="s">
        <v>2113</v>
      </c>
      <c r="R682" t="s">
        <v>3258</v>
      </c>
      <c r="S682" t="s">
        <v>3262</v>
      </c>
      <c r="T682" t="s">
        <v>3294</v>
      </c>
      <c r="X682" t="s">
        <v>3354</v>
      </c>
      <c r="Y682" t="s">
        <v>2678</v>
      </c>
      <c r="Z682" t="s">
        <v>3355</v>
      </c>
      <c r="AA682" t="s">
        <v>3406</v>
      </c>
      <c r="AB682" t="s">
        <v>3410</v>
      </c>
      <c r="AC682">
        <f>HYPERLINK("https://lsnyc.legalserver.org/matter/dynamic-profile/view/1899649","19-1899649")</f>
        <v>0</v>
      </c>
      <c r="AD682" t="s">
        <v>3443</v>
      </c>
      <c r="AE682" t="s">
        <v>3450</v>
      </c>
      <c r="AF682" t="s">
        <v>4062</v>
      </c>
      <c r="AG682" t="s">
        <v>3355</v>
      </c>
      <c r="AH682" t="s">
        <v>4904</v>
      </c>
      <c r="AJ682" t="s">
        <v>4910</v>
      </c>
      <c r="AL682" t="s">
        <v>2117</v>
      </c>
      <c r="AM682" t="s">
        <v>3294</v>
      </c>
      <c r="AN682" t="s">
        <v>3410</v>
      </c>
    </row>
    <row r="683" spans="1:40">
      <c r="A683" s="1" t="s">
        <v>719</v>
      </c>
      <c r="B683" t="s">
        <v>2001</v>
      </c>
      <c r="C683" t="s">
        <v>2017</v>
      </c>
      <c r="D683" t="s">
        <v>2083</v>
      </c>
      <c r="E683" t="s">
        <v>2112</v>
      </c>
      <c r="F683" t="s">
        <v>2120</v>
      </c>
      <c r="G683" t="s">
        <v>2212</v>
      </c>
      <c r="H683">
        <v>11422</v>
      </c>
      <c r="I683" t="s">
        <v>2230</v>
      </c>
      <c r="J683">
        <v>1</v>
      </c>
      <c r="K683">
        <v>0</v>
      </c>
      <c r="L683" t="s">
        <v>2260</v>
      </c>
      <c r="M683" t="s">
        <v>2677</v>
      </c>
      <c r="P683" t="s">
        <v>2753</v>
      </c>
      <c r="Q683" t="s">
        <v>3255</v>
      </c>
      <c r="R683" t="s">
        <v>3258</v>
      </c>
      <c r="S683" t="s">
        <v>3269</v>
      </c>
      <c r="T683" t="s">
        <v>3294</v>
      </c>
      <c r="U683" t="s">
        <v>2753</v>
      </c>
      <c r="X683" t="s">
        <v>3354</v>
      </c>
      <c r="Y683" t="s">
        <v>2678</v>
      </c>
      <c r="Z683" t="s">
        <v>3361</v>
      </c>
      <c r="AA683" t="s">
        <v>3406</v>
      </c>
      <c r="AB683" t="s">
        <v>3417</v>
      </c>
      <c r="AC683">
        <f>HYPERLINK("https://lsnyc.legalserver.org/matter/dynamic-profile/view/1898430","19-1898430")</f>
        <v>0</v>
      </c>
      <c r="AD683" t="s">
        <v>3443</v>
      </c>
      <c r="AE683" t="s">
        <v>3471</v>
      </c>
      <c r="AF683" t="s">
        <v>4063</v>
      </c>
      <c r="AG683" t="s">
        <v>3361</v>
      </c>
      <c r="AH683" t="s">
        <v>4904</v>
      </c>
      <c r="AL683" t="s">
        <v>2120</v>
      </c>
      <c r="AM683" t="s">
        <v>3294</v>
      </c>
      <c r="AN683" t="s">
        <v>3417</v>
      </c>
    </row>
    <row r="684" spans="1:40">
      <c r="A684" s="1" t="s">
        <v>720</v>
      </c>
      <c r="B684" t="s">
        <v>2016</v>
      </c>
      <c r="C684" t="s">
        <v>1998</v>
      </c>
      <c r="D684" t="s">
        <v>2081</v>
      </c>
      <c r="E684" t="s">
        <v>2111</v>
      </c>
      <c r="F684" t="s">
        <v>2121</v>
      </c>
      <c r="G684" t="s">
        <v>2214</v>
      </c>
      <c r="H684">
        <v>11225</v>
      </c>
      <c r="I684" t="s">
        <v>2229</v>
      </c>
      <c r="J684">
        <v>2</v>
      </c>
      <c r="K684">
        <v>0</v>
      </c>
      <c r="L684" t="s">
        <v>2445</v>
      </c>
      <c r="M684" t="s">
        <v>2677</v>
      </c>
      <c r="P684" t="s">
        <v>2801</v>
      </c>
      <c r="Q684" t="s">
        <v>2113</v>
      </c>
      <c r="R684" t="s">
        <v>3258</v>
      </c>
      <c r="S684" t="s">
        <v>3273</v>
      </c>
      <c r="T684" t="s">
        <v>3294</v>
      </c>
      <c r="U684" t="s">
        <v>2801</v>
      </c>
      <c r="X684" t="s">
        <v>3354</v>
      </c>
      <c r="Y684" t="s">
        <v>2678</v>
      </c>
      <c r="Z684" t="s">
        <v>3365</v>
      </c>
      <c r="AA684" t="s">
        <v>3406</v>
      </c>
      <c r="AB684" t="s">
        <v>3421</v>
      </c>
      <c r="AC684">
        <f>HYPERLINK("https://lsnyc.legalserver.org/matter/dynamic-profile/view/1898455","19-1898455")</f>
        <v>0</v>
      </c>
      <c r="AD684" t="s">
        <v>3446</v>
      </c>
      <c r="AE684" t="s">
        <v>3454</v>
      </c>
      <c r="AF684" t="s">
        <v>4064</v>
      </c>
      <c r="AG684" t="s">
        <v>3365</v>
      </c>
      <c r="AH684" t="s">
        <v>4904</v>
      </c>
      <c r="AL684" t="s">
        <v>2121</v>
      </c>
      <c r="AM684" t="s">
        <v>3294</v>
      </c>
      <c r="AN684" t="s">
        <v>3421</v>
      </c>
    </row>
    <row r="685" spans="1:40">
      <c r="A685" s="1" t="s">
        <v>721</v>
      </c>
      <c r="B685" t="s">
        <v>2001</v>
      </c>
      <c r="C685" t="s">
        <v>1998</v>
      </c>
      <c r="D685" t="s">
        <v>2075</v>
      </c>
      <c r="E685" t="s">
        <v>2112</v>
      </c>
      <c r="F685" t="s">
        <v>2117</v>
      </c>
      <c r="G685" t="s">
        <v>2211</v>
      </c>
      <c r="H685">
        <v>10029</v>
      </c>
      <c r="I685" t="s">
        <v>2229</v>
      </c>
      <c r="J685">
        <v>3</v>
      </c>
      <c r="K685">
        <v>2</v>
      </c>
      <c r="L685" t="s">
        <v>2260</v>
      </c>
      <c r="M685" t="s">
        <v>2677</v>
      </c>
      <c r="P685" t="s">
        <v>2747</v>
      </c>
      <c r="Q685" t="s">
        <v>2113</v>
      </c>
      <c r="R685" t="s">
        <v>3259</v>
      </c>
      <c r="S685" t="s">
        <v>3272</v>
      </c>
      <c r="X685" t="s">
        <v>3354</v>
      </c>
      <c r="Y685" t="s">
        <v>2678</v>
      </c>
      <c r="Z685" t="s">
        <v>3383</v>
      </c>
      <c r="AA685" t="s">
        <v>3406</v>
      </c>
      <c r="AB685" t="s">
        <v>3420</v>
      </c>
      <c r="AC685">
        <f>HYPERLINK("https://lsnyc.legalserver.org/matter/dynamic-profile/view/1898487","19-1898487")</f>
        <v>0</v>
      </c>
      <c r="AD685" t="s">
        <v>3442</v>
      </c>
      <c r="AE685" t="s">
        <v>3470</v>
      </c>
      <c r="AF685" t="s">
        <v>4065</v>
      </c>
      <c r="AG685" t="s">
        <v>3383</v>
      </c>
      <c r="AH685" t="s">
        <v>4905</v>
      </c>
      <c r="AL685" t="s">
        <v>2117</v>
      </c>
      <c r="AN685" t="s">
        <v>3420</v>
      </c>
    </row>
    <row r="686" spans="1:40">
      <c r="A686" s="1" t="s">
        <v>722</v>
      </c>
      <c r="B686" t="s">
        <v>1998</v>
      </c>
      <c r="C686" t="s">
        <v>2005</v>
      </c>
      <c r="D686" t="s">
        <v>2037</v>
      </c>
      <c r="E686" t="s">
        <v>2111</v>
      </c>
      <c r="F686" t="s">
        <v>2117</v>
      </c>
      <c r="G686" t="s">
        <v>2211</v>
      </c>
      <c r="H686">
        <v>10029</v>
      </c>
      <c r="I686" t="s">
        <v>2113</v>
      </c>
      <c r="J686">
        <v>3</v>
      </c>
      <c r="K686">
        <v>2</v>
      </c>
      <c r="L686" t="s">
        <v>2260</v>
      </c>
      <c r="M686" t="s">
        <v>2677</v>
      </c>
      <c r="P686" t="s">
        <v>2747</v>
      </c>
      <c r="Q686" t="s">
        <v>2113</v>
      </c>
      <c r="R686" t="s">
        <v>3259</v>
      </c>
      <c r="S686" t="s">
        <v>3288</v>
      </c>
      <c r="X686" t="s">
        <v>3354</v>
      </c>
      <c r="Y686" t="s">
        <v>2678</v>
      </c>
      <c r="Z686" t="s">
        <v>3389</v>
      </c>
      <c r="AA686" t="s">
        <v>3406</v>
      </c>
      <c r="AB686" t="s">
        <v>3436</v>
      </c>
      <c r="AC686">
        <f>HYPERLINK("https://lsnyc.legalserver.org/matter/dynamic-profile/view/1898497","19-1898497")</f>
        <v>0</v>
      </c>
      <c r="AD686" t="s">
        <v>3442</v>
      </c>
      <c r="AE686" t="s">
        <v>3470</v>
      </c>
      <c r="AF686" t="s">
        <v>4066</v>
      </c>
      <c r="AG686" t="s">
        <v>3389</v>
      </c>
      <c r="AH686" t="s">
        <v>4905</v>
      </c>
      <c r="AL686" t="s">
        <v>2117</v>
      </c>
      <c r="AN686" t="s">
        <v>3436</v>
      </c>
    </row>
    <row r="687" spans="1:40">
      <c r="A687" s="1" t="s">
        <v>723</v>
      </c>
      <c r="B687" t="s">
        <v>2001</v>
      </c>
      <c r="C687" t="s">
        <v>1998</v>
      </c>
      <c r="D687" t="s">
        <v>2040</v>
      </c>
      <c r="E687" t="s">
        <v>2111</v>
      </c>
      <c r="F687" t="s">
        <v>2117</v>
      </c>
      <c r="G687" t="s">
        <v>2211</v>
      </c>
      <c r="H687">
        <v>10025</v>
      </c>
      <c r="I687" t="s">
        <v>2229</v>
      </c>
      <c r="J687">
        <v>3</v>
      </c>
      <c r="K687">
        <v>1</v>
      </c>
      <c r="L687" t="s">
        <v>2260</v>
      </c>
      <c r="M687" t="s">
        <v>2677</v>
      </c>
      <c r="P687" t="s">
        <v>2781</v>
      </c>
      <c r="Q687" t="s">
        <v>2113</v>
      </c>
      <c r="R687" t="s">
        <v>3259</v>
      </c>
      <c r="S687" t="s">
        <v>3272</v>
      </c>
      <c r="X687" t="s">
        <v>3354</v>
      </c>
      <c r="Y687" t="s">
        <v>2678</v>
      </c>
      <c r="Z687" t="s">
        <v>3383</v>
      </c>
      <c r="AA687" t="s">
        <v>3406</v>
      </c>
      <c r="AB687" t="s">
        <v>3420</v>
      </c>
      <c r="AC687">
        <f>HYPERLINK("https://lsnyc.legalserver.org/matter/dynamic-profile/view/1898498","19-1898498")</f>
        <v>0</v>
      </c>
      <c r="AD687" t="s">
        <v>3442</v>
      </c>
      <c r="AE687" t="s">
        <v>3470</v>
      </c>
      <c r="AF687" t="s">
        <v>4067</v>
      </c>
      <c r="AG687" t="s">
        <v>3383</v>
      </c>
      <c r="AH687" t="s">
        <v>4905</v>
      </c>
      <c r="AL687" t="s">
        <v>2117</v>
      </c>
      <c r="AN687" t="s">
        <v>3420</v>
      </c>
    </row>
    <row r="688" spans="1:40">
      <c r="A688" s="1" t="s">
        <v>724</v>
      </c>
      <c r="B688" t="s">
        <v>1998</v>
      </c>
      <c r="C688" t="s">
        <v>2000</v>
      </c>
      <c r="D688" t="s">
        <v>2065</v>
      </c>
      <c r="E688" t="s">
        <v>2111</v>
      </c>
      <c r="F688" t="s">
        <v>2117</v>
      </c>
      <c r="G688" t="s">
        <v>2213</v>
      </c>
      <c r="H688">
        <v>10457</v>
      </c>
      <c r="I688" t="s">
        <v>2229</v>
      </c>
      <c r="J688">
        <v>2</v>
      </c>
      <c r="K688">
        <v>1</v>
      </c>
      <c r="L688" t="s">
        <v>2260</v>
      </c>
      <c r="M688" t="s">
        <v>2677</v>
      </c>
      <c r="P688" t="s">
        <v>2794</v>
      </c>
      <c r="Q688" t="s">
        <v>2113</v>
      </c>
      <c r="R688" t="s">
        <v>3259</v>
      </c>
      <c r="S688" t="s">
        <v>3267</v>
      </c>
      <c r="X688" t="s">
        <v>3354</v>
      </c>
      <c r="Y688" t="s">
        <v>2678</v>
      </c>
      <c r="Z688" t="s">
        <v>3359</v>
      </c>
      <c r="AA688" t="s">
        <v>3406</v>
      </c>
      <c r="AB688" t="s">
        <v>3415</v>
      </c>
      <c r="AC688">
        <f>HYPERLINK("https://lsnyc.legalserver.org/matter/dynamic-profile/view/1898500","19-1898500")</f>
        <v>0</v>
      </c>
      <c r="AD688" t="s">
        <v>3442</v>
      </c>
      <c r="AE688" t="s">
        <v>3470</v>
      </c>
      <c r="AF688" t="s">
        <v>4068</v>
      </c>
      <c r="AG688" t="s">
        <v>3359</v>
      </c>
      <c r="AH688" t="s">
        <v>4906</v>
      </c>
      <c r="AL688" t="s">
        <v>2117</v>
      </c>
      <c r="AN688" t="s">
        <v>3415</v>
      </c>
    </row>
    <row r="689" spans="1:41">
      <c r="A689" s="1" t="s">
        <v>725</v>
      </c>
      <c r="B689" t="s">
        <v>2000</v>
      </c>
      <c r="C689" t="s">
        <v>1998</v>
      </c>
      <c r="D689" t="s">
        <v>2053</v>
      </c>
      <c r="E689" t="s">
        <v>2112</v>
      </c>
      <c r="F689" t="s">
        <v>2117</v>
      </c>
      <c r="G689" t="s">
        <v>2213</v>
      </c>
      <c r="H689">
        <v>10457</v>
      </c>
      <c r="I689" t="s">
        <v>2229</v>
      </c>
      <c r="J689">
        <v>2</v>
      </c>
      <c r="K689">
        <v>1</v>
      </c>
      <c r="L689" t="s">
        <v>2260</v>
      </c>
      <c r="M689" t="s">
        <v>2677</v>
      </c>
      <c r="P689" t="s">
        <v>2795</v>
      </c>
      <c r="Q689" t="s">
        <v>2113</v>
      </c>
      <c r="R689" t="s">
        <v>3259</v>
      </c>
      <c r="S689" t="s">
        <v>3267</v>
      </c>
      <c r="T689" t="s">
        <v>3294</v>
      </c>
      <c r="U689" t="s">
        <v>2813</v>
      </c>
      <c r="X689" t="s">
        <v>3354</v>
      </c>
      <c r="Y689" t="s">
        <v>2678</v>
      </c>
      <c r="Z689" t="s">
        <v>3380</v>
      </c>
      <c r="AA689" t="s">
        <v>3406</v>
      </c>
      <c r="AB689" t="s">
        <v>3415</v>
      </c>
      <c r="AC689">
        <f>HYPERLINK("https://lsnyc.legalserver.org/matter/dynamic-profile/view/1898501","19-1898501")</f>
        <v>0</v>
      </c>
      <c r="AD689" t="s">
        <v>3442</v>
      </c>
      <c r="AE689" t="s">
        <v>3470</v>
      </c>
      <c r="AF689" t="s">
        <v>4069</v>
      </c>
      <c r="AG689" t="s">
        <v>3380</v>
      </c>
      <c r="AH689" t="s">
        <v>4906</v>
      </c>
      <c r="AL689" t="s">
        <v>2117</v>
      </c>
      <c r="AM689" t="s">
        <v>3294</v>
      </c>
      <c r="AN689" t="s">
        <v>3415</v>
      </c>
    </row>
    <row r="690" spans="1:41">
      <c r="A690" s="1" t="s">
        <v>726</v>
      </c>
      <c r="B690" t="s">
        <v>1998</v>
      </c>
      <c r="C690" t="s">
        <v>2000</v>
      </c>
      <c r="D690" t="s">
        <v>2069</v>
      </c>
      <c r="E690" t="s">
        <v>2111</v>
      </c>
      <c r="F690" t="s">
        <v>2117</v>
      </c>
      <c r="G690" t="s">
        <v>2212</v>
      </c>
      <c r="H690">
        <v>11429</v>
      </c>
      <c r="I690" t="s">
        <v>2229</v>
      </c>
      <c r="J690">
        <v>4</v>
      </c>
      <c r="K690">
        <v>1</v>
      </c>
      <c r="L690" t="s">
        <v>2294</v>
      </c>
      <c r="M690" t="s">
        <v>2677</v>
      </c>
      <c r="P690" t="s">
        <v>2749</v>
      </c>
      <c r="Q690" t="s">
        <v>2113</v>
      </c>
      <c r="R690" t="s">
        <v>3259</v>
      </c>
      <c r="S690" t="s">
        <v>3272</v>
      </c>
      <c r="V690" t="s">
        <v>3353</v>
      </c>
      <c r="X690" t="s">
        <v>3354</v>
      </c>
      <c r="Y690" t="s">
        <v>2678</v>
      </c>
      <c r="Z690" t="s">
        <v>3364</v>
      </c>
      <c r="AA690" t="s">
        <v>3406</v>
      </c>
      <c r="AB690" t="s">
        <v>3420</v>
      </c>
      <c r="AC690">
        <f>HYPERLINK("https://lsnyc.legalserver.org/matter/dynamic-profile/view/1898195","19-1898195")</f>
        <v>0</v>
      </c>
      <c r="AD690" t="s">
        <v>3443</v>
      </c>
      <c r="AE690" t="s">
        <v>3450</v>
      </c>
      <c r="AF690" t="s">
        <v>4017</v>
      </c>
      <c r="AG690" t="s">
        <v>3364</v>
      </c>
      <c r="AH690" t="s">
        <v>4904</v>
      </c>
      <c r="AL690" t="s">
        <v>2117</v>
      </c>
      <c r="AN690" t="s">
        <v>3420</v>
      </c>
      <c r="AO690" t="s">
        <v>3353</v>
      </c>
    </row>
    <row r="691" spans="1:41">
      <c r="A691" s="1" t="s">
        <v>727</v>
      </c>
      <c r="B691" t="s">
        <v>2001</v>
      </c>
      <c r="C691" t="s">
        <v>2001</v>
      </c>
      <c r="D691" t="s">
        <v>2026</v>
      </c>
      <c r="E691" t="s">
        <v>2111</v>
      </c>
      <c r="F691" t="s">
        <v>2117</v>
      </c>
      <c r="G691" t="s">
        <v>2211</v>
      </c>
      <c r="H691">
        <v>10016</v>
      </c>
      <c r="I691" t="s">
        <v>2229</v>
      </c>
      <c r="J691">
        <v>2</v>
      </c>
      <c r="K691">
        <v>1</v>
      </c>
      <c r="L691" t="s">
        <v>2260</v>
      </c>
      <c r="M691" t="s">
        <v>2677</v>
      </c>
      <c r="P691" t="s">
        <v>2847</v>
      </c>
      <c r="Q691" t="s">
        <v>2113</v>
      </c>
      <c r="R691" t="s">
        <v>3259</v>
      </c>
      <c r="S691" t="s">
        <v>3267</v>
      </c>
      <c r="T691" t="s">
        <v>3300</v>
      </c>
      <c r="U691" t="s">
        <v>2775</v>
      </c>
      <c r="X691" t="s">
        <v>3354</v>
      </c>
      <c r="Y691" t="s">
        <v>2678</v>
      </c>
      <c r="Z691" t="s">
        <v>3359</v>
      </c>
      <c r="AA691" t="s">
        <v>3406</v>
      </c>
      <c r="AB691" t="s">
        <v>3415</v>
      </c>
      <c r="AC691">
        <f>HYPERLINK("https://lsnyc.legalserver.org/matter/dynamic-profile/view/1898240","19-1898240")</f>
        <v>0</v>
      </c>
      <c r="AD691" t="s">
        <v>3442</v>
      </c>
      <c r="AE691" t="s">
        <v>3480</v>
      </c>
      <c r="AF691" t="s">
        <v>4012</v>
      </c>
      <c r="AG691" t="s">
        <v>3359</v>
      </c>
      <c r="AH691" t="s">
        <v>4904</v>
      </c>
      <c r="AL691" t="s">
        <v>2117</v>
      </c>
      <c r="AM691" t="s">
        <v>3300</v>
      </c>
      <c r="AN691" t="s">
        <v>3415</v>
      </c>
    </row>
    <row r="692" spans="1:41">
      <c r="A692" s="1" t="s">
        <v>728</v>
      </c>
      <c r="B692" t="s">
        <v>2001</v>
      </c>
      <c r="C692" t="s">
        <v>2004</v>
      </c>
      <c r="D692" t="s">
        <v>2068</v>
      </c>
      <c r="E692" t="s">
        <v>2112</v>
      </c>
      <c r="F692" t="s">
        <v>2117</v>
      </c>
      <c r="G692" t="s">
        <v>2211</v>
      </c>
      <c r="H692">
        <v>10016</v>
      </c>
      <c r="I692" t="s">
        <v>2229</v>
      </c>
      <c r="J692">
        <v>2</v>
      </c>
      <c r="K692">
        <v>1</v>
      </c>
      <c r="L692" t="s">
        <v>2260</v>
      </c>
      <c r="M692" t="s">
        <v>2677</v>
      </c>
      <c r="P692" t="s">
        <v>2847</v>
      </c>
      <c r="Q692" t="s">
        <v>2113</v>
      </c>
      <c r="R692" t="s">
        <v>3259</v>
      </c>
      <c r="S692" t="s">
        <v>3267</v>
      </c>
      <c r="T692" t="s">
        <v>3294</v>
      </c>
      <c r="U692" t="s">
        <v>2775</v>
      </c>
      <c r="X692" t="s">
        <v>3354</v>
      </c>
      <c r="Y692" t="s">
        <v>2678</v>
      </c>
      <c r="Z692" t="s">
        <v>3359</v>
      </c>
      <c r="AA692" t="s">
        <v>3406</v>
      </c>
      <c r="AB692" t="s">
        <v>3415</v>
      </c>
      <c r="AC692">
        <f>HYPERLINK("https://lsnyc.legalserver.org/matter/dynamic-profile/view/1898254","19-1898254")</f>
        <v>0</v>
      </c>
      <c r="AD692" t="s">
        <v>3442</v>
      </c>
      <c r="AE692" t="s">
        <v>3480</v>
      </c>
      <c r="AF692" t="s">
        <v>4011</v>
      </c>
      <c r="AG692" t="s">
        <v>3359</v>
      </c>
      <c r="AH692" t="s">
        <v>4906</v>
      </c>
      <c r="AL692" t="s">
        <v>2117</v>
      </c>
      <c r="AM692" t="s">
        <v>3294</v>
      </c>
      <c r="AN692" t="s">
        <v>3415</v>
      </c>
    </row>
    <row r="693" spans="1:41">
      <c r="A693" s="1" t="s">
        <v>729</v>
      </c>
      <c r="B693" t="s">
        <v>2000</v>
      </c>
      <c r="C693" t="s">
        <v>1998</v>
      </c>
      <c r="D693" t="s">
        <v>2050</v>
      </c>
      <c r="E693" t="s">
        <v>2112</v>
      </c>
      <c r="F693" t="s">
        <v>2116</v>
      </c>
      <c r="G693" t="s">
        <v>2216</v>
      </c>
      <c r="H693">
        <v>10302</v>
      </c>
      <c r="I693" t="s">
        <v>2229</v>
      </c>
      <c r="J693">
        <v>2</v>
      </c>
      <c r="K693">
        <v>0</v>
      </c>
      <c r="L693" t="s">
        <v>2260</v>
      </c>
      <c r="M693" t="s">
        <v>2677</v>
      </c>
      <c r="P693" t="s">
        <v>2848</v>
      </c>
      <c r="Q693" t="s">
        <v>3255</v>
      </c>
      <c r="R693" t="s">
        <v>3258</v>
      </c>
      <c r="S693" t="s">
        <v>3262</v>
      </c>
      <c r="X693" t="s">
        <v>3354</v>
      </c>
      <c r="Y693" t="s">
        <v>2678</v>
      </c>
      <c r="Z693" t="s">
        <v>3355</v>
      </c>
      <c r="AA693" t="s">
        <v>3406</v>
      </c>
      <c r="AB693" t="s">
        <v>3410</v>
      </c>
      <c r="AC693">
        <f>HYPERLINK("https://lsnyc.legalserver.org/matter/dynamic-profile/view/1898131","19-1898131")</f>
        <v>0</v>
      </c>
      <c r="AD693" t="s">
        <v>3447</v>
      </c>
      <c r="AE693" t="s">
        <v>3462</v>
      </c>
      <c r="AF693" t="s">
        <v>4070</v>
      </c>
      <c r="AG693" t="s">
        <v>3355</v>
      </c>
      <c r="AH693" t="s">
        <v>4904</v>
      </c>
      <c r="AK693" t="s">
        <v>4911</v>
      </c>
      <c r="AL693" t="s">
        <v>2116</v>
      </c>
      <c r="AN693" t="s">
        <v>3410</v>
      </c>
    </row>
    <row r="694" spans="1:41">
      <c r="A694" s="1" t="s">
        <v>730</v>
      </c>
      <c r="B694" t="s">
        <v>2001</v>
      </c>
      <c r="C694" t="s">
        <v>2016</v>
      </c>
      <c r="D694" t="s">
        <v>2036</v>
      </c>
      <c r="E694" t="s">
        <v>2111</v>
      </c>
      <c r="F694" t="s">
        <v>2115</v>
      </c>
      <c r="G694" t="s">
        <v>2214</v>
      </c>
      <c r="H694">
        <v>11204</v>
      </c>
      <c r="I694" t="s">
        <v>2229</v>
      </c>
      <c r="J694">
        <v>3</v>
      </c>
      <c r="K694">
        <v>2</v>
      </c>
      <c r="L694" t="s">
        <v>2272</v>
      </c>
      <c r="M694" t="s">
        <v>2677</v>
      </c>
      <c r="P694" t="s">
        <v>2848</v>
      </c>
      <c r="Q694" t="s">
        <v>2113</v>
      </c>
      <c r="R694" t="s">
        <v>3259</v>
      </c>
      <c r="S694" t="s">
        <v>3268</v>
      </c>
      <c r="X694" t="s">
        <v>3354</v>
      </c>
      <c r="Y694" t="s">
        <v>2677</v>
      </c>
      <c r="Z694" t="s">
        <v>3368</v>
      </c>
      <c r="AA694" t="s">
        <v>3406</v>
      </c>
      <c r="AB694" t="s">
        <v>3416</v>
      </c>
      <c r="AC694">
        <f>HYPERLINK("https://lsnyc.legalserver.org/matter/dynamic-profile/view/1898132","19-1898132")</f>
        <v>0</v>
      </c>
      <c r="AD694" t="s">
        <v>3445</v>
      </c>
      <c r="AE694" t="s">
        <v>3455</v>
      </c>
      <c r="AF694" t="s">
        <v>3904</v>
      </c>
      <c r="AG694" t="s">
        <v>3368</v>
      </c>
      <c r="AH694" t="s">
        <v>4904</v>
      </c>
      <c r="AK694" t="s">
        <v>4911</v>
      </c>
      <c r="AL694" t="s">
        <v>2115</v>
      </c>
      <c r="AN694" t="s">
        <v>3416</v>
      </c>
    </row>
    <row r="695" spans="1:41">
      <c r="A695" s="1" t="s">
        <v>731</v>
      </c>
      <c r="B695" t="s">
        <v>2001</v>
      </c>
      <c r="C695" t="s">
        <v>1998</v>
      </c>
      <c r="D695" t="s">
        <v>2037</v>
      </c>
      <c r="E695" t="s">
        <v>2111</v>
      </c>
      <c r="F695" t="s">
        <v>2115</v>
      </c>
      <c r="G695" t="s">
        <v>2214</v>
      </c>
      <c r="H695">
        <v>11204</v>
      </c>
      <c r="I695" t="s">
        <v>2229</v>
      </c>
      <c r="J695">
        <v>3</v>
      </c>
      <c r="K695">
        <v>2</v>
      </c>
      <c r="L695" t="s">
        <v>2272</v>
      </c>
      <c r="M695" t="s">
        <v>2677</v>
      </c>
      <c r="P695" t="s">
        <v>2848</v>
      </c>
      <c r="Q695" t="s">
        <v>2113</v>
      </c>
      <c r="R695" t="s">
        <v>3259</v>
      </c>
      <c r="S695" t="s">
        <v>3268</v>
      </c>
      <c r="X695" t="s">
        <v>3354</v>
      </c>
      <c r="Y695" t="s">
        <v>2677</v>
      </c>
      <c r="Z695" t="s">
        <v>3368</v>
      </c>
      <c r="AA695" t="s">
        <v>3406</v>
      </c>
      <c r="AB695" t="s">
        <v>3416</v>
      </c>
      <c r="AC695">
        <f>HYPERLINK("https://lsnyc.legalserver.org/matter/dynamic-profile/view/1898135","19-1898135")</f>
        <v>0</v>
      </c>
      <c r="AD695" t="s">
        <v>3445</v>
      </c>
      <c r="AE695" t="s">
        <v>3455</v>
      </c>
      <c r="AF695" t="s">
        <v>3919</v>
      </c>
      <c r="AG695" t="s">
        <v>3368</v>
      </c>
      <c r="AH695" t="s">
        <v>4904</v>
      </c>
      <c r="AK695" t="s">
        <v>4911</v>
      </c>
      <c r="AL695" t="s">
        <v>2115</v>
      </c>
      <c r="AN695" t="s">
        <v>3416</v>
      </c>
    </row>
    <row r="696" spans="1:41">
      <c r="A696" s="1" t="s">
        <v>732</v>
      </c>
      <c r="B696" t="s">
        <v>2000</v>
      </c>
      <c r="C696" t="s">
        <v>2001</v>
      </c>
      <c r="D696" t="s">
        <v>2034</v>
      </c>
      <c r="E696" t="s">
        <v>2111</v>
      </c>
      <c r="F696" t="s">
        <v>2117</v>
      </c>
      <c r="G696" t="s">
        <v>2213</v>
      </c>
      <c r="H696">
        <v>10460</v>
      </c>
      <c r="I696" t="s">
        <v>2229</v>
      </c>
      <c r="J696">
        <v>1</v>
      </c>
      <c r="K696">
        <v>0</v>
      </c>
      <c r="L696" t="s">
        <v>2260</v>
      </c>
      <c r="M696" t="s">
        <v>2677</v>
      </c>
      <c r="P696" t="s">
        <v>2848</v>
      </c>
      <c r="Q696" t="s">
        <v>2113</v>
      </c>
      <c r="R696" t="s">
        <v>3259</v>
      </c>
      <c r="S696" t="s">
        <v>3267</v>
      </c>
      <c r="X696" t="s">
        <v>3354</v>
      </c>
      <c r="Y696" t="s">
        <v>2678</v>
      </c>
      <c r="Z696" t="s">
        <v>3359</v>
      </c>
      <c r="AA696" t="s">
        <v>3406</v>
      </c>
      <c r="AB696" t="s">
        <v>3415</v>
      </c>
      <c r="AC696">
        <f>HYPERLINK("https://lsnyc.legalserver.org/matter/dynamic-profile/view/1898152","19-1898152")</f>
        <v>0</v>
      </c>
      <c r="AD696" t="s">
        <v>3442</v>
      </c>
      <c r="AE696" t="s">
        <v>3448</v>
      </c>
      <c r="AF696" t="s">
        <v>4031</v>
      </c>
      <c r="AG696" t="s">
        <v>3359</v>
      </c>
      <c r="AH696" t="s">
        <v>4906</v>
      </c>
      <c r="AK696" t="s">
        <v>4911</v>
      </c>
      <c r="AL696" t="s">
        <v>2117</v>
      </c>
      <c r="AN696" t="s">
        <v>3415</v>
      </c>
    </row>
    <row r="697" spans="1:41">
      <c r="A697" s="1" t="s">
        <v>733</v>
      </c>
      <c r="B697" t="s">
        <v>2016</v>
      </c>
      <c r="C697" t="s">
        <v>1998</v>
      </c>
      <c r="D697" t="s">
        <v>2053</v>
      </c>
      <c r="E697" t="s">
        <v>2112</v>
      </c>
      <c r="F697" t="s">
        <v>2117</v>
      </c>
      <c r="G697" t="s">
        <v>2211</v>
      </c>
      <c r="H697">
        <v>10033</v>
      </c>
      <c r="I697" t="s">
        <v>2229</v>
      </c>
      <c r="J697">
        <v>3</v>
      </c>
      <c r="K697">
        <v>2</v>
      </c>
      <c r="L697" t="s">
        <v>2260</v>
      </c>
      <c r="M697" t="s">
        <v>2677</v>
      </c>
      <c r="P697" t="s">
        <v>2741</v>
      </c>
      <c r="Q697" t="s">
        <v>2113</v>
      </c>
      <c r="R697" t="s">
        <v>3259</v>
      </c>
      <c r="S697" t="s">
        <v>3267</v>
      </c>
      <c r="V697" t="s">
        <v>3353</v>
      </c>
      <c r="X697" t="s">
        <v>3354</v>
      </c>
      <c r="Y697" t="s">
        <v>2678</v>
      </c>
      <c r="Z697" t="s">
        <v>3359</v>
      </c>
      <c r="AA697" t="s">
        <v>3406</v>
      </c>
      <c r="AB697" t="s">
        <v>3415</v>
      </c>
      <c r="AC697">
        <f>HYPERLINK("https://lsnyc.legalserver.org/matter/dynamic-profile/view/1898156","19-1898156")</f>
        <v>0</v>
      </c>
      <c r="AD697" t="s">
        <v>3442</v>
      </c>
      <c r="AE697" t="s">
        <v>3448</v>
      </c>
      <c r="AF697" t="s">
        <v>4071</v>
      </c>
      <c r="AG697" t="s">
        <v>3359</v>
      </c>
      <c r="AH697" t="s">
        <v>4906</v>
      </c>
      <c r="AL697" t="s">
        <v>2117</v>
      </c>
      <c r="AN697" t="s">
        <v>3415</v>
      </c>
      <c r="AO697" t="s">
        <v>3353</v>
      </c>
    </row>
    <row r="698" spans="1:41">
      <c r="A698" s="1" t="s">
        <v>734</v>
      </c>
      <c r="B698" t="s">
        <v>2008</v>
      </c>
      <c r="C698" t="s">
        <v>1998</v>
      </c>
      <c r="D698" t="s">
        <v>2094</v>
      </c>
      <c r="E698" t="s">
        <v>2111</v>
      </c>
      <c r="F698" t="s">
        <v>2180</v>
      </c>
      <c r="G698" t="s">
        <v>2212</v>
      </c>
      <c r="H698">
        <v>11385</v>
      </c>
      <c r="I698" t="s">
        <v>2248</v>
      </c>
      <c r="J698">
        <v>1</v>
      </c>
      <c r="K698">
        <v>0</v>
      </c>
      <c r="L698" t="s">
        <v>2446</v>
      </c>
      <c r="M698" t="s">
        <v>2677</v>
      </c>
      <c r="P698" t="s">
        <v>2848</v>
      </c>
      <c r="Q698" t="s">
        <v>2113</v>
      </c>
      <c r="R698" t="s">
        <v>3259</v>
      </c>
      <c r="S698" t="s">
        <v>3267</v>
      </c>
      <c r="X698" t="s">
        <v>3354</v>
      </c>
      <c r="Y698" t="s">
        <v>2678</v>
      </c>
      <c r="Z698" t="s">
        <v>3380</v>
      </c>
      <c r="AA698" t="s">
        <v>3406</v>
      </c>
      <c r="AB698" t="s">
        <v>3415</v>
      </c>
      <c r="AC698">
        <f>HYPERLINK("https://lsnyc.legalserver.org/matter/dynamic-profile/view/1898162","19-1898162")</f>
        <v>0</v>
      </c>
      <c r="AD698" t="s">
        <v>3447</v>
      </c>
      <c r="AE698" t="s">
        <v>3459</v>
      </c>
      <c r="AF698" t="s">
        <v>4072</v>
      </c>
      <c r="AG698" t="s">
        <v>3380</v>
      </c>
      <c r="AH698" t="s">
        <v>4906</v>
      </c>
      <c r="AK698" t="s">
        <v>4911</v>
      </c>
      <c r="AL698" t="s">
        <v>2180</v>
      </c>
      <c r="AN698" t="s">
        <v>3415</v>
      </c>
    </row>
    <row r="699" spans="1:41">
      <c r="A699" s="1" t="s">
        <v>735</v>
      </c>
      <c r="B699" t="s">
        <v>1998</v>
      </c>
      <c r="C699" t="s">
        <v>1998</v>
      </c>
      <c r="D699" t="s">
        <v>2045</v>
      </c>
      <c r="E699" t="s">
        <v>2112</v>
      </c>
      <c r="F699" t="s">
        <v>2123</v>
      </c>
      <c r="G699" t="s">
        <v>2214</v>
      </c>
      <c r="H699">
        <v>11220</v>
      </c>
      <c r="I699" t="s">
        <v>2229</v>
      </c>
      <c r="J699">
        <v>4</v>
      </c>
      <c r="K699">
        <v>2</v>
      </c>
      <c r="L699" t="s">
        <v>2447</v>
      </c>
      <c r="M699" t="s">
        <v>2677</v>
      </c>
      <c r="P699" t="s">
        <v>2848</v>
      </c>
      <c r="Q699" t="s">
        <v>2113</v>
      </c>
      <c r="R699" t="s">
        <v>3261</v>
      </c>
      <c r="S699" t="s">
        <v>3283</v>
      </c>
      <c r="T699" t="s">
        <v>3295</v>
      </c>
      <c r="X699" t="s">
        <v>3354</v>
      </c>
      <c r="Y699" t="s">
        <v>2678</v>
      </c>
      <c r="Z699" t="s">
        <v>3359</v>
      </c>
      <c r="AA699" t="s">
        <v>3408</v>
      </c>
      <c r="AB699" t="s">
        <v>3431</v>
      </c>
      <c r="AC699">
        <f>HYPERLINK("https://lsnyc.legalserver.org/matter/dynamic-profile/view/1898170","19-1898170")</f>
        <v>0</v>
      </c>
      <c r="AD699" t="s">
        <v>3446</v>
      </c>
      <c r="AE699" t="s">
        <v>3481</v>
      </c>
      <c r="AF699" t="s">
        <v>4073</v>
      </c>
      <c r="AG699" t="s">
        <v>3359</v>
      </c>
      <c r="AH699" t="s">
        <v>3408</v>
      </c>
      <c r="AK699" t="s">
        <v>4911</v>
      </c>
      <c r="AL699" t="s">
        <v>2123</v>
      </c>
      <c r="AM699" t="s">
        <v>3295</v>
      </c>
      <c r="AN699" t="s">
        <v>3431</v>
      </c>
    </row>
    <row r="700" spans="1:41">
      <c r="A700" s="1" t="s">
        <v>736</v>
      </c>
      <c r="B700" t="s">
        <v>1998</v>
      </c>
      <c r="C700" t="s">
        <v>2001</v>
      </c>
      <c r="D700" t="s">
        <v>2061</v>
      </c>
      <c r="E700" t="s">
        <v>2111</v>
      </c>
      <c r="F700" t="s">
        <v>2117</v>
      </c>
      <c r="G700" t="s">
        <v>2214</v>
      </c>
      <c r="H700">
        <v>11209</v>
      </c>
      <c r="I700" t="s">
        <v>2229</v>
      </c>
      <c r="J700">
        <v>2</v>
      </c>
      <c r="K700">
        <v>1</v>
      </c>
      <c r="L700" t="s">
        <v>2260</v>
      </c>
      <c r="M700" t="s">
        <v>2677</v>
      </c>
      <c r="P700" t="s">
        <v>2848</v>
      </c>
      <c r="Q700" t="s">
        <v>2113</v>
      </c>
      <c r="R700" t="s">
        <v>3259</v>
      </c>
      <c r="S700" t="s">
        <v>3267</v>
      </c>
      <c r="T700" t="s">
        <v>3294</v>
      </c>
      <c r="X700" t="s">
        <v>3354</v>
      </c>
      <c r="Y700" t="s">
        <v>2678</v>
      </c>
      <c r="Z700" t="s">
        <v>3359</v>
      </c>
      <c r="AA700" t="s">
        <v>3406</v>
      </c>
      <c r="AB700" t="s">
        <v>3415</v>
      </c>
      <c r="AC700">
        <f>HYPERLINK("https://lsnyc.legalserver.org/matter/dynamic-profile/view/1898181","19-1898181")</f>
        <v>0</v>
      </c>
      <c r="AD700" t="s">
        <v>3446</v>
      </c>
      <c r="AE700" t="s">
        <v>3481</v>
      </c>
      <c r="AF700" t="s">
        <v>3959</v>
      </c>
      <c r="AG700" t="s">
        <v>3359</v>
      </c>
      <c r="AH700" t="s">
        <v>4906</v>
      </c>
      <c r="AK700" t="s">
        <v>4911</v>
      </c>
      <c r="AL700" t="s">
        <v>2117</v>
      </c>
      <c r="AM700" t="s">
        <v>3294</v>
      </c>
      <c r="AN700" t="s">
        <v>3415</v>
      </c>
    </row>
    <row r="701" spans="1:41">
      <c r="A701" s="1" t="s">
        <v>737</v>
      </c>
      <c r="B701" t="s">
        <v>2018</v>
      </c>
      <c r="C701" t="s">
        <v>2024</v>
      </c>
      <c r="D701" t="s">
        <v>2075</v>
      </c>
      <c r="E701" t="s">
        <v>2111</v>
      </c>
      <c r="F701" t="s">
        <v>2117</v>
      </c>
      <c r="G701" t="s">
        <v>2211</v>
      </c>
      <c r="H701">
        <v>11218</v>
      </c>
      <c r="I701" t="s">
        <v>2229</v>
      </c>
      <c r="J701">
        <v>4</v>
      </c>
      <c r="K701">
        <v>1</v>
      </c>
      <c r="L701" t="s">
        <v>2260</v>
      </c>
      <c r="M701" t="s">
        <v>2677</v>
      </c>
      <c r="P701" t="s">
        <v>2848</v>
      </c>
      <c r="Q701" t="s">
        <v>2113</v>
      </c>
      <c r="R701" t="s">
        <v>3259</v>
      </c>
      <c r="S701" t="s">
        <v>3267</v>
      </c>
      <c r="T701" t="s">
        <v>3295</v>
      </c>
      <c r="X701" t="s">
        <v>3354</v>
      </c>
      <c r="Y701" t="s">
        <v>2678</v>
      </c>
      <c r="Z701" t="s">
        <v>3359</v>
      </c>
      <c r="AA701" t="s">
        <v>3406</v>
      </c>
      <c r="AB701" t="s">
        <v>3415</v>
      </c>
      <c r="AC701">
        <f>HYPERLINK("https://lsnyc.legalserver.org/matter/dynamic-profile/view/1898183","19-1898183")</f>
        <v>0</v>
      </c>
      <c r="AD701" t="s">
        <v>3446</v>
      </c>
      <c r="AE701" t="s">
        <v>3481</v>
      </c>
      <c r="AF701" t="s">
        <v>4074</v>
      </c>
      <c r="AG701" t="s">
        <v>3359</v>
      </c>
      <c r="AH701" t="s">
        <v>4904</v>
      </c>
      <c r="AK701" t="s">
        <v>4911</v>
      </c>
      <c r="AL701" t="s">
        <v>2117</v>
      </c>
      <c r="AM701" t="s">
        <v>3295</v>
      </c>
      <c r="AN701" t="s">
        <v>3415</v>
      </c>
    </row>
    <row r="702" spans="1:41">
      <c r="A702" s="1" t="s">
        <v>738</v>
      </c>
      <c r="B702" t="s">
        <v>2001</v>
      </c>
      <c r="C702" t="s">
        <v>2003</v>
      </c>
      <c r="D702" t="s">
        <v>2053</v>
      </c>
      <c r="E702" t="s">
        <v>2111</v>
      </c>
      <c r="F702" t="s">
        <v>2115</v>
      </c>
      <c r="G702" t="s">
        <v>2211</v>
      </c>
      <c r="H702">
        <v>11216</v>
      </c>
      <c r="I702" t="s">
        <v>2229</v>
      </c>
      <c r="J702">
        <v>2</v>
      </c>
      <c r="K702">
        <v>1</v>
      </c>
      <c r="L702" t="s">
        <v>2260</v>
      </c>
      <c r="M702" t="s">
        <v>2677</v>
      </c>
      <c r="P702" t="s">
        <v>2848</v>
      </c>
      <c r="Q702" t="s">
        <v>2113</v>
      </c>
      <c r="R702" t="s">
        <v>3259</v>
      </c>
      <c r="S702" t="s">
        <v>3267</v>
      </c>
      <c r="T702" t="s">
        <v>3294</v>
      </c>
      <c r="X702" t="s">
        <v>3354</v>
      </c>
      <c r="Y702" t="s">
        <v>2678</v>
      </c>
      <c r="Z702" t="s">
        <v>3359</v>
      </c>
      <c r="AA702" t="s">
        <v>3406</v>
      </c>
      <c r="AB702" t="s">
        <v>3415</v>
      </c>
      <c r="AC702">
        <f>HYPERLINK("https://lsnyc.legalserver.org/matter/dynamic-profile/view/1898187","19-1898187")</f>
        <v>0</v>
      </c>
      <c r="AD702" t="s">
        <v>3446</v>
      </c>
      <c r="AE702" t="s">
        <v>3481</v>
      </c>
      <c r="AF702" t="s">
        <v>4075</v>
      </c>
      <c r="AG702" t="s">
        <v>3359</v>
      </c>
      <c r="AH702" t="s">
        <v>4906</v>
      </c>
      <c r="AK702" t="s">
        <v>4911</v>
      </c>
      <c r="AL702" t="s">
        <v>2115</v>
      </c>
      <c r="AM702" t="s">
        <v>3294</v>
      </c>
      <c r="AN702" t="s">
        <v>3415</v>
      </c>
    </row>
    <row r="703" spans="1:41">
      <c r="A703" s="1" t="s">
        <v>739</v>
      </c>
      <c r="B703" t="s">
        <v>1998</v>
      </c>
      <c r="C703" t="s">
        <v>1998</v>
      </c>
      <c r="D703" t="s">
        <v>2068</v>
      </c>
      <c r="E703" t="s">
        <v>2112</v>
      </c>
      <c r="F703" t="s">
        <v>2116</v>
      </c>
      <c r="G703" t="s">
        <v>2214</v>
      </c>
      <c r="H703">
        <v>11221</v>
      </c>
      <c r="I703" t="s">
        <v>2229</v>
      </c>
      <c r="J703">
        <v>3</v>
      </c>
      <c r="K703">
        <v>2</v>
      </c>
      <c r="L703" t="s">
        <v>2262</v>
      </c>
      <c r="M703" t="s">
        <v>2677</v>
      </c>
      <c r="P703" t="s">
        <v>2849</v>
      </c>
      <c r="Q703" t="s">
        <v>3257</v>
      </c>
      <c r="R703" t="s">
        <v>3259</v>
      </c>
      <c r="S703" t="s">
        <v>3264</v>
      </c>
      <c r="X703" t="s">
        <v>3354</v>
      </c>
      <c r="Y703" t="s">
        <v>2678</v>
      </c>
      <c r="Z703" t="s">
        <v>3357</v>
      </c>
      <c r="AA703" t="s">
        <v>3406</v>
      </c>
      <c r="AB703" t="s">
        <v>3412</v>
      </c>
      <c r="AC703">
        <f>HYPERLINK("https://lsnyc.legalserver.org/matter/dynamic-profile/view/1897872","19-1897872")</f>
        <v>0</v>
      </c>
      <c r="AD703" t="s">
        <v>3446</v>
      </c>
      <c r="AE703" t="s">
        <v>3454</v>
      </c>
      <c r="AF703" t="s">
        <v>4076</v>
      </c>
      <c r="AG703" t="s">
        <v>3357</v>
      </c>
      <c r="AH703" t="s">
        <v>4904</v>
      </c>
      <c r="AK703" t="s">
        <v>4911</v>
      </c>
      <c r="AL703" t="s">
        <v>2116</v>
      </c>
      <c r="AN703" t="s">
        <v>3412</v>
      </c>
    </row>
    <row r="704" spans="1:41">
      <c r="A704" s="1" t="s">
        <v>740</v>
      </c>
      <c r="B704" t="s">
        <v>2000</v>
      </c>
      <c r="C704" t="s">
        <v>2009</v>
      </c>
      <c r="D704" t="s">
        <v>2062</v>
      </c>
      <c r="E704" t="s">
        <v>2111</v>
      </c>
      <c r="F704" t="s">
        <v>2129</v>
      </c>
      <c r="G704" t="s">
        <v>2214</v>
      </c>
      <c r="H704">
        <v>11235</v>
      </c>
      <c r="I704" t="s">
        <v>2232</v>
      </c>
      <c r="J704">
        <v>1</v>
      </c>
      <c r="K704">
        <v>0</v>
      </c>
      <c r="L704" t="s">
        <v>2260</v>
      </c>
      <c r="M704" t="s">
        <v>2677</v>
      </c>
      <c r="P704" t="s">
        <v>2850</v>
      </c>
      <c r="Q704" t="s">
        <v>3255</v>
      </c>
      <c r="R704" t="s">
        <v>3259</v>
      </c>
      <c r="S704" t="s">
        <v>3268</v>
      </c>
      <c r="T704" t="s">
        <v>3294</v>
      </c>
      <c r="U704" t="s">
        <v>2829</v>
      </c>
      <c r="X704" t="s">
        <v>3354</v>
      </c>
      <c r="Y704" t="s">
        <v>2678</v>
      </c>
      <c r="Z704" t="s">
        <v>3368</v>
      </c>
      <c r="AA704" t="s">
        <v>3406</v>
      </c>
      <c r="AB704" t="s">
        <v>3416</v>
      </c>
      <c r="AC704">
        <f>HYPERLINK("https://lsnyc.legalserver.org/matter/dynamic-profile/view/1895805","19-1895805")</f>
        <v>0</v>
      </c>
      <c r="AD704" t="s">
        <v>3447</v>
      </c>
      <c r="AE704" t="s">
        <v>3478</v>
      </c>
      <c r="AF704" t="s">
        <v>4077</v>
      </c>
      <c r="AG704" t="s">
        <v>3368</v>
      </c>
      <c r="AH704" t="s">
        <v>4904</v>
      </c>
      <c r="AL704" t="s">
        <v>2129</v>
      </c>
      <c r="AM704" t="s">
        <v>3294</v>
      </c>
      <c r="AN704" t="s">
        <v>3416</v>
      </c>
    </row>
    <row r="705" spans="1:41">
      <c r="A705" s="1" t="s">
        <v>741</v>
      </c>
      <c r="B705" t="s">
        <v>1998</v>
      </c>
      <c r="C705" t="s">
        <v>2002</v>
      </c>
      <c r="D705" t="s">
        <v>2040</v>
      </c>
      <c r="E705" t="s">
        <v>2112</v>
      </c>
      <c r="F705" t="s">
        <v>2117</v>
      </c>
      <c r="G705" t="s">
        <v>2216</v>
      </c>
      <c r="H705">
        <v>10309</v>
      </c>
      <c r="I705" t="s">
        <v>2229</v>
      </c>
      <c r="J705">
        <v>5</v>
      </c>
      <c r="K705">
        <v>3</v>
      </c>
      <c r="L705" t="s">
        <v>2306</v>
      </c>
      <c r="M705" t="s">
        <v>2677</v>
      </c>
      <c r="P705" t="s">
        <v>2850</v>
      </c>
      <c r="Q705" t="s">
        <v>3255</v>
      </c>
      <c r="R705" t="s">
        <v>3260</v>
      </c>
      <c r="S705" t="s">
        <v>3266</v>
      </c>
      <c r="X705" t="s">
        <v>3354</v>
      </c>
      <c r="Y705" t="s">
        <v>2678</v>
      </c>
      <c r="Z705" t="s">
        <v>3363</v>
      </c>
      <c r="AA705" t="s">
        <v>3406</v>
      </c>
      <c r="AB705" t="s">
        <v>3414</v>
      </c>
      <c r="AC705">
        <f>HYPERLINK("https://lsnyc.legalserver.org/matter/dynamic-profile/view/1896047","19-1896047")</f>
        <v>0</v>
      </c>
      <c r="AD705" t="s">
        <v>3447</v>
      </c>
      <c r="AE705" t="s">
        <v>3459</v>
      </c>
      <c r="AF705" t="s">
        <v>3694</v>
      </c>
      <c r="AG705" t="s">
        <v>3363</v>
      </c>
      <c r="AH705" t="s">
        <v>4905</v>
      </c>
      <c r="AL705" t="s">
        <v>2117</v>
      </c>
      <c r="AN705" t="s">
        <v>3414</v>
      </c>
    </row>
    <row r="706" spans="1:41">
      <c r="A706" s="1" t="s">
        <v>742</v>
      </c>
      <c r="B706" t="s">
        <v>1998</v>
      </c>
      <c r="C706" t="s">
        <v>2005</v>
      </c>
      <c r="D706" t="s">
        <v>2088</v>
      </c>
      <c r="E706" t="s">
        <v>2111</v>
      </c>
      <c r="F706" t="s">
        <v>2117</v>
      </c>
      <c r="G706" t="s">
        <v>2216</v>
      </c>
      <c r="H706">
        <v>10309</v>
      </c>
      <c r="I706" t="s">
        <v>2229</v>
      </c>
      <c r="J706">
        <v>5</v>
      </c>
      <c r="K706">
        <v>3</v>
      </c>
      <c r="L706" t="s">
        <v>2306</v>
      </c>
      <c r="M706" t="s">
        <v>2677</v>
      </c>
      <c r="P706" t="s">
        <v>2850</v>
      </c>
      <c r="Q706" t="s">
        <v>3255</v>
      </c>
      <c r="R706" t="s">
        <v>3259</v>
      </c>
      <c r="S706" t="s">
        <v>3268</v>
      </c>
      <c r="X706" t="s">
        <v>3354</v>
      </c>
      <c r="Y706" t="s">
        <v>2678</v>
      </c>
      <c r="Z706" t="s">
        <v>3368</v>
      </c>
      <c r="AA706" t="s">
        <v>3406</v>
      </c>
      <c r="AB706" t="s">
        <v>3416</v>
      </c>
      <c r="AC706">
        <f>HYPERLINK("https://lsnyc.legalserver.org/matter/dynamic-profile/view/1896050","19-1896050")</f>
        <v>0</v>
      </c>
      <c r="AD706" t="s">
        <v>3447</v>
      </c>
      <c r="AE706" t="s">
        <v>3459</v>
      </c>
      <c r="AF706" t="s">
        <v>4078</v>
      </c>
      <c r="AG706" t="s">
        <v>3368</v>
      </c>
      <c r="AH706" t="s">
        <v>4904</v>
      </c>
      <c r="AL706" t="s">
        <v>2117</v>
      </c>
      <c r="AN706" t="s">
        <v>3416</v>
      </c>
    </row>
    <row r="707" spans="1:41">
      <c r="A707" s="1" t="s">
        <v>743</v>
      </c>
      <c r="B707" t="s">
        <v>2016</v>
      </c>
      <c r="C707" t="s">
        <v>2018</v>
      </c>
      <c r="D707" t="s">
        <v>2039</v>
      </c>
      <c r="E707" t="s">
        <v>2112</v>
      </c>
      <c r="F707" t="s">
        <v>2116</v>
      </c>
      <c r="G707" t="s">
        <v>2216</v>
      </c>
      <c r="H707">
        <v>10304</v>
      </c>
      <c r="I707" t="s">
        <v>2229</v>
      </c>
      <c r="J707">
        <v>3</v>
      </c>
      <c r="K707">
        <v>1</v>
      </c>
      <c r="L707" t="s">
        <v>2307</v>
      </c>
      <c r="M707" t="s">
        <v>2677</v>
      </c>
      <c r="P707" t="s">
        <v>2850</v>
      </c>
      <c r="Q707" t="s">
        <v>3255</v>
      </c>
      <c r="R707" t="s">
        <v>3259</v>
      </c>
      <c r="S707" t="s">
        <v>3264</v>
      </c>
      <c r="X707" t="s">
        <v>3354</v>
      </c>
      <c r="Y707" t="s">
        <v>2678</v>
      </c>
      <c r="Z707" t="s">
        <v>3357</v>
      </c>
      <c r="AA707" t="s">
        <v>3406</v>
      </c>
      <c r="AB707" t="s">
        <v>3412</v>
      </c>
      <c r="AC707">
        <f>HYPERLINK("https://lsnyc.legalserver.org/matter/dynamic-profile/view/1896965","19-1896965")</f>
        <v>0</v>
      </c>
      <c r="AD707" t="s">
        <v>3447</v>
      </c>
      <c r="AE707" t="s">
        <v>3478</v>
      </c>
      <c r="AF707" t="s">
        <v>3876</v>
      </c>
      <c r="AG707" t="s">
        <v>3357</v>
      </c>
      <c r="AH707" t="s">
        <v>4904</v>
      </c>
      <c r="AI707" t="s">
        <v>4909</v>
      </c>
      <c r="AK707" t="s">
        <v>4911</v>
      </c>
      <c r="AL707" t="s">
        <v>2116</v>
      </c>
      <c r="AN707" t="s">
        <v>3412</v>
      </c>
    </row>
    <row r="708" spans="1:41">
      <c r="A708" s="1" t="s">
        <v>744</v>
      </c>
      <c r="B708" t="s">
        <v>2013</v>
      </c>
      <c r="C708" t="s">
        <v>1998</v>
      </c>
      <c r="D708" t="s">
        <v>2079</v>
      </c>
      <c r="E708" t="s">
        <v>2112</v>
      </c>
      <c r="F708" t="s">
        <v>2123</v>
      </c>
      <c r="G708" t="s">
        <v>2211</v>
      </c>
      <c r="H708">
        <v>10705</v>
      </c>
      <c r="I708" t="s">
        <v>2229</v>
      </c>
      <c r="J708">
        <v>1</v>
      </c>
      <c r="K708">
        <v>0</v>
      </c>
      <c r="L708" t="s">
        <v>2448</v>
      </c>
      <c r="M708" t="s">
        <v>2677</v>
      </c>
      <c r="P708" t="s">
        <v>2850</v>
      </c>
      <c r="Q708" t="s">
        <v>3255</v>
      </c>
      <c r="R708" t="s">
        <v>3258</v>
      </c>
      <c r="S708" t="s">
        <v>3273</v>
      </c>
      <c r="X708" t="s">
        <v>3354</v>
      </c>
      <c r="Y708" t="s">
        <v>2678</v>
      </c>
      <c r="Z708" t="s">
        <v>3370</v>
      </c>
      <c r="AA708" t="s">
        <v>3406</v>
      </c>
      <c r="AB708" t="s">
        <v>3421</v>
      </c>
      <c r="AC708">
        <f>HYPERLINK("https://lsnyc.legalserver.org/matter/dynamic-profile/view/1897929","19-1897929")</f>
        <v>0</v>
      </c>
      <c r="AD708" t="s">
        <v>3444</v>
      </c>
      <c r="AE708" t="s">
        <v>3451</v>
      </c>
      <c r="AF708" t="s">
        <v>4079</v>
      </c>
      <c r="AG708" t="s">
        <v>3370</v>
      </c>
      <c r="AH708" t="s">
        <v>4904</v>
      </c>
      <c r="AL708" t="s">
        <v>2123</v>
      </c>
      <c r="AN708" t="s">
        <v>3421</v>
      </c>
    </row>
    <row r="709" spans="1:41">
      <c r="A709" s="1" t="s">
        <v>745</v>
      </c>
      <c r="B709" t="s">
        <v>2000</v>
      </c>
      <c r="C709" t="s">
        <v>2001</v>
      </c>
      <c r="D709" t="s">
        <v>2037</v>
      </c>
      <c r="E709" t="s">
        <v>2111</v>
      </c>
      <c r="F709" t="s">
        <v>2115</v>
      </c>
      <c r="G709" t="s">
        <v>2216</v>
      </c>
      <c r="H709">
        <v>10303</v>
      </c>
      <c r="I709" t="s">
        <v>2229</v>
      </c>
      <c r="J709">
        <v>2</v>
      </c>
      <c r="K709">
        <v>1</v>
      </c>
      <c r="L709" t="s">
        <v>2285</v>
      </c>
      <c r="M709" t="s">
        <v>2677</v>
      </c>
      <c r="P709" t="s">
        <v>2850</v>
      </c>
      <c r="Q709" t="s">
        <v>2113</v>
      </c>
      <c r="R709" t="s">
        <v>3259</v>
      </c>
      <c r="S709" t="s">
        <v>3267</v>
      </c>
      <c r="X709" t="s">
        <v>3354</v>
      </c>
      <c r="Y709" t="s">
        <v>2677</v>
      </c>
      <c r="Z709" t="s">
        <v>3380</v>
      </c>
      <c r="AA709" t="s">
        <v>3406</v>
      </c>
      <c r="AB709" t="s">
        <v>3415</v>
      </c>
      <c r="AC709">
        <f>HYPERLINK("https://lsnyc.legalserver.org/matter/dynamic-profile/view/1897934","19-1897934")</f>
        <v>0</v>
      </c>
      <c r="AD709" t="s">
        <v>3445</v>
      </c>
      <c r="AE709" t="s">
        <v>3455</v>
      </c>
      <c r="AF709" t="s">
        <v>4080</v>
      </c>
      <c r="AG709" t="s">
        <v>3380</v>
      </c>
      <c r="AH709" t="s">
        <v>4904</v>
      </c>
      <c r="AK709" t="s">
        <v>4911</v>
      </c>
      <c r="AL709" t="s">
        <v>2115</v>
      </c>
      <c r="AN709" t="s">
        <v>3415</v>
      </c>
    </row>
    <row r="710" spans="1:41">
      <c r="A710" s="1" t="s">
        <v>746</v>
      </c>
      <c r="B710" t="s">
        <v>1998</v>
      </c>
      <c r="C710" t="s">
        <v>1998</v>
      </c>
      <c r="D710" t="s">
        <v>2070</v>
      </c>
      <c r="E710" t="s">
        <v>2112</v>
      </c>
      <c r="F710" t="s">
        <v>2114</v>
      </c>
      <c r="G710" t="s">
        <v>2214</v>
      </c>
      <c r="H710">
        <v>11235</v>
      </c>
      <c r="J710">
        <v>2</v>
      </c>
      <c r="K710">
        <v>1</v>
      </c>
      <c r="L710" t="s">
        <v>2256</v>
      </c>
      <c r="M710" t="s">
        <v>2677</v>
      </c>
      <c r="P710" t="s">
        <v>2850</v>
      </c>
      <c r="Q710" t="s">
        <v>2113</v>
      </c>
      <c r="R710" t="s">
        <v>3258</v>
      </c>
      <c r="S710" t="s">
        <v>3262</v>
      </c>
      <c r="X710" t="s">
        <v>3354</v>
      </c>
      <c r="Y710" t="s">
        <v>2677</v>
      </c>
      <c r="Z710" t="s">
        <v>3355</v>
      </c>
      <c r="AA710" t="s">
        <v>3406</v>
      </c>
      <c r="AB710" t="s">
        <v>3410</v>
      </c>
      <c r="AC710">
        <f>HYPERLINK("https://lsnyc.legalserver.org/matter/dynamic-profile/view/1897935","19-1897935")</f>
        <v>0</v>
      </c>
      <c r="AD710" t="s">
        <v>3445</v>
      </c>
      <c r="AE710" t="s">
        <v>3455</v>
      </c>
      <c r="AF710" t="s">
        <v>4081</v>
      </c>
      <c r="AG710" t="s">
        <v>3355</v>
      </c>
      <c r="AH710" t="s">
        <v>4904</v>
      </c>
      <c r="AK710" t="s">
        <v>4911</v>
      </c>
      <c r="AL710" t="s">
        <v>2114</v>
      </c>
      <c r="AN710" t="s">
        <v>3410</v>
      </c>
    </row>
    <row r="711" spans="1:41">
      <c r="A711" s="1" t="s">
        <v>747</v>
      </c>
      <c r="B711" t="s">
        <v>2009</v>
      </c>
      <c r="C711" t="s">
        <v>2000</v>
      </c>
      <c r="D711" t="s">
        <v>2036</v>
      </c>
      <c r="E711" t="s">
        <v>2111</v>
      </c>
      <c r="F711" t="s">
        <v>2114</v>
      </c>
      <c r="G711" t="s">
        <v>2214</v>
      </c>
      <c r="H711">
        <v>11235</v>
      </c>
      <c r="I711" t="s">
        <v>2229</v>
      </c>
      <c r="J711">
        <v>2</v>
      </c>
      <c r="K711">
        <v>1</v>
      </c>
      <c r="L711" t="s">
        <v>2288</v>
      </c>
      <c r="M711" t="s">
        <v>2677</v>
      </c>
      <c r="P711" t="s">
        <v>2850</v>
      </c>
      <c r="Q711" t="s">
        <v>2113</v>
      </c>
      <c r="R711" t="s">
        <v>3259</v>
      </c>
      <c r="S711" t="s">
        <v>3267</v>
      </c>
      <c r="X711" t="s">
        <v>3354</v>
      </c>
      <c r="Y711" t="s">
        <v>2677</v>
      </c>
      <c r="Z711" t="s">
        <v>3367</v>
      </c>
      <c r="AA711" t="s">
        <v>3406</v>
      </c>
      <c r="AB711" t="s">
        <v>3415</v>
      </c>
      <c r="AC711">
        <f>HYPERLINK("https://lsnyc.legalserver.org/matter/dynamic-profile/view/1897937","19-1897937")</f>
        <v>0</v>
      </c>
      <c r="AD711" t="s">
        <v>3445</v>
      </c>
      <c r="AE711" t="s">
        <v>3455</v>
      </c>
      <c r="AF711" t="s">
        <v>4057</v>
      </c>
      <c r="AG711" t="s">
        <v>3367</v>
      </c>
      <c r="AH711" t="s">
        <v>4904</v>
      </c>
      <c r="AI711" t="s">
        <v>4909</v>
      </c>
      <c r="AK711" t="s">
        <v>4911</v>
      </c>
      <c r="AL711" t="s">
        <v>2114</v>
      </c>
      <c r="AN711" t="s">
        <v>3415</v>
      </c>
    </row>
    <row r="712" spans="1:41">
      <c r="A712" s="1" t="s">
        <v>748</v>
      </c>
      <c r="B712" t="s">
        <v>2001</v>
      </c>
      <c r="C712" t="s">
        <v>2000</v>
      </c>
      <c r="D712" t="s">
        <v>2084</v>
      </c>
      <c r="E712" t="s">
        <v>2112</v>
      </c>
      <c r="F712" t="s">
        <v>2123</v>
      </c>
      <c r="G712" t="s">
        <v>2212</v>
      </c>
      <c r="H712">
        <v>11369</v>
      </c>
      <c r="I712" t="s">
        <v>2229</v>
      </c>
      <c r="J712">
        <v>2</v>
      </c>
      <c r="K712">
        <v>1</v>
      </c>
      <c r="L712" t="s">
        <v>2387</v>
      </c>
      <c r="M712" t="s">
        <v>2677</v>
      </c>
      <c r="P712" t="s">
        <v>2782</v>
      </c>
      <c r="Q712" t="s">
        <v>2113</v>
      </c>
      <c r="R712" t="s">
        <v>3259</v>
      </c>
      <c r="S712" t="s">
        <v>3267</v>
      </c>
      <c r="X712" t="s">
        <v>3354</v>
      </c>
      <c r="Y712" t="s">
        <v>2678</v>
      </c>
      <c r="Z712" t="s">
        <v>3391</v>
      </c>
      <c r="AA712" t="s">
        <v>3406</v>
      </c>
      <c r="AB712" t="s">
        <v>3415</v>
      </c>
      <c r="AC712">
        <f>HYPERLINK("https://lsnyc.legalserver.org/matter/dynamic-profile/view/1898106","19-1898106")</f>
        <v>0</v>
      </c>
      <c r="AD712" t="s">
        <v>3443</v>
      </c>
      <c r="AE712" t="s">
        <v>3471</v>
      </c>
      <c r="AF712" t="s">
        <v>3877</v>
      </c>
      <c r="AG712" t="s">
        <v>3391</v>
      </c>
      <c r="AH712" t="s">
        <v>4906</v>
      </c>
      <c r="AL712" t="s">
        <v>2123</v>
      </c>
      <c r="AN712" t="s">
        <v>3415</v>
      </c>
    </row>
    <row r="713" spans="1:41">
      <c r="A713" s="1" t="s">
        <v>749</v>
      </c>
      <c r="B713" t="s">
        <v>2007</v>
      </c>
      <c r="C713" t="s">
        <v>1998</v>
      </c>
      <c r="D713" t="s">
        <v>2067</v>
      </c>
      <c r="E713" t="s">
        <v>2111</v>
      </c>
      <c r="F713" t="s">
        <v>2144</v>
      </c>
      <c r="G713" t="s">
        <v>2213</v>
      </c>
      <c r="H713">
        <v>10469</v>
      </c>
      <c r="I713" t="s">
        <v>2230</v>
      </c>
      <c r="J713">
        <v>2</v>
      </c>
      <c r="K713">
        <v>1</v>
      </c>
      <c r="L713" t="s">
        <v>2260</v>
      </c>
      <c r="M713" t="s">
        <v>2677</v>
      </c>
      <c r="P713" t="s">
        <v>2814</v>
      </c>
      <c r="Q713" t="s">
        <v>2113</v>
      </c>
      <c r="R713" t="s">
        <v>3258</v>
      </c>
      <c r="S713" t="s">
        <v>3271</v>
      </c>
      <c r="T713" t="s">
        <v>3294</v>
      </c>
      <c r="U713" t="s">
        <v>2814</v>
      </c>
      <c r="X713" t="s">
        <v>3354</v>
      </c>
      <c r="Y713" t="s">
        <v>2678</v>
      </c>
      <c r="Z713" t="s">
        <v>3369</v>
      </c>
      <c r="AA713" t="s">
        <v>3406</v>
      </c>
      <c r="AB713" t="s">
        <v>3419</v>
      </c>
      <c r="AC713">
        <f>HYPERLINK("https://lsnyc.legalserver.org/matter/dynamic-profile/view/1897708","19-1897708")</f>
        <v>0</v>
      </c>
      <c r="AD713" t="s">
        <v>3444</v>
      </c>
      <c r="AE713" t="s">
        <v>3451</v>
      </c>
      <c r="AF713" t="s">
        <v>4082</v>
      </c>
      <c r="AG713" t="s">
        <v>3369</v>
      </c>
      <c r="AH713" t="s">
        <v>4904</v>
      </c>
      <c r="AK713" t="s">
        <v>4911</v>
      </c>
      <c r="AL713" t="s">
        <v>2144</v>
      </c>
      <c r="AM713" t="s">
        <v>3294</v>
      </c>
      <c r="AN713" t="s">
        <v>3419</v>
      </c>
    </row>
    <row r="714" spans="1:41">
      <c r="A714" s="1" t="s">
        <v>750</v>
      </c>
      <c r="B714" t="s">
        <v>2009</v>
      </c>
      <c r="C714" t="s">
        <v>2009</v>
      </c>
      <c r="D714" t="s">
        <v>2056</v>
      </c>
      <c r="E714" t="s">
        <v>2111</v>
      </c>
      <c r="F714" t="s">
        <v>2129</v>
      </c>
      <c r="G714" t="s">
        <v>2211</v>
      </c>
      <c r="H714">
        <v>10035</v>
      </c>
      <c r="I714" t="s">
        <v>2232</v>
      </c>
      <c r="J714">
        <v>2</v>
      </c>
      <c r="K714">
        <v>0</v>
      </c>
      <c r="L714" t="s">
        <v>2283</v>
      </c>
      <c r="M714" t="s">
        <v>2677</v>
      </c>
      <c r="P714" t="s">
        <v>2851</v>
      </c>
      <c r="Q714" t="s">
        <v>2113</v>
      </c>
      <c r="R714" t="s">
        <v>3258</v>
      </c>
      <c r="S714" t="s">
        <v>3262</v>
      </c>
      <c r="X714" t="s">
        <v>3354</v>
      </c>
      <c r="Y714" t="s">
        <v>2677</v>
      </c>
      <c r="Z714" t="s">
        <v>3355</v>
      </c>
      <c r="AA714" t="s">
        <v>3406</v>
      </c>
      <c r="AB714" t="s">
        <v>3410</v>
      </c>
      <c r="AC714">
        <f>HYPERLINK("https://lsnyc.legalserver.org/matter/dynamic-profile/view/1897548","19-1897548")</f>
        <v>0</v>
      </c>
      <c r="AD714" t="s">
        <v>3445</v>
      </c>
      <c r="AE714" t="s">
        <v>3455</v>
      </c>
      <c r="AF714" t="s">
        <v>4083</v>
      </c>
      <c r="AG714" t="s">
        <v>3355</v>
      </c>
      <c r="AH714" t="s">
        <v>4904</v>
      </c>
      <c r="AL714" t="s">
        <v>2129</v>
      </c>
      <c r="AN714" t="s">
        <v>3410</v>
      </c>
    </row>
    <row r="715" spans="1:41">
      <c r="A715" s="1" t="s">
        <v>751</v>
      </c>
      <c r="B715" t="s">
        <v>2000</v>
      </c>
      <c r="C715" t="s">
        <v>2001</v>
      </c>
      <c r="D715" t="s">
        <v>2034</v>
      </c>
      <c r="E715" t="s">
        <v>2111</v>
      </c>
      <c r="F715" t="s">
        <v>2120</v>
      </c>
      <c r="G715" t="s">
        <v>2212</v>
      </c>
      <c r="H715">
        <v>11692</v>
      </c>
      <c r="I715" t="s">
        <v>2230</v>
      </c>
      <c r="J715">
        <v>4</v>
      </c>
      <c r="K715">
        <v>1</v>
      </c>
      <c r="L715" t="s">
        <v>2304</v>
      </c>
      <c r="M715" t="s">
        <v>2677</v>
      </c>
      <c r="P715" t="s">
        <v>2851</v>
      </c>
      <c r="Q715" t="s">
        <v>2113</v>
      </c>
      <c r="R715" t="s">
        <v>3258</v>
      </c>
      <c r="S715" t="s">
        <v>3262</v>
      </c>
      <c r="X715" t="s">
        <v>3354</v>
      </c>
      <c r="Y715" t="s">
        <v>2677</v>
      </c>
      <c r="Z715" t="s">
        <v>3355</v>
      </c>
      <c r="AA715" t="s">
        <v>3406</v>
      </c>
      <c r="AB715" t="s">
        <v>3410</v>
      </c>
      <c r="AC715">
        <f>HYPERLINK("https://lsnyc.legalserver.org/matter/dynamic-profile/view/1897565","19-1897565")</f>
        <v>0</v>
      </c>
      <c r="AD715" t="s">
        <v>3445</v>
      </c>
      <c r="AE715" t="s">
        <v>3455</v>
      </c>
      <c r="AF715" t="s">
        <v>4084</v>
      </c>
      <c r="AG715" t="s">
        <v>3355</v>
      </c>
      <c r="AH715" t="s">
        <v>4904</v>
      </c>
      <c r="AK715" t="s">
        <v>4911</v>
      </c>
      <c r="AL715" t="s">
        <v>2120</v>
      </c>
      <c r="AN715" t="s">
        <v>3410</v>
      </c>
    </row>
    <row r="716" spans="1:41">
      <c r="A716" s="1" t="s">
        <v>752</v>
      </c>
      <c r="B716" t="s">
        <v>2000</v>
      </c>
      <c r="C716" t="s">
        <v>2001</v>
      </c>
      <c r="D716" t="s">
        <v>2037</v>
      </c>
      <c r="E716" t="s">
        <v>2111</v>
      </c>
      <c r="F716" t="s">
        <v>2115</v>
      </c>
      <c r="G716" t="s">
        <v>2216</v>
      </c>
      <c r="H716">
        <v>10303</v>
      </c>
      <c r="I716" t="s">
        <v>2229</v>
      </c>
      <c r="J716">
        <v>7</v>
      </c>
      <c r="K716">
        <v>1</v>
      </c>
      <c r="L716" t="s">
        <v>2300</v>
      </c>
      <c r="M716" t="s">
        <v>2677</v>
      </c>
      <c r="P716" t="s">
        <v>2851</v>
      </c>
      <c r="Q716" t="s">
        <v>2113</v>
      </c>
      <c r="R716" t="s">
        <v>3258</v>
      </c>
      <c r="S716" t="s">
        <v>3262</v>
      </c>
      <c r="X716" t="s">
        <v>3354</v>
      </c>
      <c r="Y716" t="s">
        <v>2677</v>
      </c>
      <c r="Z716" t="s">
        <v>3355</v>
      </c>
      <c r="AA716" t="s">
        <v>3406</v>
      </c>
      <c r="AB716" t="s">
        <v>3410</v>
      </c>
      <c r="AC716">
        <f>HYPERLINK("https://lsnyc.legalserver.org/matter/dynamic-profile/view/1897607","19-1897607")</f>
        <v>0</v>
      </c>
      <c r="AD716" t="s">
        <v>3445</v>
      </c>
      <c r="AE716" t="s">
        <v>3455</v>
      </c>
      <c r="AF716" t="s">
        <v>4080</v>
      </c>
      <c r="AG716" t="s">
        <v>3355</v>
      </c>
      <c r="AH716" t="s">
        <v>4904</v>
      </c>
      <c r="AK716" t="s">
        <v>4911</v>
      </c>
      <c r="AL716" t="s">
        <v>2115</v>
      </c>
      <c r="AN716" t="s">
        <v>3410</v>
      </c>
    </row>
    <row r="717" spans="1:41">
      <c r="A717" s="1" t="s">
        <v>753</v>
      </c>
      <c r="B717" t="s">
        <v>2012</v>
      </c>
      <c r="C717" t="s">
        <v>1998</v>
      </c>
      <c r="D717" t="s">
        <v>2036</v>
      </c>
      <c r="E717" t="s">
        <v>2112</v>
      </c>
      <c r="F717" t="s">
        <v>2120</v>
      </c>
      <c r="G717" t="s">
        <v>2214</v>
      </c>
      <c r="H717">
        <v>11212</v>
      </c>
      <c r="J717">
        <v>2</v>
      </c>
      <c r="K717">
        <v>1</v>
      </c>
      <c r="L717" t="s">
        <v>2260</v>
      </c>
      <c r="M717" t="s">
        <v>2677</v>
      </c>
      <c r="P717" t="s">
        <v>2851</v>
      </c>
      <c r="Q717" t="s">
        <v>3257</v>
      </c>
      <c r="R717" t="s">
        <v>3259</v>
      </c>
      <c r="S717" t="s">
        <v>3272</v>
      </c>
      <c r="V717" t="s">
        <v>3352</v>
      </c>
      <c r="X717" t="s">
        <v>3354</v>
      </c>
      <c r="Y717" t="s">
        <v>2678</v>
      </c>
      <c r="Z717" t="s">
        <v>3364</v>
      </c>
      <c r="AA717" t="s">
        <v>3406</v>
      </c>
      <c r="AB717" t="s">
        <v>3420</v>
      </c>
      <c r="AC717">
        <f>HYPERLINK("https://lsnyc.legalserver.org/matter/dynamic-profile/view/1897624","19-1897624")</f>
        <v>0</v>
      </c>
      <c r="AD717" t="s">
        <v>3446</v>
      </c>
      <c r="AE717" t="s">
        <v>3465</v>
      </c>
      <c r="AF717" t="s">
        <v>3882</v>
      </c>
      <c r="AG717" t="s">
        <v>3364</v>
      </c>
      <c r="AH717" t="s">
        <v>4904</v>
      </c>
      <c r="AK717" t="s">
        <v>4911</v>
      </c>
      <c r="AL717" t="s">
        <v>2120</v>
      </c>
      <c r="AN717" t="s">
        <v>3420</v>
      </c>
      <c r="AO717" t="s">
        <v>3352</v>
      </c>
    </row>
    <row r="718" spans="1:41">
      <c r="A718" s="1" t="s">
        <v>754</v>
      </c>
      <c r="B718" t="s">
        <v>2013</v>
      </c>
      <c r="C718" t="s">
        <v>1998</v>
      </c>
      <c r="D718" t="s">
        <v>2079</v>
      </c>
      <c r="E718" t="s">
        <v>2112</v>
      </c>
      <c r="F718" t="s">
        <v>2123</v>
      </c>
      <c r="G718" t="s">
        <v>2211</v>
      </c>
      <c r="H718">
        <v>10705</v>
      </c>
      <c r="I718" t="s">
        <v>2229</v>
      </c>
      <c r="J718">
        <v>1</v>
      </c>
      <c r="K718">
        <v>0</v>
      </c>
      <c r="L718" t="s">
        <v>2448</v>
      </c>
      <c r="M718" t="s">
        <v>2677</v>
      </c>
      <c r="P718" t="s">
        <v>2851</v>
      </c>
      <c r="Q718" t="s">
        <v>3255</v>
      </c>
      <c r="R718" t="s">
        <v>3258</v>
      </c>
      <c r="S718" t="s">
        <v>3273</v>
      </c>
      <c r="X718" t="s">
        <v>3354</v>
      </c>
      <c r="Y718" t="s">
        <v>2678</v>
      </c>
      <c r="Z718" t="s">
        <v>3370</v>
      </c>
      <c r="AA718" t="s">
        <v>3406</v>
      </c>
      <c r="AB718" t="s">
        <v>3421</v>
      </c>
      <c r="AC718">
        <f>HYPERLINK("https://lsnyc.legalserver.org/matter/dynamic-profile/view/1897662","19-1897662")</f>
        <v>0</v>
      </c>
      <c r="AD718" t="s">
        <v>3444</v>
      </c>
      <c r="AE718" t="s">
        <v>3451</v>
      </c>
      <c r="AF718" t="s">
        <v>4079</v>
      </c>
      <c r="AG718" t="s">
        <v>3370</v>
      </c>
      <c r="AH718" t="s">
        <v>4904</v>
      </c>
      <c r="AK718" t="s">
        <v>4911</v>
      </c>
      <c r="AL718" t="s">
        <v>2123</v>
      </c>
      <c r="AN718" t="s">
        <v>3421</v>
      </c>
    </row>
    <row r="719" spans="1:41">
      <c r="A719" s="1" t="s">
        <v>755</v>
      </c>
      <c r="B719" t="s">
        <v>2000</v>
      </c>
      <c r="C719" t="s">
        <v>2002</v>
      </c>
      <c r="D719" t="s">
        <v>2103</v>
      </c>
      <c r="E719" t="s">
        <v>2111</v>
      </c>
      <c r="F719" t="s">
        <v>2123</v>
      </c>
      <c r="G719" t="s">
        <v>2212</v>
      </c>
      <c r="H719">
        <v>11423</v>
      </c>
      <c r="I719" t="s">
        <v>2229</v>
      </c>
      <c r="J719">
        <v>1</v>
      </c>
      <c r="K719">
        <v>0</v>
      </c>
      <c r="L719" t="s">
        <v>2449</v>
      </c>
      <c r="M719" t="s">
        <v>2677</v>
      </c>
      <c r="P719" t="s">
        <v>2852</v>
      </c>
      <c r="Q719" t="s">
        <v>2113</v>
      </c>
      <c r="R719" t="s">
        <v>3258</v>
      </c>
      <c r="S719" t="s">
        <v>3271</v>
      </c>
      <c r="X719" t="s">
        <v>3354</v>
      </c>
      <c r="Y719" t="s">
        <v>2677</v>
      </c>
      <c r="Z719" t="s">
        <v>3362</v>
      </c>
      <c r="AA719" t="s">
        <v>3406</v>
      </c>
      <c r="AB719" t="s">
        <v>3419</v>
      </c>
      <c r="AC719">
        <f>HYPERLINK("https://lsnyc.legalserver.org/matter/dynamic-profile/view/1897279","19-1897279")</f>
        <v>0</v>
      </c>
      <c r="AD719" t="s">
        <v>3445</v>
      </c>
      <c r="AE719" t="s">
        <v>3455</v>
      </c>
      <c r="AF719" t="s">
        <v>4085</v>
      </c>
      <c r="AG719" t="s">
        <v>3362</v>
      </c>
      <c r="AH719" t="s">
        <v>4904</v>
      </c>
      <c r="AI719" t="s">
        <v>4909</v>
      </c>
      <c r="AL719" t="s">
        <v>2123</v>
      </c>
      <c r="AN719" t="s">
        <v>3419</v>
      </c>
    </row>
    <row r="720" spans="1:41">
      <c r="A720" s="1" t="s">
        <v>756</v>
      </c>
      <c r="B720" t="s">
        <v>2000</v>
      </c>
      <c r="C720" t="s">
        <v>2001</v>
      </c>
      <c r="D720" t="s">
        <v>2098</v>
      </c>
      <c r="E720" t="s">
        <v>2111</v>
      </c>
      <c r="F720" t="s">
        <v>2123</v>
      </c>
      <c r="G720" t="s">
        <v>2211</v>
      </c>
      <c r="H720">
        <v>10002</v>
      </c>
      <c r="I720" t="s">
        <v>2229</v>
      </c>
      <c r="J720">
        <v>4</v>
      </c>
      <c r="K720">
        <v>0</v>
      </c>
      <c r="L720" t="s">
        <v>2411</v>
      </c>
      <c r="M720" t="s">
        <v>2677</v>
      </c>
      <c r="P720" t="s">
        <v>2852</v>
      </c>
      <c r="Q720" t="s">
        <v>2113</v>
      </c>
      <c r="R720" t="s">
        <v>3258</v>
      </c>
      <c r="S720" t="s">
        <v>3271</v>
      </c>
      <c r="X720" t="s">
        <v>3354</v>
      </c>
      <c r="Y720" t="s">
        <v>2677</v>
      </c>
      <c r="Z720" t="s">
        <v>3362</v>
      </c>
      <c r="AA720" t="s">
        <v>3406</v>
      </c>
      <c r="AB720" t="s">
        <v>3419</v>
      </c>
      <c r="AC720">
        <f>HYPERLINK("https://lsnyc.legalserver.org/matter/dynamic-profile/view/1897288","19-1897288")</f>
        <v>0</v>
      </c>
      <c r="AD720" t="s">
        <v>3445</v>
      </c>
      <c r="AE720" t="s">
        <v>3455</v>
      </c>
      <c r="AF720" t="s">
        <v>4086</v>
      </c>
      <c r="AG720" t="s">
        <v>3362</v>
      </c>
      <c r="AH720" t="s">
        <v>4904</v>
      </c>
      <c r="AK720" t="s">
        <v>4911</v>
      </c>
      <c r="AL720" t="s">
        <v>2123</v>
      </c>
      <c r="AN720" t="s">
        <v>3419</v>
      </c>
    </row>
    <row r="721" spans="1:41">
      <c r="A721" s="1" t="s">
        <v>757</v>
      </c>
      <c r="B721" t="s">
        <v>2001</v>
      </c>
      <c r="C721" t="s">
        <v>2004</v>
      </c>
      <c r="D721" t="s">
        <v>2028</v>
      </c>
      <c r="E721" t="s">
        <v>2112</v>
      </c>
      <c r="F721" t="s">
        <v>2122</v>
      </c>
      <c r="G721" t="s">
        <v>2211</v>
      </c>
      <c r="H721">
        <v>10023</v>
      </c>
      <c r="I721" t="s">
        <v>2230</v>
      </c>
      <c r="J721">
        <v>1</v>
      </c>
      <c r="K721">
        <v>0</v>
      </c>
      <c r="L721" t="s">
        <v>2450</v>
      </c>
      <c r="M721" t="s">
        <v>2677</v>
      </c>
      <c r="P721" t="s">
        <v>2852</v>
      </c>
      <c r="Q721" t="s">
        <v>2113</v>
      </c>
      <c r="R721" t="s">
        <v>3258</v>
      </c>
      <c r="S721" t="s">
        <v>3271</v>
      </c>
      <c r="X721" t="s">
        <v>3354</v>
      </c>
      <c r="Y721" t="s">
        <v>2677</v>
      </c>
      <c r="Z721" t="s">
        <v>3362</v>
      </c>
      <c r="AA721" t="s">
        <v>3406</v>
      </c>
      <c r="AB721" t="s">
        <v>3419</v>
      </c>
      <c r="AC721">
        <f>HYPERLINK("https://lsnyc.legalserver.org/matter/dynamic-profile/view/1897300","19-1897300")</f>
        <v>0</v>
      </c>
      <c r="AD721" t="s">
        <v>3445</v>
      </c>
      <c r="AE721" t="s">
        <v>3455</v>
      </c>
      <c r="AF721" t="s">
        <v>4087</v>
      </c>
      <c r="AG721" t="s">
        <v>3362</v>
      </c>
      <c r="AH721" t="s">
        <v>4904</v>
      </c>
      <c r="AK721" t="s">
        <v>4911</v>
      </c>
      <c r="AL721" t="s">
        <v>2122</v>
      </c>
      <c r="AN721" t="s">
        <v>3419</v>
      </c>
    </row>
    <row r="722" spans="1:41">
      <c r="A722" s="1" t="s">
        <v>758</v>
      </c>
      <c r="B722" t="s">
        <v>2004</v>
      </c>
      <c r="C722" t="s">
        <v>2001</v>
      </c>
      <c r="D722" t="s">
        <v>2088</v>
      </c>
      <c r="E722" t="s">
        <v>2112</v>
      </c>
      <c r="F722" t="s">
        <v>2117</v>
      </c>
      <c r="G722" t="s">
        <v>2213</v>
      </c>
      <c r="H722">
        <v>10452</v>
      </c>
      <c r="I722" t="s">
        <v>2229</v>
      </c>
      <c r="J722">
        <v>3</v>
      </c>
      <c r="K722">
        <v>2</v>
      </c>
      <c r="L722" t="s">
        <v>2260</v>
      </c>
      <c r="M722" t="s">
        <v>2677</v>
      </c>
      <c r="P722" t="s">
        <v>2847</v>
      </c>
      <c r="Q722" t="s">
        <v>2113</v>
      </c>
      <c r="R722" t="s">
        <v>3259</v>
      </c>
      <c r="S722" t="s">
        <v>3272</v>
      </c>
      <c r="T722" t="s">
        <v>3294</v>
      </c>
      <c r="U722" t="s">
        <v>3307</v>
      </c>
      <c r="X722" t="s">
        <v>3354</v>
      </c>
      <c r="Y722" t="s">
        <v>2678</v>
      </c>
      <c r="Z722" t="s">
        <v>3364</v>
      </c>
      <c r="AA722" t="s">
        <v>3406</v>
      </c>
      <c r="AB722" t="s">
        <v>3420</v>
      </c>
      <c r="AC722">
        <f>HYPERLINK("https://lsnyc.legalserver.org/matter/dynamic-profile/view/1897374","19-1897374")</f>
        <v>0</v>
      </c>
      <c r="AD722" t="s">
        <v>3444</v>
      </c>
      <c r="AE722" t="s">
        <v>3451</v>
      </c>
      <c r="AF722" t="s">
        <v>4088</v>
      </c>
      <c r="AG722" t="s">
        <v>3364</v>
      </c>
      <c r="AH722" t="s">
        <v>4904</v>
      </c>
      <c r="AK722" t="s">
        <v>4911</v>
      </c>
      <c r="AL722" t="s">
        <v>2117</v>
      </c>
      <c r="AM722" t="s">
        <v>3294</v>
      </c>
      <c r="AN722" t="s">
        <v>3420</v>
      </c>
    </row>
    <row r="723" spans="1:41">
      <c r="A723" s="1" t="s">
        <v>759</v>
      </c>
      <c r="B723" t="s">
        <v>2001</v>
      </c>
      <c r="C723" t="s">
        <v>2002</v>
      </c>
      <c r="D723" t="s">
        <v>2038</v>
      </c>
      <c r="E723" t="s">
        <v>2112</v>
      </c>
      <c r="F723" t="s">
        <v>2123</v>
      </c>
      <c r="G723" t="s">
        <v>2213</v>
      </c>
      <c r="H723">
        <v>10459</v>
      </c>
      <c r="I723" t="s">
        <v>2229</v>
      </c>
      <c r="J723">
        <v>1</v>
      </c>
      <c r="K723">
        <v>0</v>
      </c>
      <c r="L723" t="s">
        <v>2415</v>
      </c>
      <c r="M723" t="s">
        <v>2677</v>
      </c>
      <c r="P723" t="s">
        <v>2853</v>
      </c>
      <c r="Q723" t="s">
        <v>2113</v>
      </c>
      <c r="R723" t="s">
        <v>3258</v>
      </c>
      <c r="S723" t="s">
        <v>3271</v>
      </c>
      <c r="X723" t="s">
        <v>3354</v>
      </c>
      <c r="Y723" t="s">
        <v>2677</v>
      </c>
      <c r="Z723" t="s">
        <v>3362</v>
      </c>
      <c r="AA723" t="s">
        <v>3406</v>
      </c>
      <c r="AB723" t="s">
        <v>3419</v>
      </c>
      <c r="AC723">
        <f>HYPERLINK("https://lsnyc.legalserver.org/matter/dynamic-profile/view/1897213","19-1897213")</f>
        <v>0</v>
      </c>
      <c r="AD723" t="s">
        <v>3445</v>
      </c>
      <c r="AE723" t="s">
        <v>3452</v>
      </c>
      <c r="AF723" t="s">
        <v>4089</v>
      </c>
      <c r="AG723" t="s">
        <v>3362</v>
      </c>
      <c r="AH723" t="s">
        <v>4904</v>
      </c>
      <c r="AK723" t="s">
        <v>4911</v>
      </c>
      <c r="AL723" t="s">
        <v>2123</v>
      </c>
      <c r="AN723" t="s">
        <v>3419</v>
      </c>
    </row>
    <row r="724" spans="1:41">
      <c r="A724" s="1" t="s">
        <v>760</v>
      </c>
      <c r="B724" t="s">
        <v>2001</v>
      </c>
      <c r="C724" t="s">
        <v>2005</v>
      </c>
      <c r="D724" t="s">
        <v>2067</v>
      </c>
      <c r="E724" t="s">
        <v>2111</v>
      </c>
      <c r="F724" t="s">
        <v>2114</v>
      </c>
      <c r="G724" t="s">
        <v>2212</v>
      </c>
      <c r="H724">
        <v>11355</v>
      </c>
      <c r="I724" t="s">
        <v>2229</v>
      </c>
      <c r="J724">
        <v>3</v>
      </c>
      <c r="K724">
        <v>2</v>
      </c>
      <c r="L724" t="s">
        <v>2260</v>
      </c>
      <c r="M724" t="s">
        <v>2677</v>
      </c>
      <c r="P724" t="s">
        <v>2752</v>
      </c>
      <c r="Q724" t="s">
        <v>2113</v>
      </c>
      <c r="R724" t="s">
        <v>3259</v>
      </c>
      <c r="S724" t="s">
        <v>3267</v>
      </c>
      <c r="X724" t="s">
        <v>3354</v>
      </c>
      <c r="Y724" t="s">
        <v>2678</v>
      </c>
      <c r="Z724" t="s">
        <v>3359</v>
      </c>
      <c r="AA724" t="s">
        <v>3406</v>
      </c>
      <c r="AB724" t="s">
        <v>3415</v>
      </c>
      <c r="AC724">
        <f>HYPERLINK("https://lsnyc.legalserver.org/matter/dynamic-profile/view/1897222","19-1897222")</f>
        <v>0</v>
      </c>
      <c r="AD724" t="s">
        <v>3443</v>
      </c>
      <c r="AE724" t="s">
        <v>3472</v>
      </c>
      <c r="AF724" t="s">
        <v>4090</v>
      </c>
      <c r="AG724" t="s">
        <v>3359</v>
      </c>
      <c r="AH724" t="s">
        <v>4906</v>
      </c>
      <c r="AL724" t="s">
        <v>2114</v>
      </c>
      <c r="AN724" t="s">
        <v>3415</v>
      </c>
    </row>
    <row r="725" spans="1:41">
      <c r="A725" s="1" t="s">
        <v>761</v>
      </c>
      <c r="B725" t="s">
        <v>1998</v>
      </c>
      <c r="C725" t="s">
        <v>2002</v>
      </c>
      <c r="D725" t="s">
        <v>2053</v>
      </c>
      <c r="E725" t="s">
        <v>2111</v>
      </c>
      <c r="F725" t="s">
        <v>2114</v>
      </c>
      <c r="G725" t="s">
        <v>2213</v>
      </c>
      <c r="H725">
        <v>10474</v>
      </c>
      <c r="I725" t="s">
        <v>2229</v>
      </c>
      <c r="J725">
        <v>6</v>
      </c>
      <c r="K725">
        <v>4</v>
      </c>
      <c r="L725" t="s">
        <v>2402</v>
      </c>
      <c r="M725" t="s">
        <v>2677</v>
      </c>
      <c r="P725" t="s">
        <v>2853</v>
      </c>
      <c r="Q725" t="s">
        <v>2113</v>
      </c>
      <c r="R725" t="s">
        <v>3259</v>
      </c>
      <c r="S725" t="s">
        <v>3267</v>
      </c>
      <c r="X725" t="s">
        <v>3354</v>
      </c>
      <c r="Y725" t="s">
        <v>2677</v>
      </c>
      <c r="Z725" t="s">
        <v>3380</v>
      </c>
      <c r="AA725" t="s">
        <v>3406</v>
      </c>
      <c r="AB725" t="s">
        <v>3415</v>
      </c>
      <c r="AC725">
        <f>HYPERLINK("https://lsnyc.legalserver.org/matter/dynamic-profile/view/1897242","19-1897242")</f>
        <v>0</v>
      </c>
      <c r="AD725" t="s">
        <v>3445</v>
      </c>
      <c r="AE725" t="s">
        <v>3455</v>
      </c>
      <c r="AF725" t="s">
        <v>4091</v>
      </c>
      <c r="AG725" t="s">
        <v>3380</v>
      </c>
      <c r="AH725" t="s">
        <v>4904</v>
      </c>
      <c r="AK725" t="s">
        <v>4911</v>
      </c>
      <c r="AL725" t="s">
        <v>2114</v>
      </c>
      <c r="AN725" t="s">
        <v>3415</v>
      </c>
    </row>
    <row r="726" spans="1:41">
      <c r="A726" s="1" t="s">
        <v>762</v>
      </c>
      <c r="B726" t="s">
        <v>2001</v>
      </c>
      <c r="C726" t="s">
        <v>2012</v>
      </c>
      <c r="D726" t="s">
        <v>2068</v>
      </c>
      <c r="E726" t="s">
        <v>2112</v>
      </c>
      <c r="F726" t="s">
        <v>2114</v>
      </c>
      <c r="G726" t="s">
        <v>2213</v>
      </c>
      <c r="H726">
        <v>10474</v>
      </c>
      <c r="I726" t="s">
        <v>2229</v>
      </c>
      <c r="J726">
        <v>5</v>
      </c>
      <c r="K726">
        <v>3</v>
      </c>
      <c r="L726" t="s">
        <v>2372</v>
      </c>
      <c r="M726" t="s">
        <v>2677</v>
      </c>
      <c r="P726" t="s">
        <v>2853</v>
      </c>
      <c r="Q726" t="s">
        <v>2113</v>
      </c>
      <c r="R726" t="s">
        <v>3259</v>
      </c>
      <c r="S726" t="s">
        <v>3267</v>
      </c>
      <c r="X726" t="s">
        <v>3354</v>
      </c>
      <c r="Y726" t="s">
        <v>2677</v>
      </c>
      <c r="Z726" t="s">
        <v>3359</v>
      </c>
      <c r="AA726" t="s">
        <v>3406</v>
      </c>
      <c r="AB726" t="s">
        <v>3415</v>
      </c>
      <c r="AC726">
        <f>HYPERLINK("https://lsnyc.legalserver.org/matter/dynamic-profile/view/1897243","19-1897243")</f>
        <v>0</v>
      </c>
      <c r="AD726" t="s">
        <v>3445</v>
      </c>
      <c r="AE726" t="s">
        <v>3455</v>
      </c>
      <c r="AF726" t="s">
        <v>4092</v>
      </c>
      <c r="AG726" t="s">
        <v>3359</v>
      </c>
      <c r="AH726" t="s">
        <v>4904</v>
      </c>
      <c r="AK726" t="s">
        <v>4911</v>
      </c>
      <c r="AL726" t="s">
        <v>2114</v>
      </c>
      <c r="AN726" t="s">
        <v>3415</v>
      </c>
    </row>
    <row r="727" spans="1:41">
      <c r="A727" s="1" t="s">
        <v>763</v>
      </c>
      <c r="B727" t="s">
        <v>1998</v>
      </c>
      <c r="C727" t="s">
        <v>2016</v>
      </c>
      <c r="D727" t="s">
        <v>2042</v>
      </c>
      <c r="E727" t="s">
        <v>2112</v>
      </c>
      <c r="F727" t="s">
        <v>2138</v>
      </c>
      <c r="G727" t="s">
        <v>2211</v>
      </c>
      <c r="H727">
        <v>10039</v>
      </c>
      <c r="I727" t="s">
        <v>2249</v>
      </c>
      <c r="J727">
        <v>2</v>
      </c>
      <c r="K727">
        <v>0</v>
      </c>
      <c r="L727" t="s">
        <v>2451</v>
      </c>
      <c r="M727" t="s">
        <v>2677</v>
      </c>
      <c r="P727" t="s">
        <v>2800</v>
      </c>
      <c r="Q727" t="s">
        <v>2113</v>
      </c>
      <c r="R727" t="s">
        <v>3258</v>
      </c>
      <c r="S727" t="s">
        <v>3265</v>
      </c>
      <c r="T727" t="s">
        <v>3294</v>
      </c>
      <c r="U727" t="s">
        <v>2830</v>
      </c>
      <c r="X727" t="s">
        <v>3354</v>
      </c>
      <c r="Y727" t="s">
        <v>2678</v>
      </c>
      <c r="Z727" t="s">
        <v>3358</v>
      </c>
      <c r="AA727" t="s">
        <v>3406</v>
      </c>
      <c r="AB727" t="s">
        <v>3413</v>
      </c>
      <c r="AC727">
        <f>HYPERLINK("https://lsnyc.legalserver.org/matter/dynamic-profile/view/1897101","19-1897101")</f>
        <v>0</v>
      </c>
      <c r="AD727" t="s">
        <v>3442</v>
      </c>
      <c r="AE727" t="s">
        <v>3470</v>
      </c>
      <c r="AF727" t="s">
        <v>4093</v>
      </c>
      <c r="AG727" t="s">
        <v>3358</v>
      </c>
      <c r="AH727" t="s">
        <v>4904</v>
      </c>
      <c r="AL727" t="s">
        <v>2138</v>
      </c>
      <c r="AM727" t="s">
        <v>3294</v>
      </c>
      <c r="AN727" t="s">
        <v>3413</v>
      </c>
    </row>
    <row r="728" spans="1:41">
      <c r="A728" s="1" t="s">
        <v>764</v>
      </c>
      <c r="B728" t="s">
        <v>1998</v>
      </c>
      <c r="C728" t="s">
        <v>1998</v>
      </c>
      <c r="D728" t="s">
        <v>2046</v>
      </c>
      <c r="E728" t="s">
        <v>2111</v>
      </c>
      <c r="F728" t="s">
        <v>2135</v>
      </c>
      <c r="G728" t="s">
        <v>2214</v>
      </c>
      <c r="H728">
        <v>11208</v>
      </c>
      <c r="I728" t="s">
        <v>2229</v>
      </c>
      <c r="J728">
        <v>2</v>
      </c>
      <c r="K728">
        <v>0</v>
      </c>
      <c r="L728" t="s">
        <v>2260</v>
      </c>
      <c r="M728" t="s">
        <v>2677</v>
      </c>
      <c r="P728" t="s">
        <v>2854</v>
      </c>
      <c r="Q728" t="s">
        <v>3256</v>
      </c>
      <c r="R728" t="s">
        <v>3261</v>
      </c>
      <c r="S728" t="s">
        <v>3283</v>
      </c>
      <c r="T728" t="s">
        <v>3295</v>
      </c>
      <c r="X728" t="s">
        <v>3354</v>
      </c>
      <c r="Y728" t="s">
        <v>2678</v>
      </c>
      <c r="Z728" t="s">
        <v>3361</v>
      </c>
      <c r="AA728" t="s">
        <v>3408</v>
      </c>
      <c r="AB728" t="s">
        <v>3431</v>
      </c>
      <c r="AC728">
        <f>HYPERLINK("https://lsnyc.legalserver.org/matter/dynamic-profile/view/1896873","19-1896873")</f>
        <v>0</v>
      </c>
      <c r="AD728" t="s">
        <v>3443</v>
      </c>
      <c r="AE728" t="s">
        <v>3450</v>
      </c>
      <c r="AF728" t="s">
        <v>4094</v>
      </c>
      <c r="AG728" t="s">
        <v>3361</v>
      </c>
      <c r="AH728" t="s">
        <v>3408</v>
      </c>
      <c r="AK728" t="s">
        <v>4911</v>
      </c>
      <c r="AL728" t="s">
        <v>2135</v>
      </c>
      <c r="AM728" t="s">
        <v>3295</v>
      </c>
      <c r="AN728" t="s">
        <v>3431</v>
      </c>
    </row>
    <row r="729" spans="1:41">
      <c r="A729" s="1" t="s">
        <v>765</v>
      </c>
      <c r="B729" t="s">
        <v>2001</v>
      </c>
      <c r="C729" t="s">
        <v>2021</v>
      </c>
      <c r="D729" t="s">
        <v>2079</v>
      </c>
      <c r="E729" t="s">
        <v>2111</v>
      </c>
      <c r="F729" t="s">
        <v>2117</v>
      </c>
      <c r="G729" t="s">
        <v>2211</v>
      </c>
      <c r="H729">
        <v>10033</v>
      </c>
      <c r="I729" t="s">
        <v>2229</v>
      </c>
      <c r="J729">
        <v>1</v>
      </c>
      <c r="K729">
        <v>0</v>
      </c>
      <c r="L729" t="s">
        <v>2452</v>
      </c>
      <c r="M729" t="s">
        <v>2677</v>
      </c>
      <c r="P729" t="s">
        <v>2854</v>
      </c>
      <c r="Q729" t="s">
        <v>2113</v>
      </c>
      <c r="R729" t="s">
        <v>3259</v>
      </c>
      <c r="S729" t="s">
        <v>3270</v>
      </c>
      <c r="T729" t="s">
        <v>3294</v>
      </c>
      <c r="U729" t="s">
        <v>2854</v>
      </c>
      <c r="V729" t="s">
        <v>3352</v>
      </c>
      <c r="X729" t="s">
        <v>3354</v>
      </c>
      <c r="Y729" t="s">
        <v>2678</v>
      </c>
      <c r="Z729" t="s">
        <v>3371</v>
      </c>
      <c r="AA729" t="s">
        <v>3406</v>
      </c>
      <c r="AB729" t="s">
        <v>3418</v>
      </c>
      <c r="AC729">
        <f>HYPERLINK("https://lsnyc.legalserver.org/matter/dynamic-profile/view/1896918","19-1896918")</f>
        <v>0</v>
      </c>
      <c r="AD729" t="s">
        <v>3444</v>
      </c>
      <c r="AE729" t="s">
        <v>3468</v>
      </c>
      <c r="AF729" t="s">
        <v>4095</v>
      </c>
      <c r="AG729" t="s">
        <v>3371</v>
      </c>
      <c r="AH729" t="s">
        <v>4904</v>
      </c>
      <c r="AK729" t="s">
        <v>4911</v>
      </c>
      <c r="AL729" t="s">
        <v>2117</v>
      </c>
      <c r="AM729" t="s">
        <v>3294</v>
      </c>
      <c r="AN729" t="s">
        <v>3418</v>
      </c>
      <c r="AO729" t="s">
        <v>3352</v>
      </c>
    </row>
    <row r="730" spans="1:41">
      <c r="A730" s="1" t="s">
        <v>766</v>
      </c>
      <c r="B730" t="s">
        <v>2002</v>
      </c>
      <c r="C730" t="s">
        <v>2016</v>
      </c>
      <c r="D730" t="s">
        <v>2069</v>
      </c>
      <c r="E730" t="s">
        <v>2112</v>
      </c>
      <c r="F730" t="s">
        <v>2123</v>
      </c>
      <c r="G730" t="s">
        <v>2213</v>
      </c>
      <c r="H730">
        <v>10451</v>
      </c>
      <c r="I730" t="s">
        <v>2229</v>
      </c>
      <c r="J730">
        <v>4</v>
      </c>
      <c r="K730">
        <v>2</v>
      </c>
      <c r="L730" t="s">
        <v>2271</v>
      </c>
      <c r="M730" t="s">
        <v>2677</v>
      </c>
      <c r="P730" t="s">
        <v>2854</v>
      </c>
      <c r="Q730" t="s">
        <v>2113</v>
      </c>
      <c r="R730" t="s">
        <v>3258</v>
      </c>
      <c r="S730" t="s">
        <v>3271</v>
      </c>
      <c r="V730" t="s">
        <v>3352</v>
      </c>
      <c r="X730" t="s">
        <v>3354</v>
      </c>
      <c r="Y730" t="s">
        <v>2677</v>
      </c>
      <c r="Z730" t="s">
        <v>3362</v>
      </c>
      <c r="AA730" t="s">
        <v>3406</v>
      </c>
      <c r="AB730" t="s">
        <v>3419</v>
      </c>
      <c r="AC730">
        <f>HYPERLINK("https://lsnyc.legalserver.org/matter/dynamic-profile/view/1896930","19-1896930")</f>
        <v>0</v>
      </c>
      <c r="AD730" t="s">
        <v>3445</v>
      </c>
      <c r="AE730" t="s">
        <v>3452</v>
      </c>
      <c r="AF730" t="s">
        <v>3749</v>
      </c>
      <c r="AG730" t="s">
        <v>3362</v>
      </c>
      <c r="AH730" t="s">
        <v>4904</v>
      </c>
      <c r="AL730" t="s">
        <v>2123</v>
      </c>
      <c r="AN730" t="s">
        <v>3419</v>
      </c>
      <c r="AO730" t="s">
        <v>3352</v>
      </c>
    </row>
    <row r="731" spans="1:41">
      <c r="A731" s="1" t="s">
        <v>767</v>
      </c>
      <c r="B731" t="s">
        <v>2001</v>
      </c>
      <c r="C731" t="s">
        <v>1998</v>
      </c>
      <c r="D731" t="s">
        <v>2051</v>
      </c>
      <c r="E731" t="s">
        <v>2112</v>
      </c>
      <c r="F731" t="s">
        <v>2114</v>
      </c>
      <c r="G731" t="s">
        <v>2212</v>
      </c>
      <c r="H731">
        <v>11355</v>
      </c>
      <c r="I731" t="s">
        <v>2229</v>
      </c>
      <c r="J731">
        <v>2</v>
      </c>
      <c r="K731">
        <v>1</v>
      </c>
      <c r="L731" t="s">
        <v>2260</v>
      </c>
      <c r="M731" t="s">
        <v>2677</v>
      </c>
      <c r="P731" t="s">
        <v>2737</v>
      </c>
      <c r="Q731" t="s">
        <v>2113</v>
      </c>
      <c r="R731" t="s">
        <v>3259</v>
      </c>
      <c r="S731" t="s">
        <v>3267</v>
      </c>
      <c r="X731" t="s">
        <v>3354</v>
      </c>
      <c r="Y731" t="s">
        <v>2678</v>
      </c>
      <c r="Z731" t="s">
        <v>3380</v>
      </c>
      <c r="AA731" t="s">
        <v>3406</v>
      </c>
      <c r="AB731" t="s">
        <v>3415</v>
      </c>
      <c r="AC731">
        <f>HYPERLINK("https://lsnyc.legalserver.org/matter/dynamic-profile/view/1896961","19-1896961")</f>
        <v>0</v>
      </c>
      <c r="AD731" t="s">
        <v>3443</v>
      </c>
      <c r="AE731" t="s">
        <v>3472</v>
      </c>
      <c r="AF731" t="s">
        <v>4096</v>
      </c>
      <c r="AG731" t="s">
        <v>3380</v>
      </c>
      <c r="AH731" t="s">
        <v>4906</v>
      </c>
      <c r="AL731" t="s">
        <v>2114</v>
      </c>
      <c r="AN731" t="s">
        <v>3415</v>
      </c>
    </row>
    <row r="732" spans="1:41">
      <c r="A732" s="1" t="s">
        <v>768</v>
      </c>
      <c r="B732" t="s">
        <v>2001</v>
      </c>
      <c r="C732" t="s">
        <v>2005</v>
      </c>
      <c r="D732" t="s">
        <v>2027</v>
      </c>
      <c r="E732" t="s">
        <v>2112</v>
      </c>
      <c r="F732" t="s">
        <v>2114</v>
      </c>
      <c r="G732" t="s">
        <v>2212</v>
      </c>
      <c r="H732">
        <v>11355</v>
      </c>
      <c r="I732" t="s">
        <v>2229</v>
      </c>
      <c r="J732">
        <v>2</v>
      </c>
      <c r="K732">
        <v>1</v>
      </c>
      <c r="L732" t="s">
        <v>2260</v>
      </c>
      <c r="M732" t="s">
        <v>2677</v>
      </c>
      <c r="P732" t="s">
        <v>2763</v>
      </c>
      <c r="Q732" t="s">
        <v>2113</v>
      </c>
      <c r="R732" t="s">
        <v>3259</v>
      </c>
      <c r="S732" t="s">
        <v>3268</v>
      </c>
      <c r="X732" t="s">
        <v>3354</v>
      </c>
      <c r="Y732" t="s">
        <v>2678</v>
      </c>
      <c r="Z732" t="s">
        <v>3368</v>
      </c>
      <c r="AA732" t="s">
        <v>3406</v>
      </c>
      <c r="AB732" t="s">
        <v>3416</v>
      </c>
      <c r="AC732">
        <f>HYPERLINK("https://lsnyc.legalserver.org/matter/dynamic-profile/view/1896962","19-1896962")</f>
        <v>0</v>
      </c>
      <c r="AD732" t="s">
        <v>3443</v>
      </c>
      <c r="AE732" t="s">
        <v>3472</v>
      </c>
      <c r="AF732" t="s">
        <v>4097</v>
      </c>
      <c r="AG732" t="s">
        <v>3368</v>
      </c>
      <c r="AH732" t="s">
        <v>4906</v>
      </c>
      <c r="AL732" t="s">
        <v>2114</v>
      </c>
      <c r="AN732" t="s">
        <v>3416</v>
      </c>
    </row>
    <row r="733" spans="1:41">
      <c r="A733" s="1" t="s">
        <v>769</v>
      </c>
      <c r="B733" t="s">
        <v>2001</v>
      </c>
      <c r="C733" t="s">
        <v>2003</v>
      </c>
      <c r="D733" t="s">
        <v>2060</v>
      </c>
      <c r="E733" t="s">
        <v>2111</v>
      </c>
      <c r="F733" t="s">
        <v>2123</v>
      </c>
      <c r="G733" t="s">
        <v>2213</v>
      </c>
      <c r="H733">
        <v>10452</v>
      </c>
      <c r="I733" t="s">
        <v>2229</v>
      </c>
      <c r="J733">
        <v>2</v>
      </c>
      <c r="K733">
        <v>0</v>
      </c>
      <c r="L733" t="s">
        <v>2453</v>
      </c>
      <c r="M733" t="s">
        <v>2677</v>
      </c>
      <c r="P733" t="s">
        <v>2855</v>
      </c>
      <c r="Q733" t="s">
        <v>2113</v>
      </c>
      <c r="R733" t="s">
        <v>3258</v>
      </c>
      <c r="S733" t="s">
        <v>3271</v>
      </c>
      <c r="X733" t="s">
        <v>3354</v>
      </c>
      <c r="Y733" t="s">
        <v>2677</v>
      </c>
      <c r="Z733" t="s">
        <v>3362</v>
      </c>
      <c r="AA733" t="s">
        <v>3406</v>
      </c>
      <c r="AB733" t="s">
        <v>3419</v>
      </c>
      <c r="AC733">
        <f>HYPERLINK("https://lsnyc.legalserver.org/matter/dynamic-profile/view/1896737","19-1896737")</f>
        <v>0</v>
      </c>
      <c r="AD733" t="s">
        <v>3445</v>
      </c>
      <c r="AE733" t="s">
        <v>3455</v>
      </c>
      <c r="AF733" t="s">
        <v>4098</v>
      </c>
      <c r="AG733" t="s">
        <v>3362</v>
      </c>
      <c r="AH733" t="s">
        <v>4904</v>
      </c>
      <c r="AK733" t="s">
        <v>4911</v>
      </c>
      <c r="AL733" t="s">
        <v>2123</v>
      </c>
      <c r="AN733" t="s">
        <v>3419</v>
      </c>
    </row>
    <row r="734" spans="1:41">
      <c r="A734" s="1" t="s">
        <v>770</v>
      </c>
      <c r="B734" t="s">
        <v>2002</v>
      </c>
      <c r="C734" t="s">
        <v>2001</v>
      </c>
      <c r="D734" t="s">
        <v>2029</v>
      </c>
      <c r="E734" t="s">
        <v>2111</v>
      </c>
      <c r="F734" t="s">
        <v>2131</v>
      </c>
      <c r="G734" t="s">
        <v>2212</v>
      </c>
      <c r="H734">
        <v>11373</v>
      </c>
      <c r="I734" t="s">
        <v>2229</v>
      </c>
      <c r="J734">
        <v>1</v>
      </c>
      <c r="K734">
        <v>0</v>
      </c>
      <c r="L734" t="s">
        <v>2260</v>
      </c>
      <c r="M734" t="s">
        <v>2677</v>
      </c>
      <c r="P734" t="s">
        <v>2856</v>
      </c>
      <c r="Q734" t="s">
        <v>3255</v>
      </c>
      <c r="R734" t="s">
        <v>3259</v>
      </c>
      <c r="S734" t="s">
        <v>3287</v>
      </c>
      <c r="X734" t="s">
        <v>3354</v>
      </c>
      <c r="Y734" t="s">
        <v>2678</v>
      </c>
      <c r="Z734" t="s">
        <v>3378</v>
      </c>
      <c r="AA734" t="s">
        <v>3406</v>
      </c>
      <c r="AB734" t="s">
        <v>3435</v>
      </c>
      <c r="AC734">
        <f>HYPERLINK("https://lsnyc.legalserver.org/matter/dynamic-profile/view/1896838","19-1896838")</f>
        <v>0</v>
      </c>
      <c r="AD734" t="s">
        <v>3443</v>
      </c>
      <c r="AE734" t="s">
        <v>3471</v>
      </c>
      <c r="AF734" t="s">
        <v>4099</v>
      </c>
      <c r="AG734" t="s">
        <v>3378</v>
      </c>
      <c r="AH734" t="s">
        <v>4904</v>
      </c>
      <c r="AK734" t="s">
        <v>4911</v>
      </c>
      <c r="AL734" t="s">
        <v>2131</v>
      </c>
      <c r="AN734" t="s">
        <v>3435</v>
      </c>
    </row>
    <row r="735" spans="1:41">
      <c r="A735" s="1" t="s">
        <v>771</v>
      </c>
      <c r="B735" t="s">
        <v>2001</v>
      </c>
      <c r="C735" t="s">
        <v>2000</v>
      </c>
      <c r="D735" t="s">
        <v>2092</v>
      </c>
      <c r="E735" t="s">
        <v>2111</v>
      </c>
      <c r="F735" t="s">
        <v>2123</v>
      </c>
      <c r="G735" t="s">
        <v>2213</v>
      </c>
      <c r="H735">
        <v>10452</v>
      </c>
      <c r="I735" t="s">
        <v>2229</v>
      </c>
      <c r="J735">
        <v>1</v>
      </c>
      <c r="K735">
        <v>0</v>
      </c>
      <c r="L735" t="s">
        <v>2272</v>
      </c>
      <c r="M735" t="s">
        <v>2677</v>
      </c>
      <c r="P735" t="s">
        <v>2857</v>
      </c>
      <c r="Q735" t="s">
        <v>2113</v>
      </c>
      <c r="R735" t="s">
        <v>3259</v>
      </c>
      <c r="S735" t="s">
        <v>3267</v>
      </c>
      <c r="X735" t="s">
        <v>3354</v>
      </c>
      <c r="Y735" t="s">
        <v>2678</v>
      </c>
      <c r="Z735" t="s">
        <v>3359</v>
      </c>
      <c r="AA735" t="s">
        <v>3406</v>
      </c>
      <c r="AB735" t="s">
        <v>3415</v>
      </c>
      <c r="AC735">
        <f>HYPERLINK("https://lsnyc.legalserver.org/matter/dynamic-profile/view/1896610","19-1896610")</f>
        <v>0</v>
      </c>
      <c r="AD735" t="s">
        <v>3444</v>
      </c>
      <c r="AE735" t="s">
        <v>3466</v>
      </c>
      <c r="AF735" t="s">
        <v>4100</v>
      </c>
      <c r="AG735" t="s">
        <v>3359</v>
      </c>
      <c r="AH735" t="s">
        <v>4906</v>
      </c>
      <c r="AK735" t="s">
        <v>4911</v>
      </c>
      <c r="AL735" t="s">
        <v>2123</v>
      </c>
      <c r="AN735" t="s">
        <v>3415</v>
      </c>
    </row>
    <row r="736" spans="1:41">
      <c r="A736" s="1" t="s">
        <v>772</v>
      </c>
      <c r="B736" t="s">
        <v>1998</v>
      </c>
      <c r="C736" t="s">
        <v>2001</v>
      </c>
      <c r="D736" t="s">
        <v>2052</v>
      </c>
      <c r="E736" t="s">
        <v>2112</v>
      </c>
      <c r="F736" t="s">
        <v>2117</v>
      </c>
      <c r="G736" t="s">
        <v>2213</v>
      </c>
      <c r="H736">
        <v>10473</v>
      </c>
      <c r="I736" t="s">
        <v>2229</v>
      </c>
      <c r="J736">
        <v>2</v>
      </c>
      <c r="K736">
        <v>1</v>
      </c>
      <c r="L736" t="s">
        <v>2260</v>
      </c>
      <c r="M736" t="s">
        <v>2677</v>
      </c>
      <c r="P736" t="s">
        <v>2857</v>
      </c>
      <c r="Q736" t="s">
        <v>2113</v>
      </c>
      <c r="R736" t="s">
        <v>3259</v>
      </c>
      <c r="S736" t="s">
        <v>3267</v>
      </c>
      <c r="X736" t="s">
        <v>3354</v>
      </c>
      <c r="Y736" t="s">
        <v>2677</v>
      </c>
      <c r="Z736" t="s">
        <v>3380</v>
      </c>
      <c r="AA736" t="s">
        <v>3406</v>
      </c>
      <c r="AB736" t="s">
        <v>3415</v>
      </c>
      <c r="AC736">
        <f>HYPERLINK("https://lsnyc.legalserver.org/matter/dynamic-profile/view/1896619","19-1896619")</f>
        <v>0</v>
      </c>
      <c r="AD736" t="s">
        <v>3445</v>
      </c>
      <c r="AE736" t="s">
        <v>3455</v>
      </c>
      <c r="AF736" t="s">
        <v>4101</v>
      </c>
      <c r="AG736" t="s">
        <v>3380</v>
      </c>
      <c r="AH736" t="s">
        <v>4906</v>
      </c>
      <c r="AK736" t="s">
        <v>4911</v>
      </c>
      <c r="AL736" t="s">
        <v>2117</v>
      </c>
      <c r="AN736" t="s">
        <v>3415</v>
      </c>
    </row>
    <row r="737" spans="1:41">
      <c r="A737" s="1" t="s">
        <v>773</v>
      </c>
      <c r="B737" t="s">
        <v>2017</v>
      </c>
      <c r="C737" t="s">
        <v>1998</v>
      </c>
      <c r="D737" t="s">
        <v>2045</v>
      </c>
      <c r="E737" t="s">
        <v>2112</v>
      </c>
      <c r="F737" t="s">
        <v>2117</v>
      </c>
      <c r="G737" t="s">
        <v>2213</v>
      </c>
      <c r="H737">
        <v>10473</v>
      </c>
      <c r="I737" t="s">
        <v>2229</v>
      </c>
      <c r="J737">
        <v>5</v>
      </c>
      <c r="K737">
        <v>2</v>
      </c>
      <c r="L737" t="s">
        <v>2280</v>
      </c>
      <c r="M737" t="s">
        <v>2677</v>
      </c>
      <c r="P737" t="s">
        <v>2857</v>
      </c>
      <c r="Q737" t="s">
        <v>2113</v>
      </c>
      <c r="R737" t="s">
        <v>3259</v>
      </c>
      <c r="S737" t="s">
        <v>3267</v>
      </c>
      <c r="X737" t="s">
        <v>3354</v>
      </c>
      <c r="Y737" t="s">
        <v>2677</v>
      </c>
      <c r="Z737" t="s">
        <v>3359</v>
      </c>
      <c r="AA737" t="s">
        <v>3406</v>
      </c>
      <c r="AB737" t="s">
        <v>3415</v>
      </c>
      <c r="AC737">
        <f>HYPERLINK("https://lsnyc.legalserver.org/matter/dynamic-profile/view/1896628","19-1896628")</f>
        <v>0</v>
      </c>
      <c r="AD737" t="s">
        <v>3445</v>
      </c>
      <c r="AE737" t="s">
        <v>3455</v>
      </c>
      <c r="AF737" t="s">
        <v>4102</v>
      </c>
      <c r="AG737" t="s">
        <v>3359</v>
      </c>
      <c r="AH737" t="s">
        <v>4906</v>
      </c>
      <c r="AK737" t="s">
        <v>4911</v>
      </c>
      <c r="AL737" t="s">
        <v>2117</v>
      </c>
      <c r="AN737" t="s">
        <v>3415</v>
      </c>
    </row>
    <row r="738" spans="1:41">
      <c r="A738" s="1" t="s">
        <v>774</v>
      </c>
      <c r="B738" t="s">
        <v>1998</v>
      </c>
      <c r="C738" t="s">
        <v>2021</v>
      </c>
      <c r="D738" t="s">
        <v>2069</v>
      </c>
      <c r="E738" t="s">
        <v>2112</v>
      </c>
      <c r="F738" t="s">
        <v>2117</v>
      </c>
      <c r="G738" t="s">
        <v>2211</v>
      </c>
      <c r="H738">
        <v>10451</v>
      </c>
      <c r="I738" t="s">
        <v>2229</v>
      </c>
      <c r="J738">
        <v>2</v>
      </c>
      <c r="K738">
        <v>1</v>
      </c>
      <c r="L738" t="s">
        <v>2260</v>
      </c>
      <c r="M738" t="s">
        <v>2677</v>
      </c>
      <c r="P738" t="s">
        <v>2857</v>
      </c>
      <c r="Q738" t="s">
        <v>2113</v>
      </c>
      <c r="R738" t="s">
        <v>3259</v>
      </c>
      <c r="S738" t="s">
        <v>3267</v>
      </c>
      <c r="X738" t="s">
        <v>3354</v>
      </c>
      <c r="Y738" t="s">
        <v>2677</v>
      </c>
      <c r="Z738" t="s">
        <v>3380</v>
      </c>
      <c r="AA738" t="s">
        <v>3406</v>
      </c>
      <c r="AB738" t="s">
        <v>3415</v>
      </c>
      <c r="AC738">
        <f>HYPERLINK("https://lsnyc.legalserver.org/matter/dynamic-profile/view/1896645","19-1896645")</f>
        <v>0</v>
      </c>
      <c r="AD738" t="s">
        <v>3445</v>
      </c>
      <c r="AE738" t="s">
        <v>3455</v>
      </c>
      <c r="AF738" t="s">
        <v>4103</v>
      </c>
      <c r="AG738" t="s">
        <v>3380</v>
      </c>
      <c r="AH738" t="s">
        <v>4906</v>
      </c>
      <c r="AK738" t="s">
        <v>4911</v>
      </c>
      <c r="AL738" t="s">
        <v>2117</v>
      </c>
      <c r="AN738" t="s">
        <v>3415</v>
      </c>
    </row>
    <row r="739" spans="1:41">
      <c r="A739" s="1" t="s">
        <v>775</v>
      </c>
      <c r="B739" t="s">
        <v>2007</v>
      </c>
      <c r="C739" t="s">
        <v>2015</v>
      </c>
      <c r="D739" t="s">
        <v>2073</v>
      </c>
      <c r="E739" t="s">
        <v>2111</v>
      </c>
      <c r="F739" t="s">
        <v>2117</v>
      </c>
      <c r="G739" t="s">
        <v>2211</v>
      </c>
      <c r="H739">
        <v>10451</v>
      </c>
      <c r="J739">
        <v>2</v>
      </c>
      <c r="K739">
        <v>1</v>
      </c>
      <c r="L739" t="s">
        <v>2260</v>
      </c>
      <c r="M739" t="s">
        <v>2677</v>
      </c>
      <c r="P739" t="s">
        <v>2857</v>
      </c>
      <c r="Q739" t="s">
        <v>3255</v>
      </c>
      <c r="R739" t="s">
        <v>3259</v>
      </c>
      <c r="S739" t="s">
        <v>3267</v>
      </c>
      <c r="X739" t="s">
        <v>3354</v>
      </c>
      <c r="Y739" t="s">
        <v>2677</v>
      </c>
      <c r="Z739" t="s">
        <v>3380</v>
      </c>
      <c r="AA739" t="s">
        <v>3406</v>
      </c>
      <c r="AB739" t="s">
        <v>3415</v>
      </c>
      <c r="AC739">
        <f>HYPERLINK("https://lsnyc.legalserver.org/matter/dynamic-profile/view/1896662","19-1896662")</f>
        <v>0</v>
      </c>
      <c r="AD739" t="s">
        <v>3445</v>
      </c>
      <c r="AE739" t="s">
        <v>3455</v>
      </c>
      <c r="AF739" t="s">
        <v>4104</v>
      </c>
      <c r="AG739" t="s">
        <v>3380</v>
      </c>
      <c r="AH739" t="s">
        <v>4906</v>
      </c>
      <c r="AK739" t="s">
        <v>4911</v>
      </c>
      <c r="AL739" t="s">
        <v>2117</v>
      </c>
      <c r="AN739" t="s">
        <v>3415</v>
      </c>
    </row>
    <row r="740" spans="1:41">
      <c r="A740" s="1" t="s">
        <v>776</v>
      </c>
      <c r="B740" t="s">
        <v>2005</v>
      </c>
      <c r="C740" t="s">
        <v>2005</v>
      </c>
      <c r="D740" t="s">
        <v>2060</v>
      </c>
      <c r="E740" t="s">
        <v>2112</v>
      </c>
      <c r="F740" t="s">
        <v>2117</v>
      </c>
      <c r="G740" t="s">
        <v>2221</v>
      </c>
      <c r="H740">
        <v>11550</v>
      </c>
      <c r="I740" t="s">
        <v>2229</v>
      </c>
      <c r="J740">
        <v>2</v>
      </c>
      <c r="K740">
        <v>1</v>
      </c>
      <c r="L740" t="s">
        <v>2256</v>
      </c>
      <c r="M740" t="s">
        <v>2677</v>
      </c>
      <c r="P740" t="s">
        <v>2791</v>
      </c>
      <c r="Q740" t="s">
        <v>2113</v>
      </c>
      <c r="R740" t="s">
        <v>3258</v>
      </c>
      <c r="S740" t="s">
        <v>3262</v>
      </c>
      <c r="T740" t="s">
        <v>3294</v>
      </c>
      <c r="U740" t="s">
        <v>2791</v>
      </c>
      <c r="X740" t="s">
        <v>3354</v>
      </c>
      <c r="Y740" t="s">
        <v>2678</v>
      </c>
      <c r="Z740" t="s">
        <v>3355</v>
      </c>
      <c r="AA740" t="s">
        <v>3406</v>
      </c>
      <c r="AB740" t="s">
        <v>3410</v>
      </c>
      <c r="AC740">
        <f>HYPERLINK("https://lsnyc.legalserver.org/matter/dynamic-profile/view/1897066","19-1897066")</f>
        <v>0</v>
      </c>
      <c r="AD740" t="s">
        <v>3443</v>
      </c>
      <c r="AE740" t="s">
        <v>3450</v>
      </c>
      <c r="AF740" t="s">
        <v>4022</v>
      </c>
      <c r="AG740" t="s">
        <v>3355</v>
      </c>
      <c r="AH740" t="s">
        <v>4904</v>
      </c>
      <c r="AL740" t="s">
        <v>2117</v>
      </c>
      <c r="AM740" t="s">
        <v>3294</v>
      </c>
      <c r="AN740" t="s">
        <v>3410</v>
      </c>
    </row>
    <row r="741" spans="1:41">
      <c r="A741" s="1" t="s">
        <v>777</v>
      </c>
      <c r="B741" t="s">
        <v>2000</v>
      </c>
      <c r="C741" t="s">
        <v>2005</v>
      </c>
      <c r="D741" t="s">
        <v>2093</v>
      </c>
      <c r="E741" t="s">
        <v>2111</v>
      </c>
      <c r="F741" t="s">
        <v>2180</v>
      </c>
      <c r="G741" t="s">
        <v>2214</v>
      </c>
      <c r="H741">
        <v>11230</v>
      </c>
      <c r="I741" t="s">
        <v>2232</v>
      </c>
      <c r="J741">
        <v>2</v>
      </c>
      <c r="K741">
        <v>0</v>
      </c>
      <c r="L741" t="s">
        <v>2260</v>
      </c>
      <c r="M741" t="s">
        <v>2677</v>
      </c>
      <c r="P741" t="s">
        <v>2858</v>
      </c>
      <c r="Q741" t="s">
        <v>2113</v>
      </c>
      <c r="R741" t="s">
        <v>3259</v>
      </c>
      <c r="S741" t="s">
        <v>3268</v>
      </c>
      <c r="X741" t="s">
        <v>3354</v>
      </c>
      <c r="Y741" t="s">
        <v>2677</v>
      </c>
      <c r="Z741" t="s">
        <v>3368</v>
      </c>
      <c r="AA741" t="s">
        <v>3406</v>
      </c>
      <c r="AB741" t="s">
        <v>3416</v>
      </c>
      <c r="AC741">
        <f>HYPERLINK("https://lsnyc.legalserver.org/matter/dynamic-profile/view/1896521","19-1896521")</f>
        <v>0</v>
      </c>
      <c r="AD741" t="s">
        <v>3445</v>
      </c>
      <c r="AE741" t="s">
        <v>3452</v>
      </c>
      <c r="AF741" t="s">
        <v>4105</v>
      </c>
      <c r="AG741" t="s">
        <v>3368</v>
      </c>
      <c r="AH741" t="s">
        <v>4904</v>
      </c>
      <c r="AK741" t="s">
        <v>4911</v>
      </c>
      <c r="AL741" t="s">
        <v>2180</v>
      </c>
      <c r="AN741" t="s">
        <v>3416</v>
      </c>
    </row>
    <row r="742" spans="1:41">
      <c r="A742" s="1" t="s">
        <v>778</v>
      </c>
      <c r="B742" t="s">
        <v>2008</v>
      </c>
      <c r="C742" t="s">
        <v>2000</v>
      </c>
      <c r="D742" t="s">
        <v>2045</v>
      </c>
      <c r="E742" t="s">
        <v>2111</v>
      </c>
      <c r="F742" t="s">
        <v>2126</v>
      </c>
      <c r="G742" t="s">
        <v>2212</v>
      </c>
      <c r="H742">
        <v>11356</v>
      </c>
      <c r="I742" t="s">
        <v>2230</v>
      </c>
      <c r="J742">
        <v>2</v>
      </c>
      <c r="K742">
        <v>0</v>
      </c>
      <c r="L742" t="s">
        <v>2271</v>
      </c>
      <c r="M742" t="s">
        <v>2677</v>
      </c>
      <c r="P742" t="s">
        <v>2858</v>
      </c>
      <c r="Q742" t="s">
        <v>2113</v>
      </c>
      <c r="R742" t="s">
        <v>3258</v>
      </c>
      <c r="S742" t="s">
        <v>3271</v>
      </c>
      <c r="T742" t="s">
        <v>3294</v>
      </c>
      <c r="U742" t="s">
        <v>2790</v>
      </c>
      <c r="V742" t="s">
        <v>3352</v>
      </c>
      <c r="X742" t="s">
        <v>3354</v>
      </c>
      <c r="Y742" t="s">
        <v>2677</v>
      </c>
      <c r="Z742" t="s">
        <v>3362</v>
      </c>
      <c r="AA742" t="s">
        <v>3406</v>
      </c>
      <c r="AB742" t="s">
        <v>3419</v>
      </c>
      <c r="AC742">
        <f>HYPERLINK("https://lsnyc.legalserver.org/matter/dynamic-profile/view/1896558","19-1896558")</f>
        <v>0</v>
      </c>
      <c r="AD742" t="s">
        <v>3445</v>
      </c>
      <c r="AE742" t="s">
        <v>3452</v>
      </c>
      <c r="AF742" t="s">
        <v>3518</v>
      </c>
      <c r="AG742" t="s">
        <v>3362</v>
      </c>
      <c r="AH742" t="s">
        <v>4904</v>
      </c>
      <c r="AK742" t="s">
        <v>4911</v>
      </c>
      <c r="AL742" t="s">
        <v>2126</v>
      </c>
      <c r="AM742" t="s">
        <v>3294</v>
      </c>
      <c r="AN742" t="s">
        <v>3419</v>
      </c>
      <c r="AO742" t="s">
        <v>3352</v>
      </c>
    </row>
    <row r="743" spans="1:41">
      <c r="A743" s="1" t="s">
        <v>779</v>
      </c>
      <c r="B743" t="s">
        <v>2018</v>
      </c>
      <c r="C743" t="s">
        <v>2000</v>
      </c>
      <c r="D743" t="s">
        <v>2066</v>
      </c>
      <c r="E743" t="s">
        <v>2112</v>
      </c>
      <c r="F743" t="s">
        <v>2123</v>
      </c>
      <c r="G743" t="s">
        <v>2213</v>
      </c>
      <c r="H743">
        <v>10468</v>
      </c>
      <c r="I743" t="s">
        <v>2229</v>
      </c>
      <c r="J743">
        <v>4</v>
      </c>
      <c r="K743">
        <v>2</v>
      </c>
      <c r="L743" t="s">
        <v>2394</v>
      </c>
      <c r="M743" t="s">
        <v>2677</v>
      </c>
      <c r="P743" t="s">
        <v>2858</v>
      </c>
      <c r="Q743" t="s">
        <v>2113</v>
      </c>
      <c r="R743" t="s">
        <v>3258</v>
      </c>
      <c r="S743" t="s">
        <v>3271</v>
      </c>
      <c r="V743" t="s">
        <v>3352</v>
      </c>
      <c r="X743" t="s">
        <v>3354</v>
      </c>
      <c r="Y743" t="s">
        <v>2677</v>
      </c>
      <c r="Z743" t="s">
        <v>3362</v>
      </c>
      <c r="AA743" t="s">
        <v>3406</v>
      </c>
      <c r="AB743" t="s">
        <v>3419</v>
      </c>
      <c r="AC743">
        <f>HYPERLINK("https://lsnyc.legalserver.org/matter/dynamic-profile/view/1896562","19-1896562")</f>
        <v>0</v>
      </c>
      <c r="AD743" t="s">
        <v>3445</v>
      </c>
      <c r="AE743" t="s">
        <v>3452</v>
      </c>
      <c r="AF743" t="s">
        <v>3890</v>
      </c>
      <c r="AG743" t="s">
        <v>3362</v>
      </c>
      <c r="AH743" t="s">
        <v>4904</v>
      </c>
      <c r="AK743" t="s">
        <v>4911</v>
      </c>
      <c r="AL743" t="s">
        <v>2123</v>
      </c>
      <c r="AN743" t="s">
        <v>3419</v>
      </c>
      <c r="AO743" t="s">
        <v>3352</v>
      </c>
    </row>
    <row r="744" spans="1:41">
      <c r="A744" s="1" t="s">
        <v>780</v>
      </c>
      <c r="B744" t="s">
        <v>1998</v>
      </c>
      <c r="C744" t="s">
        <v>1998</v>
      </c>
      <c r="D744" t="s">
        <v>2050</v>
      </c>
      <c r="E744" t="s">
        <v>2111</v>
      </c>
      <c r="F744" t="s">
        <v>2123</v>
      </c>
      <c r="G744" t="s">
        <v>2213</v>
      </c>
      <c r="H744">
        <v>10451</v>
      </c>
      <c r="I744" t="s">
        <v>2229</v>
      </c>
      <c r="J744">
        <v>2</v>
      </c>
      <c r="K744">
        <v>0</v>
      </c>
      <c r="L744" t="s">
        <v>2283</v>
      </c>
      <c r="M744" t="s">
        <v>2677</v>
      </c>
      <c r="P744" t="s">
        <v>2858</v>
      </c>
      <c r="Q744" t="s">
        <v>2113</v>
      </c>
      <c r="R744" t="s">
        <v>3258</v>
      </c>
      <c r="S744" t="s">
        <v>3271</v>
      </c>
      <c r="T744" t="s">
        <v>3294</v>
      </c>
      <c r="U744" t="s">
        <v>2747</v>
      </c>
      <c r="X744" t="s">
        <v>3354</v>
      </c>
      <c r="Y744" t="s">
        <v>2677</v>
      </c>
      <c r="Z744" t="s">
        <v>3362</v>
      </c>
      <c r="AA744" t="s">
        <v>3406</v>
      </c>
      <c r="AB744" t="s">
        <v>3419</v>
      </c>
      <c r="AC744">
        <f>HYPERLINK("https://lsnyc.legalserver.org/matter/dynamic-profile/view/1896577","19-1896577")</f>
        <v>0</v>
      </c>
      <c r="AD744" t="s">
        <v>3445</v>
      </c>
      <c r="AE744" t="s">
        <v>3452</v>
      </c>
      <c r="AF744" t="s">
        <v>4106</v>
      </c>
      <c r="AG744" t="s">
        <v>3362</v>
      </c>
      <c r="AH744" t="s">
        <v>4904</v>
      </c>
      <c r="AK744" t="s">
        <v>4911</v>
      </c>
      <c r="AL744" t="s">
        <v>2123</v>
      </c>
      <c r="AM744" t="s">
        <v>3294</v>
      </c>
      <c r="AN744" t="s">
        <v>3419</v>
      </c>
    </row>
    <row r="745" spans="1:41">
      <c r="A745" s="1" t="s">
        <v>781</v>
      </c>
      <c r="B745" t="s">
        <v>2000</v>
      </c>
      <c r="C745" t="s">
        <v>2002</v>
      </c>
      <c r="D745" t="s">
        <v>2078</v>
      </c>
      <c r="E745" t="s">
        <v>2112</v>
      </c>
      <c r="F745" t="s">
        <v>2116</v>
      </c>
      <c r="G745" t="s">
        <v>2212</v>
      </c>
      <c r="H745">
        <v>11385</v>
      </c>
      <c r="I745" t="s">
        <v>2229</v>
      </c>
      <c r="J745">
        <v>4</v>
      </c>
      <c r="K745">
        <v>3</v>
      </c>
      <c r="L745" t="s">
        <v>2260</v>
      </c>
      <c r="M745" t="s">
        <v>2677</v>
      </c>
      <c r="P745" t="s">
        <v>2770</v>
      </c>
      <c r="Q745" t="s">
        <v>3255</v>
      </c>
      <c r="R745" t="s">
        <v>3258</v>
      </c>
      <c r="S745" t="s">
        <v>3269</v>
      </c>
      <c r="T745" t="s">
        <v>3294</v>
      </c>
      <c r="U745" t="s">
        <v>2769</v>
      </c>
      <c r="X745" t="s">
        <v>3354</v>
      </c>
      <c r="Y745" t="s">
        <v>2678</v>
      </c>
      <c r="Z745" t="s">
        <v>3361</v>
      </c>
      <c r="AA745" t="s">
        <v>3406</v>
      </c>
      <c r="AB745" t="s">
        <v>3417</v>
      </c>
      <c r="AC745">
        <f>HYPERLINK("https://lsnyc.legalserver.org/matter/dynamic-profile/view/1908457","19-1908457")</f>
        <v>0</v>
      </c>
      <c r="AD745" t="s">
        <v>3443</v>
      </c>
      <c r="AE745" t="s">
        <v>3471</v>
      </c>
      <c r="AF745" t="s">
        <v>4107</v>
      </c>
      <c r="AG745" t="s">
        <v>3361</v>
      </c>
      <c r="AH745" t="s">
        <v>4904</v>
      </c>
      <c r="AL745" t="s">
        <v>2116</v>
      </c>
      <c r="AM745" t="s">
        <v>3294</v>
      </c>
      <c r="AN745" t="s">
        <v>3417</v>
      </c>
    </row>
    <row r="746" spans="1:41">
      <c r="A746" s="1" t="s">
        <v>782</v>
      </c>
      <c r="B746" t="s">
        <v>2002</v>
      </c>
      <c r="C746" t="s">
        <v>1998</v>
      </c>
      <c r="D746" t="s">
        <v>2069</v>
      </c>
      <c r="E746" t="s">
        <v>2111</v>
      </c>
      <c r="F746" t="s">
        <v>2132</v>
      </c>
      <c r="G746" t="s">
        <v>2214</v>
      </c>
      <c r="H746">
        <v>11230</v>
      </c>
      <c r="I746" t="s">
        <v>2230</v>
      </c>
      <c r="J746">
        <v>1</v>
      </c>
      <c r="K746">
        <v>0</v>
      </c>
      <c r="L746" t="s">
        <v>2260</v>
      </c>
      <c r="M746" t="s">
        <v>2677</v>
      </c>
      <c r="P746" t="s">
        <v>2859</v>
      </c>
      <c r="Q746" t="s">
        <v>2113</v>
      </c>
      <c r="R746" t="s">
        <v>3259</v>
      </c>
      <c r="S746" t="s">
        <v>3272</v>
      </c>
      <c r="X746" t="s">
        <v>3354</v>
      </c>
      <c r="Y746" t="s">
        <v>2678</v>
      </c>
      <c r="Z746" t="s">
        <v>3364</v>
      </c>
      <c r="AA746" t="s">
        <v>3406</v>
      </c>
      <c r="AB746" t="s">
        <v>3420</v>
      </c>
      <c r="AC746">
        <f>HYPERLINK("https://lsnyc.legalserver.org/matter/dynamic-profile/view/1896424","19-1896424")</f>
        <v>0</v>
      </c>
      <c r="AD746" t="s">
        <v>3442</v>
      </c>
      <c r="AE746" t="s">
        <v>3448</v>
      </c>
      <c r="AF746" t="s">
        <v>4108</v>
      </c>
      <c r="AG746" t="s">
        <v>3364</v>
      </c>
      <c r="AH746" t="s">
        <v>4904</v>
      </c>
      <c r="AK746" t="s">
        <v>4911</v>
      </c>
      <c r="AL746" t="s">
        <v>2132</v>
      </c>
      <c r="AN746" t="s">
        <v>3420</v>
      </c>
    </row>
    <row r="747" spans="1:41">
      <c r="A747" s="1" t="s">
        <v>783</v>
      </c>
      <c r="B747" t="s">
        <v>2002</v>
      </c>
      <c r="C747" t="s">
        <v>1998</v>
      </c>
      <c r="D747" t="s">
        <v>2069</v>
      </c>
      <c r="E747" t="s">
        <v>2111</v>
      </c>
      <c r="F747" t="s">
        <v>2132</v>
      </c>
      <c r="G747" t="s">
        <v>2214</v>
      </c>
      <c r="H747">
        <v>11230</v>
      </c>
      <c r="I747" t="s">
        <v>2230</v>
      </c>
      <c r="J747">
        <v>1</v>
      </c>
      <c r="K747">
        <v>0</v>
      </c>
      <c r="L747" t="s">
        <v>2260</v>
      </c>
      <c r="M747" t="s">
        <v>2677</v>
      </c>
      <c r="P747" t="s">
        <v>2733</v>
      </c>
      <c r="Q747" t="s">
        <v>2113</v>
      </c>
      <c r="R747" t="s">
        <v>3259</v>
      </c>
      <c r="S747" t="s">
        <v>3264</v>
      </c>
      <c r="X747" t="s">
        <v>3354</v>
      </c>
      <c r="Y747" t="s">
        <v>2678</v>
      </c>
      <c r="Z747" t="s">
        <v>3357</v>
      </c>
      <c r="AA747" t="s">
        <v>3406</v>
      </c>
      <c r="AB747" t="s">
        <v>3412</v>
      </c>
      <c r="AC747">
        <f>HYPERLINK("https://lsnyc.legalserver.org/matter/dynamic-profile/view/1896430","19-1896430")</f>
        <v>0</v>
      </c>
      <c r="AD747" t="s">
        <v>3442</v>
      </c>
      <c r="AE747" t="s">
        <v>3448</v>
      </c>
      <c r="AF747" t="s">
        <v>4108</v>
      </c>
      <c r="AG747" t="s">
        <v>3357</v>
      </c>
      <c r="AH747" t="s">
        <v>4904</v>
      </c>
      <c r="AL747" t="s">
        <v>2132</v>
      </c>
      <c r="AN747" t="s">
        <v>3412</v>
      </c>
    </row>
    <row r="748" spans="1:41">
      <c r="A748" s="1" t="s">
        <v>784</v>
      </c>
      <c r="B748" t="s">
        <v>2005</v>
      </c>
      <c r="C748" t="s">
        <v>2016</v>
      </c>
      <c r="D748" t="s">
        <v>2057</v>
      </c>
      <c r="E748" t="s">
        <v>2112</v>
      </c>
      <c r="F748" t="s">
        <v>2135</v>
      </c>
      <c r="G748" t="s">
        <v>2212</v>
      </c>
      <c r="H748">
        <v>11432</v>
      </c>
      <c r="I748" t="s">
        <v>2229</v>
      </c>
      <c r="J748">
        <v>2</v>
      </c>
      <c r="K748">
        <v>1</v>
      </c>
      <c r="L748" t="s">
        <v>2305</v>
      </c>
      <c r="M748" t="s">
        <v>2677</v>
      </c>
      <c r="P748" t="s">
        <v>2859</v>
      </c>
      <c r="Q748" t="s">
        <v>3257</v>
      </c>
      <c r="R748" t="s">
        <v>3259</v>
      </c>
      <c r="S748" t="s">
        <v>3287</v>
      </c>
      <c r="X748" t="s">
        <v>3354</v>
      </c>
      <c r="Y748" t="s">
        <v>2677</v>
      </c>
      <c r="Z748" t="s">
        <v>3378</v>
      </c>
      <c r="AB748" t="s">
        <v>3435</v>
      </c>
      <c r="AC748">
        <f>HYPERLINK("https://lsnyc.legalserver.org/matter/dynamic-profile/view/1896432","19-1896432")</f>
        <v>0</v>
      </c>
      <c r="AD748" t="s">
        <v>3443</v>
      </c>
      <c r="AE748" t="s">
        <v>3467</v>
      </c>
      <c r="AF748" t="s">
        <v>4109</v>
      </c>
      <c r="AG748" t="s">
        <v>3378</v>
      </c>
      <c r="AI748" t="s">
        <v>4909</v>
      </c>
      <c r="AL748" t="s">
        <v>2135</v>
      </c>
      <c r="AN748" t="s">
        <v>3435</v>
      </c>
    </row>
    <row r="749" spans="1:41">
      <c r="A749" s="1" t="s">
        <v>785</v>
      </c>
      <c r="B749" t="s">
        <v>1998</v>
      </c>
      <c r="C749" t="s">
        <v>2016</v>
      </c>
      <c r="D749" t="s">
        <v>2034</v>
      </c>
      <c r="E749" t="s">
        <v>2111</v>
      </c>
      <c r="F749" t="s">
        <v>2135</v>
      </c>
      <c r="G749" t="s">
        <v>2212</v>
      </c>
      <c r="H749">
        <v>11373</v>
      </c>
      <c r="I749" t="s">
        <v>2229</v>
      </c>
      <c r="J749">
        <v>2</v>
      </c>
      <c r="K749">
        <v>0</v>
      </c>
      <c r="L749" t="s">
        <v>2316</v>
      </c>
      <c r="M749" t="s">
        <v>2677</v>
      </c>
      <c r="P749" t="s">
        <v>2859</v>
      </c>
      <c r="Q749" t="s">
        <v>3257</v>
      </c>
      <c r="X749" t="s">
        <v>3354</v>
      </c>
      <c r="Y749" t="s">
        <v>2678</v>
      </c>
      <c r="Z749" t="s">
        <v>3370</v>
      </c>
      <c r="AA749" t="s">
        <v>3407</v>
      </c>
      <c r="AB749" t="s">
        <v>3407</v>
      </c>
      <c r="AC749">
        <f>HYPERLINK("https://lsnyc.legalserver.org/matter/dynamic-profile/view/1896445","19-1896445")</f>
        <v>0</v>
      </c>
      <c r="AD749" t="s">
        <v>3443</v>
      </c>
      <c r="AE749" t="s">
        <v>3477</v>
      </c>
      <c r="AF749" t="s">
        <v>4110</v>
      </c>
      <c r="AG749" t="s">
        <v>3370</v>
      </c>
      <c r="AH749" t="s">
        <v>3407</v>
      </c>
      <c r="AI749" t="s">
        <v>4909</v>
      </c>
      <c r="AL749" t="s">
        <v>2135</v>
      </c>
      <c r="AN749" t="s">
        <v>3407</v>
      </c>
    </row>
    <row r="750" spans="1:41">
      <c r="A750" s="1" t="s">
        <v>786</v>
      </c>
      <c r="B750" t="s">
        <v>2001</v>
      </c>
      <c r="C750" t="s">
        <v>2000</v>
      </c>
      <c r="D750" t="s">
        <v>2072</v>
      </c>
      <c r="E750" t="s">
        <v>2111</v>
      </c>
      <c r="F750" t="s">
        <v>2117</v>
      </c>
      <c r="G750" t="s">
        <v>2214</v>
      </c>
      <c r="H750">
        <v>11226</v>
      </c>
      <c r="I750" t="s">
        <v>2229</v>
      </c>
      <c r="J750">
        <v>1</v>
      </c>
      <c r="K750">
        <v>0</v>
      </c>
      <c r="L750" t="s">
        <v>2260</v>
      </c>
      <c r="M750" t="s">
        <v>2677</v>
      </c>
      <c r="P750" t="s">
        <v>2726</v>
      </c>
      <c r="Q750" t="s">
        <v>2113</v>
      </c>
      <c r="R750" t="s">
        <v>3259</v>
      </c>
      <c r="S750" t="s">
        <v>3267</v>
      </c>
      <c r="V750" t="s">
        <v>3353</v>
      </c>
      <c r="X750" t="s">
        <v>3354</v>
      </c>
      <c r="Y750" t="s">
        <v>2678</v>
      </c>
      <c r="Z750" t="s">
        <v>3380</v>
      </c>
      <c r="AA750" t="s">
        <v>3406</v>
      </c>
      <c r="AB750" t="s">
        <v>3415</v>
      </c>
      <c r="AC750">
        <f>HYPERLINK("https://lsnyc.legalserver.org/matter/dynamic-profile/view/1896459","19-1896459")</f>
        <v>0</v>
      </c>
      <c r="AD750" t="s">
        <v>3446</v>
      </c>
      <c r="AE750" t="s">
        <v>3456</v>
      </c>
      <c r="AF750" t="s">
        <v>4111</v>
      </c>
      <c r="AG750" t="s">
        <v>3380</v>
      </c>
      <c r="AH750" t="s">
        <v>4906</v>
      </c>
      <c r="AL750" t="s">
        <v>2117</v>
      </c>
      <c r="AN750" t="s">
        <v>3415</v>
      </c>
      <c r="AO750" t="s">
        <v>3353</v>
      </c>
    </row>
    <row r="751" spans="1:41">
      <c r="A751" s="1" t="s">
        <v>787</v>
      </c>
      <c r="B751" t="s">
        <v>1998</v>
      </c>
      <c r="C751" t="s">
        <v>2000</v>
      </c>
      <c r="D751" t="s">
        <v>2029</v>
      </c>
      <c r="E751" t="s">
        <v>2112</v>
      </c>
      <c r="F751" t="s">
        <v>2139</v>
      </c>
      <c r="G751" t="s">
        <v>2214</v>
      </c>
      <c r="H751">
        <v>11213</v>
      </c>
      <c r="I751" t="s">
        <v>2230</v>
      </c>
      <c r="J751">
        <v>3</v>
      </c>
      <c r="K751">
        <v>2</v>
      </c>
      <c r="L751" t="s">
        <v>2263</v>
      </c>
      <c r="M751" t="s">
        <v>2677</v>
      </c>
      <c r="P751" t="s">
        <v>2860</v>
      </c>
      <c r="Q751" t="s">
        <v>2113</v>
      </c>
      <c r="R751" t="s">
        <v>3259</v>
      </c>
      <c r="S751" t="s">
        <v>3267</v>
      </c>
      <c r="T751" t="s">
        <v>3297</v>
      </c>
      <c r="U751" t="s">
        <v>2793</v>
      </c>
      <c r="X751" t="s">
        <v>3354</v>
      </c>
      <c r="Y751" t="s">
        <v>2678</v>
      </c>
      <c r="Z751" t="s">
        <v>3359</v>
      </c>
      <c r="AA751" t="s">
        <v>3406</v>
      </c>
      <c r="AB751" t="s">
        <v>3415</v>
      </c>
      <c r="AC751">
        <f>HYPERLINK("https://lsnyc.legalserver.org/matter/dynamic-profile/view/1896128","19-1896128")</f>
        <v>0</v>
      </c>
      <c r="AD751" t="s">
        <v>3446</v>
      </c>
      <c r="AE751" t="s">
        <v>3473</v>
      </c>
      <c r="AF751" t="s">
        <v>3751</v>
      </c>
      <c r="AG751" t="s">
        <v>3359</v>
      </c>
      <c r="AH751" t="s">
        <v>4906</v>
      </c>
      <c r="AL751" t="s">
        <v>2139</v>
      </c>
      <c r="AM751" t="s">
        <v>3297</v>
      </c>
      <c r="AN751" t="s">
        <v>3415</v>
      </c>
    </row>
    <row r="752" spans="1:41">
      <c r="A752" s="1" t="s">
        <v>788</v>
      </c>
      <c r="B752" t="s">
        <v>2001</v>
      </c>
      <c r="C752" t="s">
        <v>1998</v>
      </c>
      <c r="D752" t="s">
        <v>2045</v>
      </c>
      <c r="E752" t="s">
        <v>2111</v>
      </c>
      <c r="F752" t="s">
        <v>2144</v>
      </c>
      <c r="G752" t="s">
        <v>2211</v>
      </c>
      <c r="H752">
        <v>10003</v>
      </c>
      <c r="I752" t="s">
        <v>2230</v>
      </c>
      <c r="J752">
        <v>1</v>
      </c>
      <c r="K752">
        <v>0</v>
      </c>
      <c r="L752" t="s">
        <v>2454</v>
      </c>
      <c r="M752" t="s">
        <v>2677</v>
      </c>
      <c r="P752" t="s">
        <v>2860</v>
      </c>
      <c r="Q752" t="s">
        <v>2113</v>
      </c>
      <c r="R752" t="s">
        <v>3259</v>
      </c>
      <c r="S752" t="s">
        <v>3268</v>
      </c>
      <c r="X752" t="s">
        <v>3354</v>
      </c>
      <c r="Y752" t="s">
        <v>2677</v>
      </c>
      <c r="Z752" t="s">
        <v>3368</v>
      </c>
      <c r="AA752" t="s">
        <v>3406</v>
      </c>
      <c r="AB752" t="s">
        <v>3416</v>
      </c>
      <c r="AC752">
        <f>HYPERLINK("https://lsnyc.legalserver.org/matter/dynamic-profile/view/1896180","19-1896180")</f>
        <v>0</v>
      </c>
      <c r="AD752" t="s">
        <v>3445</v>
      </c>
      <c r="AE752" t="s">
        <v>3455</v>
      </c>
      <c r="AF752" t="s">
        <v>4112</v>
      </c>
      <c r="AG752" t="s">
        <v>3368</v>
      </c>
      <c r="AH752" t="s">
        <v>4904</v>
      </c>
      <c r="AK752" t="s">
        <v>4911</v>
      </c>
      <c r="AL752" t="s">
        <v>2144</v>
      </c>
      <c r="AN752" t="s">
        <v>3416</v>
      </c>
    </row>
    <row r="753" spans="1:40">
      <c r="A753" s="1" t="s">
        <v>789</v>
      </c>
      <c r="B753" t="s">
        <v>1998</v>
      </c>
      <c r="C753" t="s">
        <v>2004</v>
      </c>
      <c r="D753" t="s">
        <v>2053</v>
      </c>
      <c r="E753" t="s">
        <v>2111</v>
      </c>
      <c r="F753" t="s">
        <v>2117</v>
      </c>
      <c r="G753" t="s">
        <v>2211</v>
      </c>
      <c r="H753">
        <v>10025</v>
      </c>
      <c r="I753" t="s">
        <v>2229</v>
      </c>
      <c r="J753">
        <v>3</v>
      </c>
      <c r="K753">
        <v>2</v>
      </c>
      <c r="L753" t="s">
        <v>2443</v>
      </c>
      <c r="M753" t="s">
        <v>2677</v>
      </c>
      <c r="P753" t="s">
        <v>2860</v>
      </c>
      <c r="Q753" t="s">
        <v>2113</v>
      </c>
      <c r="R753" t="s">
        <v>3259</v>
      </c>
      <c r="S753" t="s">
        <v>3267</v>
      </c>
      <c r="X753" t="s">
        <v>3354</v>
      </c>
      <c r="Y753" t="s">
        <v>2678</v>
      </c>
      <c r="Z753" t="s">
        <v>3359</v>
      </c>
      <c r="AA753" t="s">
        <v>3406</v>
      </c>
      <c r="AB753" t="s">
        <v>3415</v>
      </c>
      <c r="AC753">
        <f>HYPERLINK("https://lsnyc.legalserver.org/matter/dynamic-profile/view/1896186","19-1896186")</f>
        <v>0</v>
      </c>
      <c r="AD753" t="s">
        <v>3442</v>
      </c>
      <c r="AE753" t="s">
        <v>3476</v>
      </c>
      <c r="AF753" t="s">
        <v>4061</v>
      </c>
      <c r="AG753" t="s">
        <v>3359</v>
      </c>
      <c r="AH753" t="s">
        <v>4906</v>
      </c>
      <c r="AK753" t="s">
        <v>4911</v>
      </c>
      <c r="AL753" t="s">
        <v>2117</v>
      </c>
      <c r="AN753" t="s">
        <v>3415</v>
      </c>
    </row>
    <row r="754" spans="1:40">
      <c r="A754" s="1" t="s">
        <v>790</v>
      </c>
      <c r="B754" t="s">
        <v>2000</v>
      </c>
      <c r="C754" t="s">
        <v>2004</v>
      </c>
      <c r="D754" t="s">
        <v>2052</v>
      </c>
      <c r="E754" t="s">
        <v>2111</v>
      </c>
      <c r="F754" t="s">
        <v>2117</v>
      </c>
      <c r="G754" t="s">
        <v>2211</v>
      </c>
      <c r="H754">
        <v>10025</v>
      </c>
      <c r="I754" t="s">
        <v>2229</v>
      </c>
      <c r="J754">
        <v>3</v>
      </c>
      <c r="K754">
        <v>2</v>
      </c>
      <c r="L754" t="s">
        <v>2443</v>
      </c>
      <c r="M754" t="s">
        <v>2677</v>
      </c>
      <c r="P754" t="s">
        <v>2860</v>
      </c>
      <c r="Q754" t="s">
        <v>2113</v>
      </c>
      <c r="R754" t="s">
        <v>3259</v>
      </c>
      <c r="S754" t="s">
        <v>3267</v>
      </c>
      <c r="X754" t="s">
        <v>3354</v>
      </c>
      <c r="Y754" t="s">
        <v>2678</v>
      </c>
      <c r="Z754" t="s">
        <v>3359</v>
      </c>
      <c r="AA754" t="s">
        <v>3406</v>
      </c>
      <c r="AB754" t="s">
        <v>3415</v>
      </c>
      <c r="AC754">
        <f>HYPERLINK("https://lsnyc.legalserver.org/matter/dynamic-profile/view/1896192","19-1896192")</f>
        <v>0</v>
      </c>
      <c r="AD754" t="s">
        <v>3442</v>
      </c>
      <c r="AE754" t="s">
        <v>3476</v>
      </c>
      <c r="AF754" t="s">
        <v>4053</v>
      </c>
      <c r="AG754" t="s">
        <v>3359</v>
      </c>
      <c r="AH754" t="s">
        <v>4906</v>
      </c>
      <c r="AK754" t="s">
        <v>4911</v>
      </c>
      <c r="AL754" t="s">
        <v>2117</v>
      </c>
      <c r="AN754" t="s">
        <v>3415</v>
      </c>
    </row>
    <row r="755" spans="1:40">
      <c r="A755" s="1" t="s">
        <v>791</v>
      </c>
      <c r="B755" t="s">
        <v>2000</v>
      </c>
      <c r="C755" t="s">
        <v>2015</v>
      </c>
      <c r="D755" t="s">
        <v>2029</v>
      </c>
      <c r="E755" t="s">
        <v>2112</v>
      </c>
      <c r="F755" t="s">
        <v>2139</v>
      </c>
      <c r="G755" t="s">
        <v>2212</v>
      </c>
      <c r="H755">
        <v>11411</v>
      </c>
      <c r="I755" t="s">
        <v>2230</v>
      </c>
      <c r="J755">
        <v>3</v>
      </c>
      <c r="K755">
        <v>2</v>
      </c>
      <c r="L755" t="s">
        <v>2455</v>
      </c>
      <c r="M755" t="s">
        <v>2677</v>
      </c>
      <c r="P755" t="s">
        <v>2860</v>
      </c>
      <c r="Q755" t="s">
        <v>2113</v>
      </c>
      <c r="R755" t="s">
        <v>3258</v>
      </c>
      <c r="S755" t="s">
        <v>3271</v>
      </c>
      <c r="X755" t="s">
        <v>3354</v>
      </c>
      <c r="Y755" t="s">
        <v>2678</v>
      </c>
      <c r="Z755" t="s">
        <v>3362</v>
      </c>
      <c r="AA755" t="s">
        <v>3406</v>
      </c>
      <c r="AB755" t="s">
        <v>3419</v>
      </c>
      <c r="AC755">
        <f>HYPERLINK("https://lsnyc.legalserver.org/matter/dynamic-profile/view/1896195","19-1896195")</f>
        <v>0</v>
      </c>
      <c r="AD755" t="s">
        <v>3443</v>
      </c>
      <c r="AE755" t="s">
        <v>3477</v>
      </c>
      <c r="AF755" t="s">
        <v>4113</v>
      </c>
      <c r="AG755" t="s">
        <v>3362</v>
      </c>
      <c r="AH755" t="s">
        <v>4904</v>
      </c>
      <c r="AK755" t="s">
        <v>4911</v>
      </c>
      <c r="AL755" t="s">
        <v>2139</v>
      </c>
      <c r="AN755" t="s">
        <v>3419</v>
      </c>
    </row>
    <row r="756" spans="1:40">
      <c r="A756" s="1" t="s">
        <v>792</v>
      </c>
      <c r="B756" t="s">
        <v>2001</v>
      </c>
      <c r="C756" t="s">
        <v>1998</v>
      </c>
      <c r="D756" t="s">
        <v>2040</v>
      </c>
      <c r="E756" t="s">
        <v>2111</v>
      </c>
      <c r="F756" t="s">
        <v>2117</v>
      </c>
      <c r="G756" t="s">
        <v>2211</v>
      </c>
      <c r="H756">
        <v>10025</v>
      </c>
      <c r="I756" t="s">
        <v>2229</v>
      </c>
      <c r="J756">
        <v>3</v>
      </c>
      <c r="K756">
        <v>1</v>
      </c>
      <c r="L756" t="s">
        <v>2260</v>
      </c>
      <c r="M756" t="s">
        <v>2677</v>
      </c>
      <c r="P756" t="s">
        <v>2781</v>
      </c>
      <c r="Q756" t="s">
        <v>2113</v>
      </c>
      <c r="R756" t="s">
        <v>3259</v>
      </c>
      <c r="S756" t="s">
        <v>3272</v>
      </c>
      <c r="X756" t="s">
        <v>3354</v>
      </c>
      <c r="Y756" t="s">
        <v>2678</v>
      </c>
      <c r="Z756" t="s">
        <v>3364</v>
      </c>
      <c r="AA756" t="s">
        <v>3406</v>
      </c>
      <c r="AB756" t="s">
        <v>3420</v>
      </c>
      <c r="AC756">
        <f>HYPERLINK("https://lsnyc.legalserver.org/matter/dynamic-profile/view/1896232","19-1896232")</f>
        <v>0</v>
      </c>
      <c r="AD756" t="s">
        <v>3442</v>
      </c>
      <c r="AE756" t="s">
        <v>3470</v>
      </c>
      <c r="AF756" t="s">
        <v>4067</v>
      </c>
      <c r="AG756" t="s">
        <v>3364</v>
      </c>
      <c r="AH756" t="s">
        <v>4904</v>
      </c>
      <c r="AL756" t="s">
        <v>2117</v>
      </c>
      <c r="AN756" t="s">
        <v>3420</v>
      </c>
    </row>
    <row r="757" spans="1:40">
      <c r="A757" s="1" t="s">
        <v>793</v>
      </c>
      <c r="B757" t="s">
        <v>1998</v>
      </c>
      <c r="C757" t="s">
        <v>1998</v>
      </c>
      <c r="D757" t="s">
        <v>2040</v>
      </c>
      <c r="E757" t="s">
        <v>2111</v>
      </c>
      <c r="F757" t="s">
        <v>2115</v>
      </c>
      <c r="G757" t="s">
        <v>2216</v>
      </c>
      <c r="H757">
        <v>10304</v>
      </c>
      <c r="I757" t="s">
        <v>2229</v>
      </c>
      <c r="J757">
        <v>3</v>
      </c>
      <c r="K757">
        <v>2</v>
      </c>
      <c r="L757" t="s">
        <v>2260</v>
      </c>
      <c r="M757" t="s">
        <v>2677</v>
      </c>
      <c r="P757" t="s">
        <v>2860</v>
      </c>
      <c r="Q757" t="s">
        <v>3255</v>
      </c>
      <c r="R757" t="s">
        <v>3259</v>
      </c>
      <c r="S757" t="s">
        <v>3267</v>
      </c>
      <c r="X757" t="s">
        <v>3354</v>
      </c>
      <c r="Y757" t="s">
        <v>2678</v>
      </c>
      <c r="Z757" t="s">
        <v>3380</v>
      </c>
      <c r="AA757" t="s">
        <v>3406</v>
      </c>
      <c r="AB757" t="s">
        <v>3415</v>
      </c>
      <c r="AC757">
        <f>HYPERLINK("https://lsnyc.legalserver.org/matter/dynamic-profile/view/1896405","19-1896405")</f>
        <v>0</v>
      </c>
      <c r="AD757" t="s">
        <v>3447</v>
      </c>
      <c r="AE757" t="s">
        <v>3459</v>
      </c>
      <c r="AF757" t="s">
        <v>4114</v>
      </c>
      <c r="AG757" t="s">
        <v>3380</v>
      </c>
      <c r="AH757" t="s">
        <v>4906</v>
      </c>
      <c r="AK757" t="s">
        <v>4911</v>
      </c>
      <c r="AL757" t="s">
        <v>2115</v>
      </c>
      <c r="AN757" t="s">
        <v>3415</v>
      </c>
    </row>
    <row r="758" spans="1:40">
      <c r="A758" s="1" t="s">
        <v>794</v>
      </c>
      <c r="B758" t="s">
        <v>1998</v>
      </c>
      <c r="C758" t="s">
        <v>2016</v>
      </c>
      <c r="D758" t="s">
        <v>2076</v>
      </c>
      <c r="E758" t="s">
        <v>2112</v>
      </c>
      <c r="F758" t="s">
        <v>2181</v>
      </c>
      <c r="G758" t="s">
        <v>2211</v>
      </c>
      <c r="H758">
        <v>10075</v>
      </c>
      <c r="I758" t="s">
        <v>2230</v>
      </c>
      <c r="J758">
        <v>1</v>
      </c>
      <c r="K758">
        <v>0</v>
      </c>
      <c r="L758" t="s">
        <v>2260</v>
      </c>
      <c r="M758" t="s">
        <v>2677</v>
      </c>
      <c r="P758" t="s">
        <v>2861</v>
      </c>
      <c r="Q758" t="s">
        <v>2113</v>
      </c>
      <c r="R758" t="s">
        <v>3260</v>
      </c>
      <c r="S758" t="s">
        <v>3266</v>
      </c>
      <c r="X758" t="s">
        <v>3354</v>
      </c>
      <c r="Y758" t="s">
        <v>2678</v>
      </c>
      <c r="AB758" t="s">
        <v>3414</v>
      </c>
      <c r="AC758">
        <f>HYPERLINK("https://lsnyc.legalserver.org/matter/dynamic-profile/view/1896071","19-1896071")</f>
        <v>0</v>
      </c>
      <c r="AD758" t="s">
        <v>3442</v>
      </c>
      <c r="AE758" t="s">
        <v>3487</v>
      </c>
      <c r="AF758" t="s">
        <v>4115</v>
      </c>
      <c r="AI758" t="s">
        <v>4909</v>
      </c>
      <c r="AL758" t="s">
        <v>2181</v>
      </c>
      <c r="AN758" t="s">
        <v>3414</v>
      </c>
    </row>
    <row r="759" spans="1:40">
      <c r="A759" s="1" t="s">
        <v>795</v>
      </c>
      <c r="B759" t="s">
        <v>1998</v>
      </c>
      <c r="C759" t="s">
        <v>2001</v>
      </c>
      <c r="D759" t="s">
        <v>2094</v>
      </c>
      <c r="E759" t="s">
        <v>2112</v>
      </c>
      <c r="F759" t="s">
        <v>2122</v>
      </c>
      <c r="G759" t="s">
        <v>2212</v>
      </c>
      <c r="H759">
        <v>11427</v>
      </c>
      <c r="I759" t="s">
        <v>2230</v>
      </c>
      <c r="J759">
        <v>2</v>
      </c>
      <c r="K759">
        <v>1</v>
      </c>
      <c r="L759" t="s">
        <v>2272</v>
      </c>
      <c r="M759" t="s">
        <v>2677</v>
      </c>
      <c r="P759" t="s">
        <v>2781</v>
      </c>
      <c r="Q759" t="s">
        <v>2113</v>
      </c>
      <c r="R759" t="s">
        <v>3259</v>
      </c>
      <c r="S759" t="s">
        <v>3267</v>
      </c>
      <c r="X759" t="s">
        <v>3354</v>
      </c>
      <c r="Y759" t="s">
        <v>2678</v>
      </c>
      <c r="Z759" t="s">
        <v>3359</v>
      </c>
      <c r="AA759" t="s">
        <v>3406</v>
      </c>
      <c r="AB759" t="s">
        <v>3415</v>
      </c>
      <c r="AC759">
        <f>HYPERLINK("https://lsnyc.legalserver.org/matter/dynamic-profile/view/1896100","19-1896100")</f>
        <v>0</v>
      </c>
      <c r="AD759" t="s">
        <v>3443</v>
      </c>
      <c r="AE759" t="s">
        <v>3471</v>
      </c>
      <c r="AF759" t="s">
        <v>4016</v>
      </c>
      <c r="AG759" t="s">
        <v>3359</v>
      </c>
      <c r="AH759" t="s">
        <v>4906</v>
      </c>
      <c r="AL759" t="s">
        <v>2122</v>
      </c>
      <c r="AN759" t="s">
        <v>3415</v>
      </c>
    </row>
    <row r="760" spans="1:40">
      <c r="A760" s="1" t="s">
        <v>796</v>
      </c>
      <c r="B760" t="s">
        <v>1998</v>
      </c>
      <c r="C760" t="s">
        <v>1998</v>
      </c>
      <c r="D760" t="s">
        <v>2070</v>
      </c>
      <c r="E760" t="s">
        <v>2112</v>
      </c>
      <c r="F760" t="s">
        <v>2114</v>
      </c>
      <c r="G760" t="s">
        <v>2214</v>
      </c>
      <c r="H760">
        <v>11235</v>
      </c>
      <c r="I760" t="s">
        <v>2229</v>
      </c>
      <c r="J760">
        <v>2</v>
      </c>
      <c r="K760">
        <v>1</v>
      </c>
      <c r="L760" t="s">
        <v>2256</v>
      </c>
      <c r="M760" t="s">
        <v>2677</v>
      </c>
      <c r="P760" t="s">
        <v>2861</v>
      </c>
      <c r="Q760" t="s">
        <v>2113</v>
      </c>
      <c r="R760" t="s">
        <v>3259</v>
      </c>
      <c r="S760" t="s">
        <v>3267</v>
      </c>
      <c r="X760" t="s">
        <v>3354</v>
      </c>
      <c r="Y760" t="s">
        <v>2677</v>
      </c>
      <c r="Z760" t="s">
        <v>3359</v>
      </c>
      <c r="AA760" t="s">
        <v>3406</v>
      </c>
      <c r="AB760" t="s">
        <v>3415</v>
      </c>
      <c r="AC760">
        <f>HYPERLINK("https://lsnyc.legalserver.org/matter/dynamic-profile/view/1896117","19-1896117")</f>
        <v>0</v>
      </c>
      <c r="AD760" t="s">
        <v>3445</v>
      </c>
      <c r="AE760" t="s">
        <v>3455</v>
      </c>
      <c r="AF760" t="s">
        <v>4081</v>
      </c>
      <c r="AG760" t="s">
        <v>3359</v>
      </c>
      <c r="AH760" t="s">
        <v>4906</v>
      </c>
      <c r="AK760" t="s">
        <v>4911</v>
      </c>
      <c r="AL760" t="s">
        <v>2114</v>
      </c>
      <c r="AN760" t="s">
        <v>3415</v>
      </c>
    </row>
    <row r="761" spans="1:40">
      <c r="A761" s="1" t="s">
        <v>797</v>
      </c>
      <c r="B761" t="s">
        <v>2000</v>
      </c>
      <c r="C761" t="s">
        <v>2002</v>
      </c>
      <c r="D761" t="s">
        <v>2069</v>
      </c>
      <c r="E761" t="s">
        <v>2112</v>
      </c>
      <c r="F761" t="s">
        <v>2117</v>
      </c>
      <c r="G761" t="s">
        <v>2216</v>
      </c>
      <c r="H761">
        <v>10301</v>
      </c>
      <c r="I761" t="s">
        <v>2229</v>
      </c>
      <c r="J761">
        <v>2</v>
      </c>
      <c r="K761">
        <v>1</v>
      </c>
      <c r="L761" t="s">
        <v>2260</v>
      </c>
      <c r="M761" t="s">
        <v>2677</v>
      </c>
      <c r="P761" t="s">
        <v>2861</v>
      </c>
      <c r="Q761" t="s">
        <v>3255</v>
      </c>
      <c r="R761" t="s">
        <v>3259</v>
      </c>
      <c r="S761" t="s">
        <v>3272</v>
      </c>
      <c r="X761" t="s">
        <v>3354</v>
      </c>
      <c r="Y761" t="s">
        <v>2678</v>
      </c>
      <c r="Z761" t="s">
        <v>3383</v>
      </c>
      <c r="AA761" t="s">
        <v>3406</v>
      </c>
      <c r="AB761" t="s">
        <v>3420</v>
      </c>
      <c r="AC761">
        <f>HYPERLINK("https://lsnyc.legalserver.org/matter/dynamic-profile/view/1896313","19-1896313")</f>
        <v>0</v>
      </c>
      <c r="AD761" t="s">
        <v>3447</v>
      </c>
      <c r="AE761" t="s">
        <v>3463</v>
      </c>
      <c r="AF761" t="s">
        <v>4116</v>
      </c>
      <c r="AG761" t="s">
        <v>3383</v>
      </c>
      <c r="AH761" t="s">
        <v>4905</v>
      </c>
      <c r="AK761" t="s">
        <v>4911</v>
      </c>
      <c r="AL761" t="s">
        <v>2117</v>
      </c>
      <c r="AN761" t="s">
        <v>3420</v>
      </c>
    </row>
    <row r="762" spans="1:40">
      <c r="A762" s="1" t="s">
        <v>798</v>
      </c>
      <c r="B762" t="s">
        <v>2009</v>
      </c>
      <c r="C762" t="s">
        <v>1998</v>
      </c>
      <c r="D762" t="s">
        <v>2069</v>
      </c>
      <c r="E762" t="s">
        <v>2112</v>
      </c>
      <c r="F762" t="s">
        <v>2114</v>
      </c>
      <c r="G762" t="s">
        <v>2214</v>
      </c>
      <c r="H762">
        <v>11235</v>
      </c>
      <c r="J762">
        <v>1</v>
      </c>
      <c r="K762">
        <v>0</v>
      </c>
      <c r="L762" t="s">
        <v>2401</v>
      </c>
      <c r="M762" t="s">
        <v>2677</v>
      </c>
      <c r="P762" t="s">
        <v>2861</v>
      </c>
      <c r="Q762" t="s">
        <v>3255</v>
      </c>
      <c r="R762" t="s">
        <v>3259</v>
      </c>
      <c r="S762" t="s">
        <v>3267</v>
      </c>
      <c r="X762" t="s">
        <v>3354</v>
      </c>
      <c r="Y762" t="s">
        <v>2677</v>
      </c>
      <c r="Z762" t="s">
        <v>3359</v>
      </c>
      <c r="AA762" t="s">
        <v>3406</v>
      </c>
      <c r="AB762" t="s">
        <v>3415</v>
      </c>
      <c r="AC762">
        <f>HYPERLINK("https://lsnyc.legalserver.org/matter/dynamic-profile/view/1903448","19-1903448")</f>
        <v>0</v>
      </c>
      <c r="AD762" t="s">
        <v>3445</v>
      </c>
      <c r="AE762" t="s">
        <v>3455</v>
      </c>
      <c r="AF762" t="s">
        <v>3912</v>
      </c>
      <c r="AG762" t="s">
        <v>3359</v>
      </c>
      <c r="AH762" t="s">
        <v>4906</v>
      </c>
      <c r="AK762" t="s">
        <v>4911</v>
      </c>
      <c r="AL762" t="s">
        <v>2114</v>
      </c>
      <c r="AN762" t="s">
        <v>3415</v>
      </c>
    </row>
    <row r="763" spans="1:40">
      <c r="A763" s="1" t="s">
        <v>799</v>
      </c>
      <c r="B763" t="s">
        <v>2003</v>
      </c>
      <c r="C763" t="s">
        <v>2005</v>
      </c>
      <c r="D763" t="s">
        <v>2039</v>
      </c>
      <c r="E763" t="s">
        <v>2111</v>
      </c>
      <c r="F763" t="s">
        <v>2120</v>
      </c>
      <c r="G763" t="s">
        <v>2214</v>
      </c>
      <c r="H763">
        <v>11233</v>
      </c>
      <c r="I763" t="s">
        <v>2230</v>
      </c>
      <c r="J763">
        <v>3</v>
      </c>
      <c r="K763">
        <v>1</v>
      </c>
      <c r="L763" t="s">
        <v>2263</v>
      </c>
      <c r="M763" t="s">
        <v>2677</v>
      </c>
      <c r="P763" t="s">
        <v>2862</v>
      </c>
      <c r="Q763" t="s">
        <v>2113</v>
      </c>
      <c r="R763" t="s">
        <v>3258</v>
      </c>
      <c r="S763" t="s">
        <v>3271</v>
      </c>
      <c r="T763" t="s">
        <v>3294</v>
      </c>
      <c r="U763" t="s">
        <v>2782</v>
      </c>
      <c r="X763" t="s">
        <v>3354</v>
      </c>
      <c r="Y763" t="s">
        <v>2677</v>
      </c>
      <c r="Z763" t="s">
        <v>3362</v>
      </c>
      <c r="AA763" t="s">
        <v>3406</v>
      </c>
      <c r="AB763" t="s">
        <v>3419</v>
      </c>
      <c r="AC763">
        <f>HYPERLINK("https://lsnyc.legalserver.org/matter/dynamic-profile/view/1895884","19-1895884")</f>
        <v>0</v>
      </c>
      <c r="AD763" t="s">
        <v>3445</v>
      </c>
      <c r="AE763" t="s">
        <v>3452</v>
      </c>
      <c r="AF763" t="s">
        <v>3509</v>
      </c>
      <c r="AG763" t="s">
        <v>3362</v>
      </c>
      <c r="AH763" t="s">
        <v>4904</v>
      </c>
      <c r="AK763" t="s">
        <v>4911</v>
      </c>
      <c r="AL763" t="s">
        <v>2120</v>
      </c>
      <c r="AM763" t="s">
        <v>3294</v>
      </c>
      <c r="AN763" t="s">
        <v>3419</v>
      </c>
    </row>
    <row r="764" spans="1:40">
      <c r="A764" s="1" t="s">
        <v>800</v>
      </c>
      <c r="B764" t="s">
        <v>2016</v>
      </c>
      <c r="C764" t="s">
        <v>1998</v>
      </c>
      <c r="D764" t="s">
        <v>2038</v>
      </c>
      <c r="E764" t="s">
        <v>2112</v>
      </c>
      <c r="F764" t="s">
        <v>2123</v>
      </c>
      <c r="G764" t="s">
        <v>2212</v>
      </c>
      <c r="H764">
        <v>11368</v>
      </c>
      <c r="I764" t="s">
        <v>2230</v>
      </c>
      <c r="J764">
        <v>1</v>
      </c>
      <c r="K764">
        <v>0</v>
      </c>
      <c r="L764" t="s">
        <v>2306</v>
      </c>
      <c r="M764" t="s">
        <v>2678</v>
      </c>
      <c r="P764" t="s">
        <v>2862</v>
      </c>
      <c r="Q764" t="s">
        <v>2113</v>
      </c>
      <c r="X764" t="s">
        <v>3354</v>
      </c>
      <c r="Y764" t="s">
        <v>2678</v>
      </c>
      <c r="Z764" t="s">
        <v>3362</v>
      </c>
      <c r="AA764" t="s">
        <v>3407</v>
      </c>
      <c r="AB764" t="s">
        <v>3407</v>
      </c>
      <c r="AC764">
        <f>HYPERLINK("https://lsnyc.legalserver.org/matter/dynamic-profile/view/1895887","19-1895887")</f>
        <v>0</v>
      </c>
      <c r="AD764" t="s">
        <v>3443</v>
      </c>
      <c r="AE764" t="s">
        <v>3477</v>
      </c>
      <c r="AF764" t="s">
        <v>4117</v>
      </c>
      <c r="AG764" t="s">
        <v>3362</v>
      </c>
      <c r="AH764" t="s">
        <v>3407</v>
      </c>
      <c r="AJ764" t="s">
        <v>4910</v>
      </c>
      <c r="AL764" t="s">
        <v>2123</v>
      </c>
      <c r="AN764" t="s">
        <v>3407</v>
      </c>
    </row>
    <row r="765" spans="1:40">
      <c r="A765" s="1" t="s">
        <v>801</v>
      </c>
      <c r="B765" t="s">
        <v>2005</v>
      </c>
      <c r="C765" t="s">
        <v>2002</v>
      </c>
      <c r="D765" t="s">
        <v>2039</v>
      </c>
      <c r="E765" t="s">
        <v>2112</v>
      </c>
      <c r="F765" t="s">
        <v>2123</v>
      </c>
      <c r="G765" t="s">
        <v>2213</v>
      </c>
      <c r="H765">
        <v>10460</v>
      </c>
      <c r="I765" t="s">
        <v>2229</v>
      </c>
      <c r="J765">
        <v>4</v>
      </c>
      <c r="K765">
        <v>1</v>
      </c>
      <c r="L765" t="s">
        <v>2260</v>
      </c>
      <c r="M765" t="s">
        <v>2677</v>
      </c>
      <c r="P765" t="s">
        <v>2862</v>
      </c>
      <c r="Q765" t="s">
        <v>2113</v>
      </c>
      <c r="R765" t="s">
        <v>3259</v>
      </c>
      <c r="S765" t="s">
        <v>3276</v>
      </c>
      <c r="X765" t="s">
        <v>3354</v>
      </c>
      <c r="Y765" t="s">
        <v>2677</v>
      </c>
      <c r="Z765" t="s">
        <v>3373</v>
      </c>
      <c r="AA765" t="s">
        <v>3406</v>
      </c>
      <c r="AB765" t="s">
        <v>3424</v>
      </c>
      <c r="AC765">
        <f>HYPERLINK("https://lsnyc.legalserver.org/matter/dynamic-profile/view/1895896","19-1895896")</f>
        <v>0</v>
      </c>
      <c r="AD765" t="s">
        <v>3445</v>
      </c>
      <c r="AE765" t="s">
        <v>3455</v>
      </c>
      <c r="AF765" t="s">
        <v>4118</v>
      </c>
      <c r="AG765" t="s">
        <v>3373</v>
      </c>
      <c r="AH765" t="s">
        <v>4904</v>
      </c>
      <c r="AK765" t="s">
        <v>4911</v>
      </c>
      <c r="AL765" t="s">
        <v>2123</v>
      </c>
      <c r="AN765" t="s">
        <v>3424</v>
      </c>
    </row>
    <row r="766" spans="1:40">
      <c r="A766" s="1" t="s">
        <v>802</v>
      </c>
      <c r="B766" t="s">
        <v>2000</v>
      </c>
      <c r="C766" t="s">
        <v>1998</v>
      </c>
      <c r="D766" t="s">
        <v>2060</v>
      </c>
      <c r="E766" t="s">
        <v>2111</v>
      </c>
      <c r="F766" t="s">
        <v>2123</v>
      </c>
      <c r="G766" t="s">
        <v>2211</v>
      </c>
      <c r="H766">
        <v>10033</v>
      </c>
      <c r="I766" t="s">
        <v>2229</v>
      </c>
      <c r="J766">
        <v>1</v>
      </c>
      <c r="K766">
        <v>0</v>
      </c>
      <c r="L766" t="s">
        <v>2260</v>
      </c>
      <c r="M766" t="s">
        <v>2677</v>
      </c>
      <c r="P766" t="s">
        <v>2862</v>
      </c>
      <c r="Q766" t="s">
        <v>3257</v>
      </c>
      <c r="R766" t="s">
        <v>3259</v>
      </c>
      <c r="S766" t="s">
        <v>3267</v>
      </c>
      <c r="X766" t="s">
        <v>3354</v>
      </c>
      <c r="Y766" t="s">
        <v>2677</v>
      </c>
      <c r="Z766" t="s">
        <v>3380</v>
      </c>
      <c r="AA766" t="s">
        <v>3406</v>
      </c>
      <c r="AB766" t="s">
        <v>3415</v>
      </c>
      <c r="AC766">
        <f>HYPERLINK("https://lsnyc.legalserver.org/matter/dynamic-profile/view/1895905","19-1895905")</f>
        <v>0</v>
      </c>
      <c r="AD766" t="s">
        <v>3445</v>
      </c>
      <c r="AE766" t="s">
        <v>3452</v>
      </c>
      <c r="AF766" t="s">
        <v>4119</v>
      </c>
      <c r="AG766" t="s">
        <v>3380</v>
      </c>
      <c r="AH766" t="s">
        <v>4904</v>
      </c>
      <c r="AK766" t="s">
        <v>4911</v>
      </c>
      <c r="AL766" t="s">
        <v>2123</v>
      </c>
      <c r="AN766" t="s">
        <v>3415</v>
      </c>
    </row>
    <row r="767" spans="1:40">
      <c r="A767" s="1" t="s">
        <v>803</v>
      </c>
      <c r="B767" t="s">
        <v>2002</v>
      </c>
      <c r="C767" t="s">
        <v>2002</v>
      </c>
      <c r="D767" t="s">
        <v>2069</v>
      </c>
      <c r="E767" t="s">
        <v>2111</v>
      </c>
      <c r="F767" t="s">
        <v>2123</v>
      </c>
      <c r="G767" t="s">
        <v>2213</v>
      </c>
      <c r="H767">
        <v>10460</v>
      </c>
      <c r="J767">
        <v>4</v>
      </c>
      <c r="K767">
        <v>1</v>
      </c>
      <c r="L767" t="s">
        <v>2260</v>
      </c>
      <c r="M767" t="s">
        <v>2677</v>
      </c>
      <c r="P767" t="s">
        <v>2862</v>
      </c>
      <c r="Q767" t="s">
        <v>2113</v>
      </c>
      <c r="R767" t="s">
        <v>3259</v>
      </c>
      <c r="S767" t="s">
        <v>3264</v>
      </c>
      <c r="X767" t="s">
        <v>3354</v>
      </c>
      <c r="Y767" t="s">
        <v>2677</v>
      </c>
      <c r="Z767" t="s">
        <v>3397</v>
      </c>
      <c r="AA767" t="s">
        <v>3406</v>
      </c>
      <c r="AB767" t="s">
        <v>3412</v>
      </c>
      <c r="AC767">
        <f>HYPERLINK("https://lsnyc.legalserver.org/matter/dynamic-profile/view/1895911","19-1895911")</f>
        <v>0</v>
      </c>
      <c r="AD767" t="s">
        <v>3445</v>
      </c>
      <c r="AE767" t="s">
        <v>3455</v>
      </c>
      <c r="AF767" t="s">
        <v>4120</v>
      </c>
      <c r="AG767" t="s">
        <v>3397</v>
      </c>
      <c r="AH767" t="s">
        <v>4904</v>
      </c>
      <c r="AK767" t="s">
        <v>4911</v>
      </c>
      <c r="AL767" t="s">
        <v>2123</v>
      </c>
      <c r="AN767" t="s">
        <v>3412</v>
      </c>
    </row>
    <row r="768" spans="1:40">
      <c r="A768" s="1" t="s">
        <v>804</v>
      </c>
      <c r="B768" t="s">
        <v>2002</v>
      </c>
      <c r="C768" t="s">
        <v>2005</v>
      </c>
      <c r="D768" t="s">
        <v>2036</v>
      </c>
      <c r="E768" t="s">
        <v>2112</v>
      </c>
      <c r="F768" t="s">
        <v>2123</v>
      </c>
      <c r="G768" t="s">
        <v>2213</v>
      </c>
      <c r="H768">
        <v>10460</v>
      </c>
      <c r="J768">
        <v>4</v>
      </c>
      <c r="K768">
        <v>1</v>
      </c>
      <c r="L768" t="s">
        <v>2260</v>
      </c>
      <c r="M768" t="s">
        <v>2677</v>
      </c>
      <c r="P768" t="s">
        <v>2862</v>
      </c>
      <c r="Q768" t="s">
        <v>2113</v>
      </c>
      <c r="R768" t="s">
        <v>3259</v>
      </c>
      <c r="S768" t="s">
        <v>3264</v>
      </c>
      <c r="X768" t="s">
        <v>3354</v>
      </c>
      <c r="Y768" t="s">
        <v>2677</v>
      </c>
      <c r="Z768" t="s">
        <v>3397</v>
      </c>
      <c r="AA768" t="s">
        <v>3406</v>
      </c>
      <c r="AB768" t="s">
        <v>3412</v>
      </c>
      <c r="AC768">
        <f>HYPERLINK("https://lsnyc.legalserver.org/matter/dynamic-profile/view/1895914","19-1895914")</f>
        <v>0</v>
      </c>
      <c r="AD768" t="s">
        <v>3445</v>
      </c>
      <c r="AE768" t="s">
        <v>3455</v>
      </c>
      <c r="AF768" t="s">
        <v>4121</v>
      </c>
      <c r="AG768" t="s">
        <v>3397</v>
      </c>
      <c r="AH768" t="s">
        <v>4904</v>
      </c>
      <c r="AK768" t="s">
        <v>4911</v>
      </c>
      <c r="AL768" t="s">
        <v>2123</v>
      </c>
      <c r="AN768" t="s">
        <v>3412</v>
      </c>
    </row>
    <row r="769" spans="1:41">
      <c r="A769" s="1" t="s">
        <v>805</v>
      </c>
      <c r="B769" t="s">
        <v>2002</v>
      </c>
      <c r="C769" t="s">
        <v>2001</v>
      </c>
      <c r="D769" t="s">
        <v>2034</v>
      </c>
      <c r="E769" t="s">
        <v>2111</v>
      </c>
      <c r="F769" t="s">
        <v>2123</v>
      </c>
      <c r="G769" t="s">
        <v>2213</v>
      </c>
      <c r="H769">
        <v>10460</v>
      </c>
      <c r="J769">
        <v>4</v>
      </c>
      <c r="K769">
        <v>1</v>
      </c>
      <c r="L769" t="s">
        <v>2260</v>
      </c>
      <c r="M769" t="s">
        <v>2677</v>
      </c>
      <c r="P769" t="s">
        <v>2862</v>
      </c>
      <c r="Q769" t="s">
        <v>2113</v>
      </c>
      <c r="R769" t="s">
        <v>3259</v>
      </c>
      <c r="S769" t="s">
        <v>3264</v>
      </c>
      <c r="X769" t="s">
        <v>3354</v>
      </c>
      <c r="Y769" t="s">
        <v>2677</v>
      </c>
      <c r="Z769" t="s">
        <v>3397</v>
      </c>
      <c r="AA769" t="s">
        <v>3406</v>
      </c>
      <c r="AB769" t="s">
        <v>3412</v>
      </c>
      <c r="AC769">
        <f>HYPERLINK("https://lsnyc.legalserver.org/matter/dynamic-profile/view/1895919","19-1895919")</f>
        <v>0</v>
      </c>
      <c r="AD769" t="s">
        <v>3445</v>
      </c>
      <c r="AE769" t="s">
        <v>3455</v>
      </c>
      <c r="AF769" t="s">
        <v>4122</v>
      </c>
      <c r="AG769" t="s">
        <v>3397</v>
      </c>
      <c r="AH769" t="s">
        <v>4904</v>
      </c>
      <c r="AK769" t="s">
        <v>4911</v>
      </c>
      <c r="AL769" t="s">
        <v>2123</v>
      </c>
      <c r="AN769" t="s">
        <v>3412</v>
      </c>
    </row>
    <row r="770" spans="1:41">
      <c r="A770" s="1" t="s">
        <v>806</v>
      </c>
      <c r="B770" t="s">
        <v>2000</v>
      </c>
      <c r="C770" t="s">
        <v>2002</v>
      </c>
      <c r="D770" t="s">
        <v>2069</v>
      </c>
      <c r="E770" t="s">
        <v>2112</v>
      </c>
      <c r="F770" t="s">
        <v>2117</v>
      </c>
      <c r="G770" t="s">
        <v>2216</v>
      </c>
      <c r="H770">
        <v>10301</v>
      </c>
      <c r="I770" t="s">
        <v>2229</v>
      </c>
      <c r="J770">
        <v>2</v>
      </c>
      <c r="K770">
        <v>1</v>
      </c>
      <c r="L770" t="s">
        <v>2260</v>
      </c>
      <c r="M770" t="s">
        <v>2677</v>
      </c>
      <c r="P770" t="s">
        <v>2862</v>
      </c>
      <c r="Q770" t="s">
        <v>3255</v>
      </c>
      <c r="R770" t="s">
        <v>3259</v>
      </c>
      <c r="S770" t="s">
        <v>3268</v>
      </c>
      <c r="T770" t="s">
        <v>3294</v>
      </c>
      <c r="U770" t="s">
        <v>2862</v>
      </c>
      <c r="X770" t="s">
        <v>3354</v>
      </c>
      <c r="Y770" t="s">
        <v>2678</v>
      </c>
      <c r="Z770" t="s">
        <v>3368</v>
      </c>
      <c r="AA770" t="s">
        <v>3406</v>
      </c>
      <c r="AB770" t="s">
        <v>3416</v>
      </c>
      <c r="AC770">
        <f>HYPERLINK("https://lsnyc.legalserver.org/matter/dynamic-profile/view/1896317","19-1896317")</f>
        <v>0</v>
      </c>
      <c r="AD770" t="s">
        <v>3447</v>
      </c>
      <c r="AE770" t="s">
        <v>3463</v>
      </c>
      <c r="AF770" t="s">
        <v>4116</v>
      </c>
      <c r="AG770" t="s">
        <v>3368</v>
      </c>
      <c r="AH770" t="s">
        <v>4904</v>
      </c>
      <c r="AK770" t="s">
        <v>4911</v>
      </c>
      <c r="AL770" t="s">
        <v>2117</v>
      </c>
      <c r="AM770" t="s">
        <v>3294</v>
      </c>
      <c r="AN770" t="s">
        <v>3416</v>
      </c>
    </row>
    <row r="771" spans="1:41">
      <c r="A771" s="1" t="s">
        <v>807</v>
      </c>
      <c r="B771" t="s">
        <v>1998</v>
      </c>
      <c r="C771" t="s">
        <v>2018</v>
      </c>
      <c r="D771" t="s">
        <v>2052</v>
      </c>
      <c r="E771" t="s">
        <v>2112</v>
      </c>
      <c r="F771" t="s">
        <v>2117</v>
      </c>
      <c r="G771" t="s">
        <v>2216</v>
      </c>
      <c r="H771">
        <v>10301</v>
      </c>
      <c r="I771" t="s">
        <v>2229</v>
      </c>
      <c r="J771">
        <v>2</v>
      </c>
      <c r="K771">
        <v>1</v>
      </c>
      <c r="L771" t="s">
        <v>2260</v>
      </c>
      <c r="M771" t="s">
        <v>2677</v>
      </c>
      <c r="P771" t="s">
        <v>2862</v>
      </c>
      <c r="Q771" t="s">
        <v>3255</v>
      </c>
      <c r="R771" t="s">
        <v>3259</v>
      </c>
      <c r="S771" t="s">
        <v>3268</v>
      </c>
      <c r="T771" t="s">
        <v>3294</v>
      </c>
      <c r="U771" t="s">
        <v>2862</v>
      </c>
      <c r="X771" t="s">
        <v>3354</v>
      </c>
      <c r="Y771" t="s">
        <v>2678</v>
      </c>
      <c r="Z771" t="s">
        <v>3368</v>
      </c>
      <c r="AA771" t="s">
        <v>3406</v>
      </c>
      <c r="AB771" t="s">
        <v>3416</v>
      </c>
      <c r="AC771">
        <f>HYPERLINK("https://lsnyc.legalserver.org/matter/dynamic-profile/view/1896319","19-1896319")</f>
        <v>0</v>
      </c>
      <c r="AD771" t="s">
        <v>3447</v>
      </c>
      <c r="AE771" t="s">
        <v>3463</v>
      </c>
      <c r="AF771" t="s">
        <v>4123</v>
      </c>
      <c r="AG771" t="s">
        <v>3368</v>
      </c>
      <c r="AH771" t="s">
        <v>4904</v>
      </c>
      <c r="AK771" t="s">
        <v>4911</v>
      </c>
      <c r="AL771" t="s">
        <v>2117</v>
      </c>
      <c r="AM771" t="s">
        <v>3294</v>
      </c>
      <c r="AN771" t="s">
        <v>3416</v>
      </c>
    </row>
    <row r="772" spans="1:41">
      <c r="A772" s="1" t="s">
        <v>808</v>
      </c>
      <c r="B772" t="s">
        <v>2001</v>
      </c>
      <c r="C772" t="s">
        <v>2000</v>
      </c>
      <c r="D772" t="s">
        <v>2057</v>
      </c>
      <c r="E772" t="s">
        <v>2112</v>
      </c>
      <c r="F772" t="s">
        <v>2116</v>
      </c>
      <c r="G772" t="s">
        <v>2216</v>
      </c>
      <c r="H772">
        <v>10304</v>
      </c>
      <c r="I772" t="s">
        <v>2230</v>
      </c>
      <c r="J772">
        <v>7</v>
      </c>
      <c r="K772">
        <v>3</v>
      </c>
      <c r="L772" t="s">
        <v>2456</v>
      </c>
      <c r="M772" t="s">
        <v>2677</v>
      </c>
      <c r="P772" t="s">
        <v>2863</v>
      </c>
      <c r="Q772" t="s">
        <v>3255</v>
      </c>
      <c r="R772" t="s">
        <v>3259</v>
      </c>
      <c r="S772" t="s">
        <v>3276</v>
      </c>
      <c r="T772" t="s">
        <v>3294</v>
      </c>
      <c r="U772" t="s">
        <v>2863</v>
      </c>
      <c r="X772" t="s">
        <v>3354</v>
      </c>
      <c r="Y772" t="s">
        <v>2678</v>
      </c>
      <c r="Z772" t="s">
        <v>3373</v>
      </c>
      <c r="AA772" t="s">
        <v>3406</v>
      </c>
      <c r="AB772" t="s">
        <v>3424</v>
      </c>
      <c r="AC772">
        <f>HYPERLINK("https://lsnyc.legalserver.org/matter/dynamic-profile/view/1895787","19-1895787")</f>
        <v>0</v>
      </c>
      <c r="AD772" t="s">
        <v>3447</v>
      </c>
      <c r="AE772" t="s">
        <v>3462</v>
      </c>
      <c r="AF772" t="s">
        <v>4124</v>
      </c>
      <c r="AG772" t="s">
        <v>3373</v>
      </c>
      <c r="AH772" t="s">
        <v>4904</v>
      </c>
      <c r="AK772" t="s">
        <v>4911</v>
      </c>
      <c r="AL772" t="s">
        <v>2116</v>
      </c>
      <c r="AM772" t="s">
        <v>3294</v>
      </c>
      <c r="AN772" t="s">
        <v>3424</v>
      </c>
    </row>
    <row r="773" spans="1:41">
      <c r="A773" s="1" t="s">
        <v>809</v>
      </c>
      <c r="B773" t="s">
        <v>2016</v>
      </c>
      <c r="C773" t="s">
        <v>2000</v>
      </c>
      <c r="D773" t="s">
        <v>2038</v>
      </c>
      <c r="E773" t="s">
        <v>2112</v>
      </c>
      <c r="F773" t="s">
        <v>2123</v>
      </c>
      <c r="G773" t="s">
        <v>2213</v>
      </c>
      <c r="H773">
        <v>10462</v>
      </c>
      <c r="I773" t="s">
        <v>2229</v>
      </c>
      <c r="J773">
        <v>1</v>
      </c>
      <c r="K773">
        <v>0</v>
      </c>
      <c r="L773" t="s">
        <v>2337</v>
      </c>
      <c r="M773" t="s">
        <v>2677</v>
      </c>
      <c r="P773" t="s">
        <v>2863</v>
      </c>
      <c r="Q773" t="s">
        <v>2113</v>
      </c>
      <c r="R773" t="s">
        <v>3258</v>
      </c>
      <c r="S773" t="s">
        <v>3271</v>
      </c>
      <c r="V773" t="s">
        <v>3352</v>
      </c>
      <c r="X773" t="s">
        <v>3354</v>
      </c>
      <c r="Y773" t="s">
        <v>2677</v>
      </c>
      <c r="Z773" t="s">
        <v>3362</v>
      </c>
      <c r="AA773" t="s">
        <v>3406</v>
      </c>
      <c r="AB773" t="s">
        <v>3419</v>
      </c>
      <c r="AC773">
        <f>HYPERLINK("https://lsnyc.legalserver.org/matter/dynamic-profile/view/1895807","19-1895807")</f>
        <v>0</v>
      </c>
      <c r="AD773" t="s">
        <v>3445</v>
      </c>
      <c r="AE773" t="s">
        <v>3452</v>
      </c>
      <c r="AF773" t="s">
        <v>3932</v>
      </c>
      <c r="AG773" t="s">
        <v>3362</v>
      </c>
      <c r="AH773" t="s">
        <v>4904</v>
      </c>
      <c r="AK773" t="s">
        <v>4911</v>
      </c>
      <c r="AL773" t="s">
        <v>2123</v>
      </c>
      <c r="AN773" t="s">
        <v>3419</v>
      </c>
      <c r="AO773" t="s">
        <v>3352</v>
      </c>
    </row>
    <row r="774" spans="1:41">
      <c r="A774" s="1" t="s">
        <v>810</v>
      </c>
      <c r="B774" t="s">
        <v>2001</v>
      </c>
      <c r="C774" t="s">
        <v>2021</v>
      </c>
      <c r="D774" t="s">
        <v>2079</v>
      </c>
      <c r="E774" t="s">
        <v>2111</v>
      </c>
      <c r="F774" t="s">
        <v>2117</v>
      </c>
      <c r="G774" t="s">
        <v>2211</v>
      </c>
      <c r="H774">
        <v>10033</v>
      </c>
      <c r="I774" t="s">
        <v>2229</v>
      </c>
      <c r="J774">
        <v>1</v>
      </c>
      <c r="K774">
        <v>0</v>
      </c>
      <c r="L774" t="s">
        <v>2452</v>
      </c>
      <c r="M774" t="s">
        <v>2677</v>
      </c>
      <c r="P774" t="s">
        <v>2770</v>
      </c>
      <c r="Q774" t="s">
        <v>2113</v>
      </c>
      <c r="R774" t="s">
        <v>3259</v>
      </c>
      <c r="S774" t="s">
        <v>3270</v>
      </c>
      <c r="V774" t="s">
        <v>3352</v>
      </c>
      <c r="X774" t="s">
        <v>3354</v>
      </c>
      <c r="Y774" t="s">
        <v>2678</v>
      </c>
      <c r="Z774" t="s">
        <v>3357</v>
      </c>
      <c r="AA774" t="s">
        <v>3406</v>
      </c>
      <c r="AB774" t="s">
        <v>3418</v>
      </c>
      <c r="AC774">
        <f>HYPERLINK("https://lsnyc.legalserver.org/matter/dynamic-profile/view/1895812","19-1895812")</f>
        <v>0</v>
      </c>
      <c r="AD774" t="s">
        <v>3444</v>
      </c>
      <c r="AE774" t="s">
        <v>3468</v>
      </c>
      <c r="AF774" t="s">
        <v>4095</v>
      </c>
      <c r="AG774" t="s">
        <v>3357</v>
      </c>
      <c r="AH774" t="s">
        <v>4904</v>
      </c>
      <c r="AL774" t="s">
        <v>2117</v>
      </c>
      <c r="AN774" t="s">
        <v>3418</v>
      </c>
      <c r="AO774" t="s">
        <v>3352</v>
      </c>
    </row>
    <row r="775" spans="1:41">
      <c r="A775" s="1" t="s">
        <v>811</v>
      </c>
      <c r="B775" t="s">
        <v>2000</v>
      </c>
      <c r="C775" t="s">
        <v>2005</v>
      </c>
      <c r="D775" t="s">
        <v>2057</v>
      </c>
      <c r="E775" t="s">
        <v>2112</v>
      </c>
      <c r="F775" t="s">
        <v>2129</v>
      </c>
      <c r="G775" t="s">
        <v>2211</v>
      </c>
      <c r="H775">
        <v>10025</v>
      </c>
      <c r="I775" t="s">
        <v>2232</v>
      </c>
      <c r="J775">
        <v>2</v>
      </c>
      <c r="K775">
        <v>0</v>
      </c>
      <c r="L775" t="s">
        <v>2260</v>
      </c>
      <c r="M775" t="s">
        <v>2677</v>
      </c>
      <c r="P775" t="s">
        <v>2863</v>
      </c>
      <c r="Q775" t="s">
        <v>2113</v>
      </c>
      <c r="R775" t="s">
        <v>3259</v>
      </c>
      <c r="S775" t="s">
        <v>3268</v>
      </c>
      <c r="T775" t="s">
        <v>3294</v>
      </c>
      <c r="U775" t="s">
        <v>2795</v>
      </c>
      <c r="X775" t="s">
        <v>3354</v>
      </c>
      <c r="Y775" t="s">
        <v>2677</v>
      </c>
      <c r="Z775" t="s">
        <v>3368</v>
      </c>
      <c r="AA775" t="s">
        <v>3406</v>
      </c>
      <c r="AB775" t="s">
        <v>3416</v>
      </c>
      <c r="AC775">
        <f>HYPERLINK("https://lsnyc.legalserver.org/matter/dynamic-profile/view/1895814","19-1895814")</f>
        <v>0</v>
      </c>
      <c r="AD775" t="s">
        <v>3445</v>
      </c>
      <c r="AE775" t="s">
        <v>3452</v>
      </c>
      <c r="AF775" t="s">
        <v>4125</v>
      </c>
      <c r="AG775" t="s">
        <v>3368</v>
      </c>
      <c r="AH775" t="s">
        <v>4904</v>
      </c>
      <c r="AK775" t="s">
        <v>4911</v>
      </c>
      <c r="AL775" t="s">
        <v>2129</v>
      </c>
      <c r="AM775" t="s">
        <v>3294</v>
      </c>
      <c r="AN775" t="s">
        <v>3416</v>
      </c>
    </row>
    <row r="776" spans="1:41">
      <c r="A776" s="1" t="s">
        <v>812</v>
      </c>
      <c r="B776" t="s">
        <v>1998</v>
      </c>
      <c r="C776" t="s">
        <v>1998</v>
      </c>
      <c r="D776" t="s">
        <v>2078</v>
      </c>
      <c r="E776" t="s">
        <v>2112</v>
      </c>
      <c r="F776" t="s">
        <v>2129</v>
      </c>
      <c r="G776" t="s">
        <v>2211</v>
      </c>
      <c r="H776">
        <v>10025</v>
      </c>
      <c r="I776" t="s">
        <v>2230</v>
      </c>
      <c r="J776">
        <v>2</v>
      </c>
      <c r="K776">
        <v>0</v>
      </c>
      <c r="L776" t="s">
        <v>2260</v>
      </c>
      <c r="M776" t="s">
        <v>2677</v>
      </c>
      <c r="P776" t="s">
        <v>2778</v>
      </c>
      <c r="Q776" t="s">
        <v>2113</v>
      </c>
      <c r="R776" t="s">
        <v>3259</v>
      </c>
      <c r="S776" t="s">
        <v>3268</v>
      </c>
      <c r="T776" t="s">
        <v>3294</v>
      </c>
      <c r="U776" t="s">
        <v>2795</v>
      </c>
      <c r="X776" t="s">
        <v>3354</v>
      </c>
      <c r="Y776" t="s">
        <v>2677</v>
      </c>
      <c r="Z776" t="s">
        <v>3368</v>
      </c>
      <c r="AA776" t="s">
        <v>3406</v>
      </c>
      <c r="AB776" t="s">
        <v>3416</v>
      </c>
      <c r="AC776">
        <f>HYPERLINK("https://lsnyc.legalserver.org/matter/dynamic-profile/view/1895815","19-1895815")</f>
        <v>0</v>
      </c>
      <c r="AD776" t="s">
        <v>3445</v>
      </c>
      <c r="AE776" t="s">
        <v>3452</v>
      </c>
      <c r="AF776" t="s">
        <v>4126</v>
      </c>
      <c r="AG776" t="s">
        <v>3368</v>
      </c>
      <c r="AH776" t="s">
        <v>4904</v>
      </c>
      <c r="AL776" t="s">
        <v>2129</v>
      </c>
      <c r="AM776" t="s">
        <v>3294</v>
      </c>
      <c r="AN776" t="s">
        <v>3416</v>
      </c>
    </row>
    <row r="777" spans="1:41">
      <c r="A777" s="1" t="s">
        <v>813</v>
      </c>
      <c r="B777" t="s">
        <v>2016</v>
      </c>
      <c r="C777" t="s">
        <v>1998</v>
      </c>
      <c r="D777" t="s">
        <v>2076</v>
      </c>
      <c r="E777" t="s">
        <v>2112</v>
      </c>
      <c r="F777" t="s">
        <v>2115</v>
      </c>
      <c r="G777" t="s">
        <v>2214</v>
      </c>
      <c r="H777">
        <v>11232</v>
      </c>
      <c r="I777" t="s">
        <v>2229</v>
      </c>
      <c r="J777">
        <v>4</v>
      </c>
      <c r="K777">
        <v>2</v>
      </c>
      <c r="L777" t="s">
        <v>2281</v>
      </c>
      <c r="M777" t="s">
        <v>2677</v>
      </c>
      <c r="P777" t="s">
        <v>2864</v>
      </c>
      <c r="Q777" t="s">
        <v>2113</v>
      </c>
      <c r="R777" t="s">
        <v>3261</v>
      </c>
      <c r="S777" t="s">
        <v>3283</v>
      </c>
      <c r="T777" t="s">
        <v>3295</v>
      </c>
      <c r="X777" t="s">
        <v>3354</v>
      </c>
      <c r="Y777" t="s">
        <v>2678</v>
      </c>
      <c r="Z777" t="s">
        <v>3380</v>
      </c>
      <c r="AA777" t="s">
        <v>3408</v>
      </c>
      <c r="AB777" t="s">
        <v>3431</v>
      </c>
      <c r="AC777">
        <f>HYPERLINK("https://lsnyc.legalserver.org/matter/dynamic-profile/view/1895509","19-1895509")</f>
        <v>0</v>
      </c>
      <c r="AD777" t="s">
        <v>3446</v>
      </c>
      <c r="AE777" t="s">
        <v>3481</v>
      </c>
      <c r="AF777" t="s">
        <v>4127</v>
      </c>
      <c r="AG777" t="s">
        <v>3380</v>
      </c>
      <c r="AH777" t="s">
        <v>3408</v>
      </c>
      <c r="AK777" t="s">
        <v>4911</v>
      </c>
      <c r="AL777" t="s">
        <v>2115</v>
      </c>
      <c r="AM777" t="s">
        <v>3295</v>
      </c>
      <c r="AN777" t="s">
        <v>3431</v>
      </c>
    </row>
    <row r="778" spans="1:41">
      <c r="A778" s="1" t="s">
        <v>814</v>
      </c>
      <c r="B778" t="s">
        <v>2001</v>
      </c>
      <c r="C778" t="s">
        <v>2016</v>
      </c>
      <c r="D778" t="s">
        <v>2036</v>
      </c>
      <c r="E778" t="s">
        <v>2111</v>
      </c>
      <c r="F778" t="s">
        <v>2115</v>
      </c>
      <c r="G778" t="s">
        <v>2214</v>
      </c>
      <c r="H778">
        <v>11204</v>
      </c>
      <c r="I778" t="s">
        <v>2229</v>
      </c>
      <c r="J778">
        <v>3</v>
      </c>
      <c r="K778">
        <v>2</v>
      </c>
      <c r="L778" t="s">
        <v>2272</v>
      </c>
      <c r="M778" t="s">
        <v>2677</v>
      </c>
      <c r="P778" t="s">
        <v>2864</v>
      </c>
      <c r="Q778" t="s">
        <v>2113</v>
      </c>
      <c r="R778" t="s">
        <v>3259</v>
      </c>
      <c r="S778" t="s">
        <v>3267</v>
      </c>
      <c r="X778" t="s">
        <v>3354</v>
      </c>
      <c r="Y778" t="s">
        <v>2677</v>
      </c>
      <c r="Z778" t="s">
        <v>3359</v>
      </c>
      <c r="AA778" t="s">
        <v>3406</v>
      </c>
      <c r="AB778" t="s">
        <v>3415</v>
      </c>
      <c r="AC778">
        <f>HYPERLINK("https://lsnyc.legalserver.org/matter/dynamic-profile/view/1895587","19-1895587")</f>
        <v>0</v>
      </c>
      <c r="AD778" t="s">
        <v>3445</v>
      </c>
      <c r="AE778" t="s">
        <v>3455</v>
      </c>
      <c r="AF778" t="s">
        <v>3904</v>
      </c>
      <c r="AG778" t="s">
        <v>3359</v>
      </c>
      <c r="AH778" t="s">
        <v>4906</v>
      </c>
      <c r="AK778" t="s">
        <v>4911</v>
      </c>
      <c r="AL778" t="s">
        <v>2115</v>
      </c>
      <c r="AN778" t="s">
        <v>3415</v>
      </c>
    </row>
    <row r="779" spans="1:41">
      <c r="A779" s="1" t="s">
        <v>815</v>
      </c>
      <c r="B779" t="s">
        <v>2001</v>
      </c>
      <c r="C779" t="s">
        <v>1998</v>
      </c>
      <c r="D779" t="s">
        <v>2037</v>
      </c>
      <c r="E779" t="s">
        <v>2111</v>
      </c>
      <c r="F779" t="s">
        <v>2115</v>
      </c>
      <c r="G779" t="s">
        <v>2214</v>
      </c>
      <c r="H779">
        <v>11204</v>
      </c>
      <c r="I779" t="s">
        <v>2229</v>
      </c>
      <c r="J779">
        <v>3</v>
      </c>
      <c r="K779">
        <v>2</v>
      </c>
      <c r="L779" t="s">
        <v>2272</v>
      </c>
      <c r="M779" t="s">
        <v>2677</v>
      </c>
      <c r="P779" t="s">
        <v>2864</v>
      </c>
      <c r="Q779" t="s">
        <v>2113</v>
      </c>
      <c r="R779" t="s">
        <v>3259</v>
      </c>
      <c r="S779" t="s">
        <v>3267</v>
      </c>
      <c r="X779" t="s">
        <v>3354</v>
      </c>
      <c r="Y779" t="s">
        <v>2677</v>
      </c>
      <c r="Z779" t="s">
        <v>3359</v>
      </c>
      <c r="AA779" t="s">
        <v>3406</v>
      </c>
      <c r="AB779" t="s">
        <v>3415</v>
      </c>
      <c r="AC779">
        <f>HYPERLINK("https://lsnyc.legalserver.org/matter/dynamic-profile/view/1895655","19-1895655")</f>
        <v>0</v>
      </c>
      <c r="AD779" t="s">
        <v>3445</v>
      </c>
      <c r="AE779" t="s">
        <v>3455</v>
      </c>
      <c r="AF779" t="s">
        <v>3919</v>
      </c>
      <c r="AG779" t="s">
        <v>3359</v>
      </c>
      <c r="AH779" t="s">
        <v>4906</v>
      </c>
      <c r="AK779" t="s">
        <v>4911</v>
      </c>
      <c r="AL779" t="s">
        <v>2115</v>
      </c>
      <c r="AN779" t="s">
        <v>3415</v>
      </c>
    </row>
    <row r="780" spans="1:41">
      <c r="A780" s="1" t="s">
        <v>816</v>
      </c>
      <c r="B780" t="s">
        <v>2002</v>
      </c>
      <c r="C780" t="s">
        <v>2001</v>
      </c>
      <c r="D780" t="s">
        <v>2047</v>
      </c>
      <c r="E780" t="s">
        <v>2112</v>
      </c>
      <c r="F780" t="s">
        <v>2131</v>
      </c>
      <c r="G780" t="s">
        <v>2213</v>
      </c>
      <c r="H780">
        <v>10463</v>
      </c>
      <c r="I780" t="s">
        <v>2229</v>
      </c>
      <c r="J780">
        <v>5</v>
      </c>
      <c r="K780">
        <v>2</v>
      </c>
      <c r="L780" t="s">
        <v>2256</v>
      </c>
      <c r="M780" t="s">
        <v>2677</v>
      </c>
      <c r="P780" t="s">
        <v>2864</v>
      </c>
      <c r="Q780" t="s">
        <v>2113</v>
      </c>
      <c r="R780" t="s">
        <v>3259</v>
      </c>
      <c r="S780" t="s">
        <v>3268</v>
      </c>
      <c r="T780" t="s">
        <v>3301</v>
      </c>
      <c r="U780" t="s">
        <v>2770</v>
      </c>
      <c r="V780" t="s">
        <v>3352</v>
      </c>
      <c r="X780" t="s">
        <v>3354</v>
      </c>
      <c r="Y780" t="s">
        <v>2678</v>
      </c>
      <c r="Z780" t="s">
        <v>3368</v>
      </c>
      <c r="AA780" t="s">
        <v>3406</v>
      </c>
      <c r="AB780" t="s">
        <v>3416</v>
      </c>
      <c r="AC780">
        <f>HYPERLINK("https://lsnyc.legalserver.org/matter/dynamic-profile/view/1895659","19-1895659")</f>
        <v>0</v>
      </c>
      <c r="AD780" t="s">
        <v>3444</v>
      </c>
      <c r="AE780" t="s">
        <v>3468</v>
      </c>
      <c r="AF780" t="s">
        <v>3581</v>
      </c>
      <c r="AG780" t="s">
        <v>3368</v>
      </c>
      <c r="AH780" t="s">
        <v>4904</v>
      </c>
      <c r="AI780" t="s">
        <v>4909</v>
      </c>
      <c r="AK780" t="s">
        <v>4911</v>
      </c>
      <c r="AL780" t="s">
        <v>2131</v>
      </c>
      <c r="AM780" t="s">
        <v>3301</v>
      </c>
      <c r="AN780" t="s">
        <v>3416</v>
      </c>
      <c r="AO780" t="s">
        <v>3352</v>
      </c>
    </row>
    <row r="781" spans="1:41">
      <c r="A781" s="1" t="s">
        <v>817</v>
      </c>
      <c r="B781" t="s">
        <v>1998</v>
      </c>
      <c r="C781" t="s">
        <v>2004</v>
      </c>
      <c r="D781" t="s">
        <v>2038</v>
      </c>
      <c r="E781" t="s">
        <v>2112</v>
      </c>
      <c r="F781" t="s">
        <v>2131</v>
      </c>
      <c r="G781" t="s">
        <v>2213</v>
      </c>
      <c r="H781">
        <v>10463</v>
      </c>
      <c r="I781" t="s">
        <v>2229</v>
      </c>
      <c r="J781">
        <v>5</v>
      </c>
      <c r="K781">
        <v>2</v>
      </c>
      <c r="L781" t="s">
        <v>2256</v>
      </c>
      <c r="M781" t="s">
        <v>2677</v>
      </c>
      <c r="P781" t="s">
        <v>2864</v>
      </c>
      <c r="Q781" t="s">
        <v>2113</v>
      </c>
      <c r="R781" t="s">
        <v>3259</v>
      </c>
      <c r="S781" t="s">
        <v>3268</v>
      </c>
      <c r="T781" t="s">
        <v>3298</v>
      </c>
      <c r="U781" t="s">
        <v>2794</v>
      </c>
      <c r="V781" t="s">
        <v>3352</v>
      </c>
      <c r="X781" t="s">
        <v>3354</v>
      </c>
      <c r="Y781" t="s">
        <v>2678</v>
      </c>
      <c r="Z781" t="s">
        <v>3368</v>
      </c>
      <c r="AA781" t="s">
        <v>3406</v>
      </c>
      <c r="AB781" t="s">
        <v>3416</v>
      </c>
      <c r="AC781">
        <f>HYPERLINK("https://lsnyc.legalserver.org/matter/dynamic-profile/view/1895662","19-1895662")</f>
        <v>0</v>
      </c>
      <c r="AD781" t="s">
        <v>3444</v>
      </c>
      <c r="AE781" t="s">
        <v>3468</v>
      </c>
      <c r="AF781" t="s">
        <v>4128</v>
      </c>
      <c r="AG781" t="s">
        <v>3368</v>
      </c>
      <c r="AH781" t="s">
        <v>4904</v>
      </c>
      <c r="AI781" t="s">
        <v>4909</v>
      </c>
      <c r="AK781" t="s">
        <v>4911</v>
      </c>
      <c r="AL781" t="s">
        <v>2131</v>
      </c>
      <c r="AM781" t="s">
        <v>3298</v>
      </c>
      <c r="AN781" t="s">
        <v>3416</v>
      </c>
      <c r="AO781" t="s">
        <v>3352</v>
      </c>
    </row>
    <row r="782" spans="1:41">
      <c r="A782" s="1" t="s">
        <v>818</v>
      </c>
      <c r="B782" t="s">
        <v>1998</v>
      </c>
      <c r="C782" t="s">
        <v>2016</v>
      </c>
      <c r="D782" t="s">
        <v>2040</v>
      </c>
      <c r="E782" t="s">
        <v>2112</v>
      </c>
      <c r="F782" t="s">
        <v>2117</v>
      </c>
      <c r="G782" t="s">
        <v>2211</v>
      </c>
      <c r="H782">
        <v>10457</v>
      </c>
      <c r="I782" t="s">
        <v>2229</v>
      </c>
      <c r="J782">
        <v>1</v>
      </c>
      <c r="K782">
        <v>0</v>
      </c>
      <c r="L782" t="s">
        <v>2288</v>
      </c>
      <c r="M782" t="s">
        <v>2677</v>
      </c>
      <c r="P782" t="s">
        <v>2864</v>
      </c>
      <c r="Q782" t="s">
        <v>3255</v>
      </c>
      <c r="R782" t="s">
        <v>3259</v>
      </c>
      <c r="S782" t="s">
        <v>3267</v>
      </c>
      <c r="X782" t="s">
        <v>3354</v>
      </c>
      <c r="Y782" t="s">
        <v>2677</v>
      </c>
      <c r="Z782" t="s">
        <v>3380</v>
      </c>
      <c r="AA782" t="s">
        <v>3406</v>
      </c>
      <c r="AB782" t="s">
        <v>3415</v>
      </c>
      <c r="AC782">
        <f>HYPERLINK("https://lsnyc.legalserver.org/matter/dynamic-profile/view/1895706","19-1895706")</f>
        <v>0</v>
      </c>
      <c r="AD782" t="s">
        <v>3445</v>
      </c>
      <c r="AE782" t="s">
        <v>3455</v>
      </c>
      <c r="AF782" t="s">
        <v>3905</v>
      </c>
      <c r="AG782" t="s">
        <v>3380</v>
      </c>
      <c r="AH782" t="s">
        <v>4906</v>
      </c>
      <c r="AK782" t="s">
        <v>4911</v>
      </c>
      <c r="AL782" t="s">
        <v>2117</v>
      </c>
      <c r="AN782" t="s">
        <v>3415</v>
      </c>
    </row>
    <row r="783" spans="1:41">
      <c r="A783" s="1" t="s">
        <v>819</v>
      </c>
      <c r="B783" t="s">
        <v>2004</v>
      </c>
      <c r="C783" t="s">
        <v>2012</v>
      </c>
      <c r="D783" t="s">
        <v>2092</v>
      </c>
      <c r="E783" t="s">
        <v>2112</v>
      </c>
      <c r="F783" t="s">
        <v>2122</v>
      </c>
      <c r="G783" t="s">
        <v>2213</v>
      </c>
      <c r="H783">
        <v>10452</v>
      </c>
      <c r="I783" t="s">
        <v>2230</v>
      </c>
      <c r="J783">
        <v>2</v>
      </c>
      <c r="K783">
        <v>0</v>
      </c>
      <c r="L783" t="s">
        <v>2457</v>
      </c>
      <c r="M783" t="s">
        <v>2677</v>
      </c>
      <c r="P783" t="s">
        <v>2865</v>
      </c>
      <c r="Q783" t="s">
        <v>2113</v>
      </c>
      <c r="R783" t="s">
        <v>3258</v>
      </c>
      <c r="S783" t="s">
        <v>3292</v>
      </c>
      <c r="X783" t="s">
        <v>3354</v>
      </c>
      <c r="Y783" t="s">
        <v>2677</v>
      </c>
      <c r="Z783" t="s">
        <v>3399</v>
      </c>
      <c r="AA783" t="s">
        <v>3406</v>
      </c>
      <c r="AB783" t="s">
        <v>3440</v>
      </c>
      <c r="AC783">
        <f>HYPERLINK("https://lsnyc.legalserver.org/matter/dynamic-profile/view/1890655","19-1890655")</f>
        <v>0</v>
      </c>
      <c r="AD783" t="s">
        <v>3444</v>
      </c>
      <c r="AE783" t="s">
        <v>3488</v>
      </c>
      <c r="AF783" t="s">
        <v>4129</v>
      </c>
      <c r="AG783" t="s">
        <v>3399</v>
      </c>
      <c r="AH783" t="s">
        <v>4904</v>
      </c>
      <c r="AK783" t="s">
        <v>4911</v>
      </c>
      <c r="AL783" t="s">
        <v>2122</v>
      </c>
      <c r="AN783" t="s">
        <v>3440</v>
      </c>
    </row>
    <row r="784" spans="1:41">
      <c r="A784" s="1" t="s">
        <v>820</v>
      </c>
      <c r="B784" t="s">
        <v>1998</v>
      </c>
      <c r="C784" t="s">
        <v>2004</v>
      </c>
      <c r="D784" t="s">
        <v>2075</v>
      </c>
      <c r="E784" t="s">
        <v>2111</v>
      </c>
      <c r="F784" t="s">
        <v>2117</v>
      </c>
      <c r="G784" t="s">
        <v>2211</v>
      </c>
      <c r="H784">
        <v>10026</v>
      </c>
      <c r="I784" t="s">
        <v>2229</v>
      </c>
      <c r="J784">
        <v>2</v>
      </c>
      <c r="K784">
        <v>1</v>
      </c>
      <c r="L784" t="s">
        <v>2260</v>
      </c>
      <c r="M784" t="s">
        <v>2677</v>
      </c>
      <c r="P784" t="s">
        <v>2865</v>
      </c>
      <c r="Q784" t="s">
        <v>2113</v>
      </c>
      <c r="R784" t="s">
        <v>3259</v>
      </c>
      <c r="S784" t="s">
        <v>3267</v>
      </c>
      <c r="X784" t="s">
        <v>3354</v>
      </c>
      <c r="Y784" t="s">
        <v>2678</v>
      </c>
      <c r="Z784" t="s">
        <v>3359</v>
      </c>
      <c r="AA784" t="s">
        <v>3406</v>
      </c>
      <c r="AB784" t="s">
        <v>3415</v>
      </c>
      <c r="AC784">
        <f>HYPERLINK("https://lsnyc.legalserver.org/matter/dynamic-profile/view/1895426","19-1895426")</f>
        <v>0</v>
      </c>
      <c r="AD784" t="s">
        <v>3442</v>
      </c>
      <c r="AE784" t="s">
        <v>3480</v>
      </c>
      <c r="AF784" t="s">
        <v>4051</v>
      </c>
      <c r="AG784" t="s">
        <v>3359</v>
      </c>
      <c r="AH784" t="s">
        <v>4906</v>
      </c>
      <c r="AK784" t="s">
        <v>4911</v>
      </c>
      <c r="AL784" t="s">
        <v>2117</v>
      </c>
      <c r="AN784" t="s">
        <v>3415</v>
      </c>
    </row>
    <row r="785" spans="1:41">
      <c r="A785" s="1" t="s">
        <v>821</v>
      </c>
      <c r="B785" t="s">
        <v>2004</v>
      </c>
      <c r="C785" t="s">
        <v>1998</v>
      </c>
      <c r="D785" t="s">
        <v>2080</v>
      </c>
      <c r="E785" t="s">
        <v>2111</v>
      </c>
      <c r="F785" t="s">
        <v>2144</v>
      </c>
      <c r="G785" t="s">
        <v>2214</v>
      </c>
      <c r="H785">
        <v>11208</v>
      </c>
      <c r="I785" t="s">
        <v>2230</v>
      </c>
      <c r="J785">
        <v>2</v>
      </c>
      <c r="K785">
        <v>0</v>
      </c>
      <c r="L785" t="s">
        <v>2260</v>
      </c>
      <c r="M785" t="s">
        <v>2677</v>
      </c>
      <c r="P785" t="s">
        <v>2865</v>
      </c>
      <c r="Q785" t="s">
        <v>2113</v>
      </c>
      <c r="R785" t="s">
        <v>3259</v>
      </c>
      <c r="S785" t="s">
        <v>3268</v>
      </c>
      <c r="X785" t="s">
        <v>3354</v>
      </c>
      <c r="Y785" t="s">
        <v>2677</v>
      </c>
      <c r="Z785" t="s">
        <v>3368</v>
      </c>
      <c r="AA785" t="s">
        <v>3406</v>
      </c>
      <c r="AB785" t="s">
        <v>3416</v>
      </c>
      <c r="AC785">
        <f>HYPERLINK("https://lsnyc.legalserver.org/matter/dynamic-profile/view/1895454","19-1895454")</f>
        <v>0</v>
      </c>
      <c r="AD785" t="s">
        <v>3445</v>
      </c>
      <c r="AE785" t="s">
        <v>3455</v>
      </c>
      <c r="AF785" t="s">
        <v>4130</v>
      </c>
      <c r="AG785" t="s">
        <v>3368</v>
      </c>
      <c r="AH785" t="s">
        <v>4904</v>
      </c>
      <c r="AK785" t="s">
        <v>4911</v>
      </c>
      <c r="AL785" t="s">
        <v>2144</v>
      </c>
      <c r="AN785" t="s">
        <v>3416</v>
      </c>
    </row>
    <row r="786" spans="1:41">
      <c r="A786" s="1" t="s">
        <v>822</v>
      </c>
      <c r="B786" t="s">
        <v>2001</v>
      </c>
      <c r="C786" t="s">
        <v>2001</v>
      </c>
      <c r="D786" t="s">
        <v>2038</v>
      </c>
      <c r="E786" t="s">
        <v>2112</v>
      </c>
      <c r="G786" t="s">
        <v>2213</v>
      </c>
      <c r="H786">
        <v>10451</v>
      </c>
      <c r="I786" t="s">
        <v>2229</v>
      </c>
      <c r="J786">
        <v>3</v>
      </c>
      <c r="K786">
        <v>2</v>
      </c>
      <c r="L786" t="s">
        <v>2260</v>
      </c>
      <c r="M786" t="s">
        <v>2677</v>
      </c>
      <c r="P786" t="s">
        <v>2865</v>
      </c>
      <c r="Q786" t="s">
        <v>3255</v>
      </c>
      <c r="R786" t="s">
        <v>3259</v>
      </c>
      <c r="S786" t="s">
        <v>3268</v>
      </c>
      <c r="X786" t="s">
        <v>3354</v>
      </c>
      <c r="Y786" t="s">
        <v>2678</v>
      </c>
      <c r="Z786" t="s">
        <v>3368</v>
      </c>
      <c r="AA786" t="s">
        <v>3406</v>
      </c>
      <c r="AB786" t="s">
        <v>3416</v>
      </c>
      <c r="AC786">
        <f>HYPERLINK("https://lsnyc.legalserver.org/matter/dynamic-profile/view/1895478","19-1895478")</f>
        <v>0</v>
      </c>
      <c r="AD786" t="s">
        <v>3444</v>
      </c>
      <c r="AE786" t="s">
        <v>3464</v>
      </c>
      <c r="AF786" t="s">
        <v>4131</v>
      </c>
      <c r="AG786" t="s">
        <v>3368</v>
      </c>
      <c r="AH786" t="s">
        <v>4906</v>
      </c>
      <c r="AN786" t="s">
        <v>3416</v>
      </c>
    </row>
    <row r="787" spans="1:41">
      <c r="A787" s="1" t="s">
        <v>823</v>
      </c>
      <c r="B787" t="s">
        <v>2001</v>
      </c>
      <c r="C787" t="s">
        <v>1998</v>
      </c>
      <c r="D787" t="s">
        <v>2040</v>
      </c>
      <c r="E787" t="s">
        <v>2111</v>
      </c>
      <c r="F787" t="s">
        <v>2117</v>
      </c>
      <c r="G787" t="s">
        <v>2211</v>
      </c>
      <c r="H787">
        <v>10025</v>
      </c>
      <c r="I787" t="s">
        <v>2229</v>
      </c>
      <c r="J787">
        <v>3</v>
      </c>
      <c r="K787">
        <v>1</v>
      </c>
      <c r="L787" t="s">
        <v>2260</v>
      </c>
      <c r="M787" t="s">
        <v>2677</v>
      </c>
      <c r="P787" t="s">
        <v>2781</v>
      </c>
      <c r="Q787" t="s">
        <v>2113</v>
      </c>
      <c r="R787" t="s">
        <v>3259</v>
      </c>
      <c r="S787" t="s">
        <v>3267</v>
      </c>
      <c r="X787" t="s">
        <v>3354</v>
      </c>
      <c r="Y787" t="s">
        <v>2678</v>
      </c>
      <c r="Z787" t="s">
        <v>3359</v>
      </c>
      <c r="AA787" t="s">
        <v>3406</v>
      </c>
      <c r="AB787" t="s">
        <v>3415</v>
      </c>
      <c r="AC787">
        <f>HYPERLINK("https://lsnyc.legalserver.org/matter/dynamic-profile/view/1895544","19-1895544")</f>
        <v>0</v>
      </c>
      <c r="AD787" t="s">
        <v>3442</v>
      </c>
      <c r="AE787" t="s">
        <v>3470</v>
      </c>
      <c r="AF787" t="s">
        <v>4067</v>
      </c>
      <c r="AG787" t="s">
        <v>3359</v>
      </c>
      <c r="AH787" t="s">
        <v>4906</v>
      </c>
      <c r="AL787" t="s">
        <v>2117</v>
      </c>
      <c r="AN787" t="s">
        <v>3415</v>
      </c>
    </row>
    <row r="788" spans="1:41">
      <c r="A788" s="1" t="s">
        <v>824</v>
      </c>
      <c r="B788" t="s">
        <v>1998</v>
      </c>
      <c r="C788" t="s">
        <v>2016</v>
      </c>
      <c r="D788" t="s">
        <v>2086</v>
      </c>
      <c r="E788" t="s">
        <v>2112</v>
      </c>
      <c r="F788" t="s">
        <v>2148</v>
      </c>
      <c r="G788" t="s">
        <v>2211</v>
      </c>
      <c r="H788">
        <v>10035</v>
      </c>
      <c r="I788" t="s">
        <v>2234</v>
      </c>
      <c r="J788">
        <v>1</v>
      </c>
      <c r="K788">
        <v>0</v>
      </c>
      <c r="L788" t="s">
        <v>2260</v>
      </c>
      <c r="M788" t="s">
        <v>2677</v>
      </c>
      <c r="P788" t="s">
        <v>2866</v>
      </c>
      <c r="Q788" t="s">
        <v>2113</v>
      </c>
      <c r="R788" t="s">
        <v>3259</v>
      </c>
      <c r="S788" t="s">
        <v>3264</v>
      </c>
      <c r="X788" t="s">
        <v>3354</v>
      </c>
      <c r="Y788" t="s">
        <v>2677</v>
      </c>
      <c r="Z788" t="s">
        <v>3357</v>
      </c>
      <c r="AA788" t="s">
        <v>3406</v>
      </c>
      <c r="AB788" t="s">
        <v>3412</v>
      </c>
      <c r="AC788">
        <f>HYPERLINK("https://lsnyc.legalserver.org/matter/dynamic-profile/view/1895207","19-1895207")</f>
        <v>0</v>
      </c>
      <c r="AD788" t="s">
        <v>3445</v>
      </c>
      <c r="AE788" t="s">
        <v>3452</v>
      </c>
      <c r="AF788" t="s">
        <v>4132</v>
      </c>
      <c r="AG788" t="s">
        <v>3357</v>
      </c>
      <c r="AH788" t="s">
        <v>4904</v>
      </c>
      <c r="AK788" t="s">
        <v>4911</v>
      </c>
      <c r="AL788" t="s">
        <v>2148</v>
      </c>
      <c r="AN788" t="s">
        <v>3412</v>
      </c>
    </row>
    <row r="789" spans="1:41">
      <c r="A789" s="1" t="s">
        <v>825</v>
      </c>
      <c r="B789" t="s">
        <v>2016</v>
      </c>
      <c r="C789" t="s">
        <v>2016</v>
      </c>
      <c r="D789" t="s">
        <v>2038</v>
      </c>
      <c r="E789" t="s">
        <v>2112</v>
      </c>
      <c r="F789" t="s">
        <v>2117</v>
      </c>
      <c r="G789" t="s">
        <v>2213</v>
      </c>
      <c r="H789">
        <v>10451</v>
      </c>
      <c r="I789" t="s">
        <v>2229</v>
      </c>
      <c r="J789">
        <v>3</v>
      </c>
      <c r="K789">
        <v>2</v>
      </c>
      <c r="L789" t="s">
        <v>2361</v>
      </c>
      <c r="M789" t="s">
        <v>2677</v>
      </c>
      <c r="P789" t="s">
        <v>2866</v>
      </c>
      <c r="Q789" t="s">
        <v>3255</v>
      </c>
      <c r="R789" t="s">
        <v>3259</v>
      </c>
      <c r="S789" t="s">
        <v>3288</v>
      </c>
      <c r="X789" t="s">
        <v>3354</v>
      </c>
      <c r="Y789" t="s">
        <v>2678</v>
      </c>
      <c r="Z789" t="s">
        <v>3389</v>
      </c>
      <c r="AA789" t="s">
        <v>3406</v>
      </c>
      <c r="AB789" t="s">
        <v>3436</v>
      </c>
      <c r="AC789">
        <f>HYPERLINK("https://lsnyc.legalserver.org/matter/dynamic-profile/view/1895269","19-1895269")</f>
        <v>0</v>
      </c>
      <c r="AD789" t="s">
        <v>3444</v>
      </c>
      <c r="AE789" t="s">
        <v>3464</v>
      </c>
      <c r="AF789" t="s">
        <v>4133</v>
      </c>
      <c r="AG789" t="s">
        <v>3389</v>
      </c>
      <c r="AH789" t="s">
        <v>4905</v>
      </c>
      <c r="AK789" t="s">
        <v>4911</v>
      </c>
      <c r="AL789" t="s">
        <v>2117</v>
      </c>
      <c r="AN789" t="s">
        <v>3436</v>
      </c>
    </row>
    <row r="790" spans="1:41">
      <c r="A790" s="1" t="s">
        <v>826</v>
      </c>
      <c r="B790" t="s">
        <v>2012</v>
      </c>
      <c r="C790" t="s">
        <v>2001</v>
      </c>
      <c r="D790" t="s">
        <v>2094</v>
      </c>
      <c r="E790" t="s">
        <v>2112</v>
      </c>
      <c r="F790" t="s">
        <v>2117</v>
      </c>
      <c r="G790" t="s">
        <v>2213</v>
      </c>
      <c r="H790">
        <v>10451</v>
      </c>
      <c r="J790">
        <v>4</v>
      </c>
      <c r="K790">
        <v>2</v>
      </c>
      <c r="L790" t="s">
        <v>2333</v>
      </c>
      <c r="M790" t="s">
        <v>2677</v>
      </c>
      <c r="P790" t="s">
        <v>2866</v>
      </c>
      <c r="Q790" t="s">
        <v>3255</v>
      </c>
      <c r="R790" t="s">
        <v>3258</v>
      </c>
      <c r="S790" t="s">
        <v>3262</v>
      </c>
      <c r="X790" t="s">
        <v>3354</v>
      </c>
      <c r="Y790" t="s">
        <v>2678</v>
      </c>
      <c r="Z790" t="s">
        <v>3355</v>
      </c>
      <c r="AA790" t="s">
        <v>3406</v>
      </c>
      <c r="AB790" t="s">
        <v>3410</v>
      </c>
      <c r="AC790">
        <f>HYPERLINK("https://lsnyc.legalserver.org/matter/dynamic-profile/view/1895281","19-1895281")</f>
        <v>0</v>
      </c>
      <c r="AD790" t="s">
        <v>3444</v>
      </c>
      <c r="AE790" t="s">
        <v>3464</v>
      </c>
      <c r="AF790" t="s">
        <v>4134</v>
      </c>
      <c r="AG790" t="s">
        <v>3355</v>
      </c>
      <c r="AH790" t="s">
        <v>4904</v>
      </c>
      <c r="AK790" t="s">
        <v>4911</v>
      </c>
      <c r="AL790" t="s">
        <v>2117</v>
      </c>
      <c r="AN790" t="s">
        <v>3410</v>
      </c>
    </row>
    <row r="791" spans="1:41">
      <c r="A791" s="1" t="s">
        <v>827</v>
      </c>
      <c r="B791" t="s">
        <v>2015</v>
      </c>
      <c r="C791" t="s">
        <v>2016</v>
      </c>
      <c r="D791" t="s">
        <v>2075</v>
      </c>
      <c r="E791" t="s">
        <v>2111</v>
      </c>
      <c r="F791" t="s">
        <v>2114</v>
      </c>
      <c r="G791" t="s">
        <v>2212</v>
      </c>
      <c r="H791">
        <v>11418</v>
      </c>
      <c r="I791" t="s">
        <v>2229</v>
      </c>
      <c r="J791">
        <v>2</v>
      </c>
      <c r="K791">
        <v>1</v>
      </c>
      <c r="L791" t="s">
        <v>2458</v>
      </c>
      <c r="M791" t="s">
        <v>2677</v>
      </c>
      <c r="P791" t="s">
        <v>2866</v>
      </c>
      <c r="Q791" t="s">
        <v>2113</v>
      </c>
      <c r="R791" t="s">
        <v>3259</v>
      </c>
      <c r="S791" t="s">
        <v>3267</v>
      </c>
      <c r="X791" t="s">
        <v>3354</v>
      </c>
      <c r="Y791" t="s">
        <v>2677</v>
      </c>
      <c r="Z791" t="s">
        <v>3380</v>
      </c>
      <c r="AA791" t="s">
        <v>3406</v>
      </c>
      <c r="AB791" t="s">
        <v>3415</v>
      </c>
      <c r="AC791">
        <f>HYPERLINK("https://lsnyc.legalserver.org/matter/dynamic-profile/view/1895302","19-1895302")</f>
        <v>0</v>
      </c>
      <c r="AD791" t="s">
        <v>3445</v>
      </c>
      <c r="AE791" t="s">
        <v>3455</v>
      </c>
      <c r="AF791" t="s">
        <v>4135</v>
      </c>
      <c r="AG791" t="s">
        <v>3380</v>
      </c>
      <c r="AH791" t="s">
        <v>4904</v>
      </c>
      <c r="AK791" t="s">
        <v>4911</v>
      </c>
      <c r="AL791" t="s">
        <v>2114</v>
      </c>
      <c r="AN791" t="s">
        <v>3415</v>
      </c>
    </row>
    <row r="792" spans="1:41">
      <c r="A792" s="1" t="s">
        <v>828</v>
      </c>
      <c r="B792" t="s">
        <v>2001</v>
      </c>
      <c r="C792" t="s">
        <v>2009</v>
      </c>
      <c r="D792" t="s">
        <v>2060</v>
      </c>
      <c r="E792" t="s">
        <v>2112</v>
      </c>
      <c r="F792" t="s">
        <v>2114</v>
      </c>
      <c r="G792" t="s">
        <v>2212</v>
      </c>
      <c r="H792">
        <v>11418</v>
      </c>
      <c r="I792" t="s">
        <v>2229</v>
      </c>
      <c r="J792">
        <v>2</v>
      </c>
      <c r="K792">
        <v>1</v>
      </c>
      <c r="L792" t="s">
        <v>2357</v>
      </c>
      <c r="M792" t="s">
        <v>2677</v>
      </c>
      <c r="P792" t="s">
        <v>2866</v>
      </c>
      <c r="Q792" t="s">
        <v>2113</v>
      </c>
      <c r="R792" t="s">
        <v>3259</v>
      </c>
      <c r="S792" t="s">
        <v>3267</v>
      </c>
      <c r="X792" t="s">
        <v>3354</v>
      </c>
      <c r="Y792" t="s">
        <v>2677</v>
      </c>
      <c r="Z792" t="s">
        <v>3359</v>
      </c>
      <c r="AA792" t="s">
        <v>3406</v>
      </c>
      <c r="AB792" t="s">
        <v>3415</v>
      </c>
      <c r="AC792">
        <f>HYPERLINK("https://lsnyc.legalserver.org/matter/dynamic-profile/view/1895310","19-1895310")</f>
        <v>0</v>
      </c>
      <c r="AD792" t="s">
        <v>3445</v>
      </c>
      <c r="AE792" t="s">
        <v>3455</v>
      </c>
      <c r="AF792" t="s">
        <v>4136</v>
      </c>
      <c r="AG792" t="s">
        <v>3359</v>
      </c>
      <c r="AH792" t="s">
        <v>4904</v>
      </c>
      <c r="AK792" t="s">
        <v>4911</v>
      </c>
      <c r="AL792" t="s">
        <v>2114</v>
      </c>
      <c r="AN792" t="s">
        <v>3415</v>
      </c>
    </row>
    <row r="793" spans="1:41">
      <c r="A793" s="1" t="s">
        <v>829</v>
      </c>
      <c r="B793" t="s">
        <v>2002</v>
      </c>
      <c r="C793" t="s">
        <v>2000</v>
      </c>
      <c r="D793" t="s">
        <v>2068</v>
      </c>
      <c r="E793" t="s">
        <v>2112</v>
      </c>
      <c r="F793" t="s">
        <v>2131</v>
      </c>
      <c r="G793" t="s">
        <v>2211</v>
      </c>
      <c r="H793">
        <v>10019</v>
      </c>
      <c r="I793" t="s">
        <v>2229</v>
      </c>
      <c r="J793">
        <v>1</v>
      </c>
      <c r="K793">
        <v>0</v>
      </c>
      <c r="L793" t="s">
        <v>2277</v>
      </c>
      <c r="M793" t="s">
        <v>2677</v>
      </c>
      <c r="P793" t="s">
        <v>2756</v>
      </c>
      <c r="Q793" t="s">
        <v>2113</v>
      </c>
      <c r="R793" t="s">
        <v>3259</v>
      </c>
      <c r="S793" t="s">
        <v>3268</v>
      </c>
      <c r="X793" t="s">
        <v>3354</v>
      </c>
      <c r="Y793" t="s">
        <v>2678</v>
      </c>
      <c r="Z793" t="s">
        <v>3368</v>
      </c>
      <c r="AA793" t="s">
        <v>3406</v>
      </c>
      <c r="AB793" t="s">
        <v>3416</v>
      </c>
      <c r="AC793">
        <f>HYPERLINK("https://lsnyc.legalserver.org/matter/dynamic-profile/view/1895345","19-1895345")</f>
        <v>0</v>
      </c>
      <c r="AD793" t="s">
        <v>3442</v>
      </c>
      <c r="AE793" t="s">
        <v>3470</v>
      </c>
      <c r="AF793" t="s">
        <v>4137</v>
      </c>
      <c r="AG793" t="s">
        <v>3368</v>
      </c>
      <c r="AH793" t="s">
        <v>4904</v>
      </c>
      <c r="AL793" t="s">
        <v>2131</v>
      </c>
      <c r="AN793" t="s">
        <v>3416</v>
      </c>
    </row>
    <row r="794" spans="1:41">
      <c r="A794" s="1" t="s">
        <v>830</v>
      </c>
      <c r="B794" t="s">
        <v>1998</v>
      </c>
      <c r="C794" t="s">
        <v>1998</v>
      </c>
      <c r="D794" t="s">
        <v>2102</v>
      </c>
      <c r="E794" t="s">
        <v>2112</v>
      </c>
      <c r="F794" t="s">
        <v>2117</v>
      </c>
      <c r="G794" t="s">
        <v>2213</v>
      </c>
      <c r="H794">
        <v>10456</v>
      </c>
      <c r="I794" t="s">
        <v>2229</v>
      </c>
      <c r="J794">
        <v>4</v>
      </c>
      <c r="K794">
        <v>1</v>
      </c>
      <c r="L794" t="s">
        <v>2459</v>
      </c>
      <c r="M794" t="s">
        <v>2677</v>
      </c>
      <c r="P794" t="s">
        <v>2866</v>
      </c>
      <c r="Q794" t="s">
        <v>2113</v>
      </c>
      <c r="R794" t="s">
        <v>3259</v>
      </c>
      <c r="S794" t="s">
        <v>3267</v>
      </c>
      <c r="X794" t="s">
        <v>3354</v>
      </c>
      <c r="Y794" t="s">
        <v>2677</v>
      </c>
      <c r="Z794" t="s">
        <v>3380</v>
      </c>
      <c r="AA794" t="s">
        <v>3406</v>
      </c>
      <c r="AB794" t="s">
        <v>3415</v>
      </c>
      <c r="AC794">
        <f>HYPERLINK("https://lsnyc.legalserver.org/matter/dynamic-profile/view/1895360","19-1895360")</f>
        <v>0</v>
      </c>
      <c r="AD794" t="s">
        <v>3445</v>
      </c>
      <c r="AE794" t="s">
        <v>3489</v>
      </c>
      <c r="AF794" t="s">
        <v>4138</v>
      </c>
      <c r="AG794" t="s">
        <v>3380</v>
      </c>
      <c r="AH794" t="s">
        <v>4906</v>
      </c>
      <c r="AK794" t="s">
        <v>4911</v>
      </c>
      <c r="AL794" t="s">
        <v>2117</v>
      </c>
      <c r="AN794" t="s">
        <v>3415</v>
      </c>
    </row>
    <row r="795" spans="1:41">
      <c r="A795" s="1" t="s">
        <v>831</v>
      </c>
      <c r="B795" t="s">
        <v>2012</v>
      </c>
      <c r="C795" t="s">
        <v>2005</v>
      </c>
      <c r="D795" t="s">
        <v>2052</v>
      </c>
      <c r="E795" t="s">
        <v>2112</v>
      </c>
      <c r="F795" t="s">
        <v>2117</v>
      </c>
      <c r="G795" t="s">
        <v>2213</v>
      </c>
      <c r="H795">
        <v>10451</v>
      </c>
      <c r="J795">
        <v>4</v>
      </c>
      <c r="K795">
        <v>2</v>
      </c>
      <c r="L795" t="s">
        <v>2333</v>
      </c>
      <c r="M795" t="s">
        <v>2677</v>
      </c>
      <c r="P795" t="s">
        <v>2866</v>
      </c>
      <c r="Q795" t="s">
        <v>3255</v>
      </c>
      <c r="R795" t="s">
        <v>3259</v>
      </c>
      <c r="S795" t="s">
        <v>3267</v>
      </c>
      <c r="X795" t="s">
        <v>3354</v>
      </c>
      <c r="Y795" t="s">
        <v>2678</v>
      </c>
      <c r="Z795" t="s">
        <v>3380</v>
      </c>
      <c r="AA795" t="s">
        <v>3406</v>
      </c>
      <c r="AB795" t="s">
        <v>3415</v>
      </c>
      <c r="AC795">
        <f>HYPERLINK("https://lsnyc.legalserver.org/matter/dynamic-profile/view/1895362","19-1895362")</f>
        <v>0</v>
      </c>
      <c r="AD795" t="s">
        <v>3444</v>
      </c>
      <c r="AE795" t="s">
        <v>3464</v>
      </c>
      <c r="AF795" t="s">
        <v>4139</v>
      </c>
      <c r="AG795" t="s">
        <v>3380</v>
      </c>
      <c r="AH795" t="s">
        <v>4906</v>
      </c>
      <c r="AK795" t="s">
        <v>4911</v>
      </c>
      <c r="AL795" t="s">
        <v>2117</v>
      </c>
      <c r="AN795" t="s">
        <v>3415</v>
      </c>
    </row>
    <row r="796" spans="1:41">
      <c r="A796" s="1" t="s">
        <v>832</v>
      </c>
      <c r="B796" t="s">
        <v>1998</v>
      </c>
      <c r="C796" t="s">
        <v>1998</v>
      </c>
      <c r="D796" t="s">
        <v>2034</v>
      </c>
      <c r="E796" t="s">
        <v>2112</v>
      </c>
      <c r="F796" t="s">
        <v>2117</v>
      </c>
      <c r="G796" t="s">
        <v>2213</v>
      </c>
      <c r="H796">
        <v>10456</v>
      </c>
      <c r="I796" t="s">
        <v>2229</v>
      </c>
      <c r="J796">
        <v>4</v>
      </c>
      <c r="K796">
        <v>1</v>
      </c>
      <c r="L796" t="s">
        <v>2459</v>
      </c>
      <c r="M796" t="s">
        <v>2677</v>
      </c>
      <c r="P796" t="s">
        <v>2866</v>
      </c>
      <c r="Q796" t="s">
        <v>2113</v>
      </c>
      <c r="R796" t="s">
        <v>3259</v>
      </c>
      <c r="S796" t="s">
        <v>3267</v>
      </c>
      <c r="V796" t="s">
        <v>3353</v>
      </c>
      <c r="X796" t="s">
        <v>3354</v>
      </c>
      <c r="Y796" t="s">
        <v>2677</v>
      </c>
      <c r="Z796" t="s">
        <v>3380</v>
      </c>
      <c r="AA796" t="s">
        <v>3406</v>
      </c>
      <c r="AB796" t="s">
        <v>3415</v>
      </c>
      <c r="AC796">
        <f>HYPERLINK("https://lsnyc.legalserver.org/matter/dynamic-profile/view/1895366","19-1895366")</f>
        <v>0</v>
      </c>
      <c r="AD796" t="s">
        <v>3445</v>
      </c>
      <c r="AE796" t="s">
        <v>3455</v>
      </c>
      <c r="AF796" t="s">
        <v>4140</v>
      </c>
      <c r="AG796" t="s">
        <v>3380</v>
      </c>
      <c r="AH796" t="s">
        <v>4906</v>
      </c>
      <c r="AK796" t="s">
        <v>4911</v>
      </c>
      <c r="AL796" t="s">
        <v>2117</v>
      </c>
      <c r="AN796" t="s">
        <v>3415</v>
      </c>
      <c r="AO796" t="s">
        <v>3353</v>
      </c>
    </row>
    <row r="797" spans="1:41">
      <c r="A797" s="1" t="s">
        <v>833</v>
      </c>
      <c r="B797" t="s">
        <v>1998</v>
      </c>
      <c r="C797" t="s">
        <v>1998</v>
      </c>
      <c r="D797" t="s">
        <v>2084</v>
      </c>
      <c r="E797" t="s">
        <v>2112</v>
      </c>
      <c r="F797" t="s">
        <v>2117</v>
      </c>
      <c r="G797" t="s">
        <v>2213</v>
      </c>
      <c r="H797">
        <v>10457</v>
      </c>
      <c r="I797" t="s">
        <v>2229</v>
      </c>
      <c r="J797">
        <v>2</v>
      </c>
      <c r="K797">
        <v>1</v>
      </c>
      <c r="L797" t="s">
        <v>2260</v>
      </c>
      <c r="M797" t="s">
        <v>2677</v>
      </c>
      <c r="P797" t="s">
        <v>2866</v>
      </c>
      <c r="Q797" t="s">
        <v>3255</v>
      </c>
      <c r="R797" t="s">
        <v>3259</v>
      </c>
      <c r="S797" t="s">
        <v>3288</v>
      </c>
      <c r="X797" t="s">
        <v>3354</v>
      </c>
      <c r="Y797" t="s">
        <v>2678</v>
      </c>
      <c r="Z797" t="s">
        <v>3389</v>
      </c>
      <c r="AA797" t="s">
        <v>3406</v>
      </c>
      <c r="AB797" t="s">
        <v>3436</v>
      </c>
      <c r="AC797">
        <f>HYPERLINK("https://lsnyc.legalserver.org/matter/dynamic-profile/view/1895373","19-1895373")</f>
        <v>0</v>
      </c>
      <c r="AD797" t="s">
        <v>3444</v>
      </c>
      <c r="AE797" t="s">
        <v>3464</v>
      </c>
      <c r="AF797" t="s">
        <v>4141</v>
      </c>
      <c r="AG797" t="s">
        <v>3389</v>
      </c>
      <c r="AH797" t="s">
        <v>4905</v>
      </c>
      <c r="AI797" t="s">
        <v>4909</v>
      </c>
      <c r="AK797" t="s">
        <v>4911</v>
      </c>
      <c r="AL797" t="s">
        <v>2117</v>
      </c>
      <c r="AN797" t="s">
        <v>3436</v>
      </c>
    </row>
    <row r="798" spans="1:41">
      <c r="A798" s="1" t="s">
        <v>834</v>
      </c>
      <c r="B798" t="s">
        <v>2016</v>
      </c>
      <c r="C798" t="s">
        <v>2009</v>
      </c>
      <c r="D798" t="s">
        <v>2070</v>
      </c>
      <c r="E798" t="s">
        <v>2112</v>
      </c>
      <c r="F798" t="s">
        <v>2117</v>
      </c>
      <c r="G798" t="s">
        <v>2213</v>
      </c>
      <c r="H798">
        <v>10454</v>
      </c>
      <c r="I798" t="s">
        <v>2229</v>
      </c>
      <c r="J798">
        <v>7</v>
      </c>
      <c r="K798">
        <v>4</v>
      </c>
      <c r="L798" t="s">
        <v>2260</v>
      </c>
      <c r="M798" t="s">
        <v>2677</v>
      </c>
      <c r="P798" t="s">
        <v>2866</v>
      </c>
      <c r="Q798" t="s">
        <v>3255</v>
      </c>
      <c r="R798" t="s">
        <v>3258</v>
      </c>
      <c r="S798" t="s">
        <v>3262</v>
      </c>
      <c r="X798" t="s">
        <v>3354</v>
      </c>
      <c r="Y798" t="s">
        <v>2678</v>
      </c>
      <c r="Z798" t="s">
        <v>3355</v>
      </c>
      <c r="AA798" t="s">
        <v>3406</v>
      </c>
      <c r="AB798" t="s">
        <v>3410</v>
      </c>
      <c r="AC798">
        <f>HYPERLINK("https://lsnyc.legalserver.org/matter/dynamic-profile/view/1895378","19-1895378")</f>
        <v>0</v>
      </c>
      <c r="AD798" t="s">
        <v>3444</v>
      </c>
      <c r="AE798" t="s">
        <v>3464</v>
      </c>
      <c r="AF798" t="s">
        <v>4142</v>
      </c>
      <c r="AG798" t="s">
        <v>3355</v>
      </c>
      <c r="AH798" t="s">
        <v>4904</v>
      </c>
      <c r="AK798" t="s">
        <v>4911</v>
      </c>
      <c r="AL798" t="s">
        <v>2117</v>
      </c>
      <c r="AN798" t="s">
        <v>3410</v>
      </c>
    </row>
    <row r="799" spans="1:41">
      <c r="A799" s="1" t="s">
        <v>835</v>
      </c>
      <c r="B799" t="s">
        <v>2016</v>
      </c>
      <c r="C799" t="s">
        <v>2001</v>
      </c>
      <c r="D799" t="s">
        <v>2058</v>
      </c>
      <c r="E799" t="s">
        <v>2111</v>
      </c>
      <c r="F799" t="s">
        <v>2117</v>
      </c>
      <c r="G799" t="s">
        <v>2213</v>
      </c>
      <c r="H799">
        <v>10454</v>
      </c>
      <c r="I799" t="s">
        <v>2229</v>
      </c>
      <c r="J799">
        <v>2</v>
      </c>
      <c r="K799">
        <v>1</v>
      </c>
      <c r="L799" t="s">
        <v>2260</v>
      </c>
      <c r="M799" t="s">
        <v>2677</v>
      </c>
      <c r="P799" t="s">
        <v>2866</v>
      </c>
      <c r="Q799" t="s">
        <v>3255</v>
      </c>
      <c r="R799" t="s">
        <v>3258</v>
      </c>
      <c r="S799" t="s">
        <v>3262</v>
      </c>
      <c r="X799" t="s">
        <v>3354</v>
      </c>
      <c r="Y799" t="s">
        <v>2678</v>
      </c>
      <c r="Z799" t="s">
        <v>3355</v>
      </c>
      <c r="AA799" t="s">
        <v>3406</v>
      </c>
      <c r="AB799" t="s">
        <v>3410</v>
      </c>
      <c r="AC799">
        <f>HYPERLINK("https://lsnyc.legalserver.org/matter/dynamic-profile/view/1895381","19-1895381")</f>
        <v>0</v>
      </c>
      <c r="AD799" t="s">
        <v>3444</v>
      </c>
      <c r="AE799" t="s">
        <v>3464</v>
      </c>
      <c r="AF799" t="s">
        <v>4143</v>
      </c>
      <c r="AG799" t="s">
        <v>3355</v>
      </c>
      <c r="AH799" t="s">
        <v>4904</v>
      </c>
      <c r="AK799" t="s">
        <v>4911</v>
      </c>
      <c r="AL799" t="s">
        <v>2117</v>
      </c>
      <c r="AN799" t="s">
        <v>3410</v>
      </c>
    </row>
    <row r="800" spans="1:41">
      <c r="A800" s="1" t="s">
        <v>836</v>
      </c>
      <c r="B800" t="s">
        <v>2001</v>
      </c>
      <c r="C800" t="s">
        <v>2012</v>
      </c>
      <c r="D800" t="s">
        <v>2056</v>
      </c>
      <c r="E800" t="s">
        <v>2112</v>
      </c>
      <c r="F800" t="s">
        <v>2120</v>
      </c>
      <c r="G800" t="s">
        <v>2213</v>
      </c>
      <c r="H800">
        <v>10469</v>
      </c>
      <c r="I800" t="s">
        <v>2230</v>
      </c>
      <c r="J800">
        <v>3</v>
      </c>
      <c r="K800">
        <v>2</v>
      </c>
      <c r="L800" t="s">
        <v>2260</v>
      </c>
      <c r="M800" t="s">
        <v>2677</v>
      </c>
      <c r="P800" t="s">
        <v>2866</v>
      </c>
      <c r="Q800" t="s">
        <v>3255</v>
      </c>
      <c r="R800" t="s">
        <v>3259</v>
      </c>
      <c r="S800" t="s">
        <v>3275</v>
      </c>
      <c r="X800" t="s">
        <v>3354</v>
      </c>
      <c r="Y800" t="s">
        <v>2678</v>
      </c>
      <c r="Z800" t="s">
        <v>3392</v>
      </c>
      <c r="AA800" t="s">
        <v>3406</v>
      </c>
      <c r="AB800" t="s">
        <v>3423</v>
      </c>
      <c r="AC800">
        <f>HYPERLINK("https://lsnyc.legalserver.org/matter/dynamic-profile/view/1895389","19-1895389")</f>
        <v>0</v>
      </c>
      <c r="AD800" t="s">
        <v>3444</v>
      </c>
      <c r="AE800" t="s">
        <v>3464</v>
      </c>
      <c r="AF800" t="s">
        <v>4144</v>
      </c>
      <c r="AG800" t="s">
        <v>3392</v>
      </c>
      <c r="AH800" t="s">
        <v>4904</v>
      </c>
      <c r="AK800" t="s">
        <v>4911</v>
      </c>
      <c r="AL800" t="s">
        <v>2120</v>
      </c>
      <c r="AN800" t="s">
        <v>3423</v>
      </c>
    </row>
    <row r="801" spans="1:41">
      <c r="A801" s="1" t="s">
        <v>837</v>
      </c>
      <c r="B801" t="s">
        <v>1998</v>
      </c>
      <c r="C801" t="s">
        <v>2016</v>
      </c>
      <c r="D801" t="s">
        <v>2027</v>
      </c>
      <c r="E801" t="s">
        <v>2112</v>
      </c>
      <c r="F801" t="s">
        <v>2117</v>
      </c>
      <c r="G801" t="s">
        <v>2213</v>
      </c>
      <c r="H801">
        <v>10453</v>
      </c>
      <c r="I801" t="s">
        <v>2229</v>
      </c>
      <c r="J801">
        <v>5</v>
      </c>
      <c r="K801">
        <v>4</v>
      </c>
      <c r="L801" t="s">
        <v>2260</v>
      </c>
      <c r="M801" t="s">
        <v>2677</v>
      </c>
      <c r="P801" t="s">
        <v>2866</v>
      </c>
      <c r="Q801" t="s">
        <v>3255</v>
      </c>
      <c r="R801" t="s">
        <v>3259</v>
      </c>
      <c r="S801" t="s">
        <v>3268</v>
      </c>
      <c r="X801" t="s">
        <v>3354</v>
      </c>
      <c r="Y801" t="s">
        <v>2678</v>
      </c>
      <c r="Z801" t="s">
        <v>3360</v>
      </c>
      <c r="AA801" t="s">
        <v>3406</v>
      </c>
      <c r="AB801" t="s">
        <v>3416</v>
      </c>
      <c r="AC801">
        <f>HYPERLINK("https://lsnyc.legalserver.org/matter/dynamic-profile/view/1895398","19-1895398")</f>
        <v>0</v>
      </c>
      <c r="AD801" t="s">
        <v>3444</v>
      </c>
      <c r="AE801" t="s">
        <v>3464</v>
      </c>
      <c r="AF801" t="s">
        <v>4145</v>
      </c>
      <c r="AG801" t="s">
        <v>3360</v>
      </c>
      <c r="AH801" t="s">
        <v>4906</v>
      </c>
      <c r="AK801" t="s">
        <v>4911</v>
      </c>
      <c r="AL801" t="s">
        <v>2117</v>
      </c>
      <c r="AN801" t="s">
        <v>3416</v>
      </c>
    </row>
    <row r="802" spans="1:41">
      <c r="A802" s="1" t="s">
        <v>838</v>
      </c>
      <c r="B802" t="s">
        <v>1998</v>
      </c>
      <c r="C802" t="s">
        <v>2001</v>
      </c>
      <c r="D802" t="s">
        <v>2088</v>
      </c>
      <c r="E802" t="s">
        <v>2111</v>
      </c>
      <c r="F802" t="s">
        <v>2117</v>
      </c>
      <c r="G802" t="s">
        <v>2213</v>
      </c>
      <c r="H802">
        <v>10453</v>
      </c>
      <c r="I802" t="s">
        <v>2229</v>
      </c>
      <c r="J802">
        <v>5</v>
      </c>
      <c r="K802">
        <v>4</v>
      </c>
      <c r="L802" t="s">
        <v>2260</v>
      </c>
      <c r="M802" t="s">
        <v>2677</v>
      </c>
      <c r="P802" t="s">
        <v>2866</v>
      </c>
      <c r="Q802" t="s">
        <v>3255</v>
      </c>
      <c r="R802" t="s">
        <v>3259</v>
      </c>
      <c r="S802" t="s">
        <v>3268</v>
      </c>
      <c r="X802" t="s">
        <v>3354</v>
      </c>
      <c r="Y802" t="s">
        <v>2678</v>
      </c>
      <c r="Z802" t="s">
        <v>3360</v>
      </c>
      <c r="AA802" t="s">
        <v>3406</v>
      </c>
      <c r="AB802" t="s">
        <v>3416</v>
      </c>
      <c r="AC802">
        <f>HYPERLINK("https://lsnyc.legalserver.org/matter/dynamic-profile/view/1895399","19-1895399")</f>
        <v>0</v>
      </c>
      <c r="AD802" t="s">
        <v>3444</v>
      </c>
      <c r="AE802" t="s">
        <v>3464</v>
      </c>
      <c r="AF802" t="s">
        <v>4146</v>
      </c>
      <c r="AG802" t="s">
        <v>3360</v>
      </c>
      <c r="AH802" t="s">
        <v>4904</v>
      </c>
      <c r="AK802" t="s">
        <v>4911</v>
      </c>
      <c r="AL802" t="s">
        <v>2117</v>
      </c>
      <c r="AN802" t="s">
        <v>3416</v>
      </c>
    </row>
    <row r="803" spans="1:41">
      <c r="A803" s="1" t="s">
        <v>839</v>
      </c>
      <c r="B803" t="s">
        <v>1998</v>
      </c>
      <c r="C803" t="s">
        <v>2016</v>
      </c>
      <c r="D803" t="s">
        <v>2027</v>
      </c>
      <c r="E803" t="s">
        <v>2112</v>
      </c>
      <c r="F803" t="s">
        <v>2117</v>
      </c>
      <c r="G803" t="s">
        <v>2213</v>
      </c>
      <c r="H803">
        <v>10453</v>
      </c>
      <c r="I803" t="s">
        <v>2229</v>
      </c>
      <c r="J803">
        <v>5</v>
      </c>
      <c r="K803">
        <v>4</v>
      </c>
      <c r="L803" t="s">
        <v>2260</v>
      </c>
      <c r="M803" t="s">
        <v>2677</v>
      </c>
      <c r="P803" t="s">
        <v>2866</v>
      </c>
      <c r="Q803" t="s">
        <v>3255</v>
      </c>
      <c r="R803" t="s">
        <v>3258</v>
      </c>
      <c r="S803" t="s">
        <v>3262</v>
      </c>
      <c r="X803" t="s">
        <v>3354</v>
      </c>
      <c r="Y803" t="s">
        <v>2678</v>
      </c>
      <c r="Z803" t="s">
        <v>3355</v>
      </c>
      <c r="AA803" t="s">
        <v>3406</v>
      </c>
      <c r="AB803" t="s">
        <v>3410</v>
      </c>
      <c r="AC803">
        <f>HYPERLINK("https://lsnyc.legalserver.org/matter/dynamic-profile/view/1895400","19-1895400")</f>
        <v>0</v>
      </c>
      <c r="AD803" t="s">
        <v>3444</v>
      </c>
      <c r="AE803" t="s">
        <v>3464</v>
      </c>
      <c r="AF803" t="s">
        <v>4145</v>
      </c>
      <c r="AG803" t="s">
        <v>3355</v>
      </c>
      <c r="AH803" t="s">
        <v>4904</v>
      </c>
      <c r="AK803" t="s">
        <v>4911</v>
      </c>
      <c r="AL803" t="s">
        <v>2117</v>
      </c>
      <c r="AN803" t="s">
        <v>3410</v>
      </c>
    </row>
    <row r="804" spans="1:41">
      <c r="A804" s="1" t="s">
        <v>840</v>
      </c>
      <c r="B804" t="s">
        <v>1998</v>
      </c>
      <c r="C804" t="s">
        <v>2001</v>
      </c>
      <c r="D804" t="s">
        <v>2088</v>
      </c>
      <c r="E804" t="s">
        <v>2111</v>
      </c>
      <c r="F804" t="s">
        <v>2117</v>
      </c>
      <c r="G804" t="s">
        <v>2213</v>
      </c>
      <c r="H804">
        <v>10453</v>
      </c>
      <c r="I804" t="s">
        <v>2229</v>
      </c>
      <c r="J804">
        <v>5</v>
      </c>
      <c r="K804">
        <v>4</v>
      </c>
      <c r="L804" t="s">
        <v>2260</v>
      </c>
      <c r="M804" t="s">
        <v>2677</v>
      </c>
      <c r="P804" t="s">
        <v>2866</v>
      </c>
      <c r="Q804" t="s">
        <v>3255</v>
      </c>
      <c r="R804" t="s">
        <v>3258</v>
      </c>
      <c r="S804" t="s">
        <v>3262</v>
      </c>
      <c r="X804" t="s">
        <v>3354</v>
      </c>
      <c r="Y804" t="s">
        <v>2678</v>
      </c>
      <c r="Z804" t="s">
        <v>3355</v>
      </c>
      <c r="AA804" t="s">
        <v>3406</v>
      </c>
      <c r="AB804" t="s">
        <v>3410</v>
      </c>
      <c r="AC804">
        <f>HYPERLINK("https://lsnyc.legalserver.org/matter/dynamic-profile/view/1895402","19-1895402")</f>
        <v>0</v>
      </c>
      <c r="AD804" t="s">
        <v>3444</v>
      </c>
      <c r="AE804" t="s">
        <v>3464</v>
      </c>
      <c r="AF804" t="s">
        <v>4146</v>
      </c>
      <c r="AG804" t="s">
        <v>3355</v>
      </c>
      <c r="AH804" t="s">
        <v>4904</v>
      </c>
      <c r="AK804" t="s">
        <v>4911</v>
      </c>
      <c r="AL804" t="s">
        <v>2117</v>
      </c>
      <c r="AN804" t="s">
        <v>3410</v>
      </c>
    </row>
    <row r="805" spans="1:41">
      <c r="A805" s="1" t="s">
        <v>841</v>
      </c>
      <c r="B805" t="s">
        <v>2000</v>
      </c>
      <c r="C805" t="s">
        <v>2001</v>
      </c>
      <c r="D805" t="s">
        <v>2027</v>
      </c>
      <c r="E805" t="s">
        <v>2111</v>
      </c>
      <c r="F805" t="s">
        <v>2117</v>
      </c>
      <c r="G805" t="s">
        <v>2212</v>
      </c>
      <c r="H805">
        <v>11433</v>
      </c>
      <c r="I805" t="s">
        <v>2229</v>
      </c>
      <c r="J805">
        <v>3</v>
      </c>
      <c r="K805">
        <v>2</v>
      </c>
      <c r="L805" t="s">
        <v>2260</v>
      </c>
      <c r="M805" t="s">
        <v>2677</v>
      </c>
      <c r="P805" t="s">
        <v>2798</v>
      </c>
      <c r="Q805" t="s">
        <v>2113</v>
      </c>
      <c r="R805" t="s">
        <v>3259</v>
      </c>
      <c r="S805" t="s">
        <v>3267</v>
      </c>
      <c r="X805" t="s">
        <v>3354</v>
      </c>
      <c r="Y805" t="s">
        <v>2678</v>
      </c>
      <c r="Z805" t="s">
        <v>3359</v>
      </c>
      <c r="AA805" t="s">
        <v>3406</v>
      </c>
      <c r="AB805" t="s">
        <v>3415</v>
      </c>
      <c r="AC805">
        <f>HYPERLINK("https://lsnyc.legalserver.org/matter/dynamic-profile/view/1894732","19-1894732")</f>
        <v>0</v>
      </c>
      <c r="AD805" t="s">
        <v>3443</v>
      </c>
      <c r="AE805" t="s">
        <v>3457</v>
      </c>
      <c r="AF805" t="s">
        <v>4000</v>
      </c>
      <c r="AG805" t="s">
        <v>3359</v>
      </c>
      <c r="AH805" t="s">
        <v>4906</v>
      </c>
      <c r="AL805" t="s">
        <v>2117</v>
      </c>
      <c r="AN805" t="s">
        <v>3415</v>
      </c>
    </row>
    <row r="806" spans="1:41">
      <c r="A806" s="1" t="s">
        <v>842</v>
      </c>
      <c r="B806" t="s">
        <v>2007</v>
      </c>
      <c r="C806" t="s">
        <v>2001</v>
      </c>
      <c r="D806" t="s">
        <v>2044</v>
      </c>
      <c r="E806" t="s">
        <v>2111</v>
      </c>
      <c r="F806" t="s">
        <v>2125</v>
      </c>
      <c r="G806" t="s">
        <v>2213</v>
      </c>
      <c r="H806">
        <v>10451</v>
      </c>
      <c r="I806" t="s">
        <v>2230</v>
      </c>
      <c r="J806">
        <v>2</v>
      </c>
      <c r="K806">
        <v>0</v>
      </c>
      <c r="L806" t="s">
        <v>2270</v>
      </c>
      <c r="M806" t="s">
        <v>2677</v>
      </c>
      <c r="P806" t="s">
        <v>2867</v>
      </c>
      <c r="Q806" t="s">
        <v>2113</v>
      </c>
      <c r="R806" t="s">
        <v>3258</v>
      </c>
      <c r="S806" t="s">
        <v>3271</v>
      </c>
      <c r="V806" t="s">
        <v>3352</v>
      </c>
      <c r="X806" t="s">
        <v>3354</v>
      </c>
      <c r="Y806" t="s">
        <v>2677</v>
      </c>
      <c r="Z806" t="s">
        <v>3362</v>
      </c>
      <c r="AA806" t="s">
        <v>3406</v>
      </c>
      <c r="AB806" t="s">
        <v>3419</v>
      </c>
      <c r="AC806">
        <f>HYPERLINK("https://lsnyc.legalserver.org/matter/dynamic-profile/view/1895126","19-1895126")</f>
        <v>0</v>
      </c>
      <c r="AD806" t="s">
        <v>3445</v>
      </c>
      <c r="AE806" t="s">
        <v>3452</v>
      </c>
      <c r="AF806" t="s">
        <v>3517</v>
      </c>
      <c r="AG806" t="s">
        <v>3362</v>
      </c>
      <c r="AH806" t="s">
        <v>4904</v>
      </c>
      <c r="AL806" t="s">
        <v>2125</v>
      </c>
      <c r="AN806" t="s">
        <v>3419</v>
      </c>
      <c r="AO806" t="s">
        <v>3352</v>
      </c>
    </row>
    <row r="807" spans="1:41">
      <c r="A807" s="1" t="s">
        <v>843</v>
      </c>
      <c r="B807" t="s">
        <v>2016</v>
      </c>
      <c r="C807" t="s">
        <v>2021</v>
      </c>
      <c r="D807" t="s">
        <v>2036</v>
      </c>
      <c r="E807" t="s">
        <v>2111</v>
      </c>
      <c r="F807" t="s">
        <v>2117</v>
      </c>
      <c r="G807" t="s">
        <v>2211</v>
      </c>
      <c r="H807">
        <v>10033</v>
      </c>
      <c r="I807" t="s">
        <v>2229</v>
      </c>
      <c r="J807">
        <v>3</v>
      </c>
      <c r="K807">
        <v>2</v>
      </c>
      <c r="L807" t="s">
        <v>2260</v>
      </c>
      <c r="M807" t="s">
        <v>2677</v>
      </c>
      <c r="P807" t="s">
        <v>2726</v>
      </c>
      <c r="Q807" t="s">
        <v>2113</v>
      </c>
      <c r="R807" t="s">
        <v>3259</v>
      </c>
      <c r="S807" t="s">
        <v>3267</v>
      </c>
      <c r="X807" t="s">
        <v>3354</v>
      </c>
      <c r="Y807" t="s">
        <v>2678</v>
      </c>
      <c r="Z807" t="s">
        <v>3359</v>
      </c>
      <c r="AA807" t="s">
        <v>3406</v>
      </c>
      <c r="AB807" t="s">
        <v>3415</v>
      </c>
      <c r="AC807">
        <f>HYPERLINK("https://lsnyc.legalserver.org/matter/dynamic-profile/view/1895217","19-1895217")</f>
        <v>0</v>
      </c>
      <c r="AD807" t="s">
        <v>3442</v>
      </c>
      <c r="AE807" t="s">
        <v>3448</v>
      </c>
      <c r="AF807" t="s">
        <v>4045</v>
      </c>
      <c r="AG807" t="s">
        <v>3359</v>
      </c>
      <c r="AH807" t="s">
        <v>4906</v>
      </c>
      <c r="AL807" t="s">
        <v>2117</v>
      </c>
      <c r="AN807" t="s">
        <v>3415</v>
      </c>
    </row>
    <row r="808" spans="1:41">
      <c r="A808" s="1" t="s">
        <v>844</v>
      </c>
      <c r="B808" t="s">
        <v>2000</v>
      </c>
      <c r="C808" t="s">
        <v>1998</v>
      </c>
      <c r="D808" t="s">
        <v>2060</v>
      </c>
      <c r="E808" t="s">
        <v>2111</v>
      </c>
      <c r="F808" t="s">
        <v>2115</v>
      </c>
      <c r="G808" t="s">
        <v>2216</v>
      </c>
      <c r="H808">
        <v>10302</v>
      </c>
      <c r="I808" t="s">
        <v>2229</v>
      </c>
      <c r="J808">
        <v>2</v>
      </c>
      <c r="K808">
        <v>1</v>
      </c>
      <c r="L808" t="s">
        <v>2285</v>
      </c>
      <c r="M808" t="s">
        <v>2677</v>
      </c>
      <c r="P808" t="s">
        <v>2868</v>
      </c>
      <c r="Q808" t="s">
        <v>3255</v>
      </c>
      <c r="R808" t="s">
        <v>3259</v>
      </c>
      <c r="S808" t="s">
        <v>3267</v>
      </c>
      <c r="X808" t="s">
        <v>3354</v>
      </c>
      <c r="Y808" t="s">
        <v>2677</v>
      </c>
      <c r="Z808" t="s">
        <v>3359</v>
      </c>
      <c r="AA808" t="s">
        <v>3406</v>
      </c>
      <c r="AB808" t="s">
        <v>3415</v>
      </c>
      <c r="AC808">
        <f>HYPERLINK("https://lsnyc.legalserver.org/matter/dynamic-profile/view/1893054","19-1893054")</f>
        <v>0</v>
      </c>
      <c r="AD808" t="s">
        <v>3445</v>
      </c>
      <c r="AE808" t="s">
        <v>3455</v>
      </c>
      <c r="AF808" t="s">
        <v>4147</v>
      </c>
      <c r="AG808" t="s">
        <v>3359</v>
      </c>
      <c r="AH808" t="s">
        <v>4906</v>
      </c>
      <c r="AK808" t="s">
        <v>4911</v>
      </c>
      <c r="AL808" t="s">
        <v>2115</v>
      </c>
      <c r="AN808" t="s">
        <v>3415</v>
      </c>
    </row>
    <row r="809" spans="1:41">
      <c r="A809" s="1" t="s">
        <v>845</v>
      </c>
      <c r="B809" t="s">
        <v>2002</v>
      </c>
      <c r="C809" t="s">
        <v>2018</v>
      </c>
      <c r="D809" t="s">
        <v>2063</v>
      </c>
      <c r="E809" t="s">
        <v>2111</v>
      </c>
      <c r="F809" t="s">
        <v>2115</v>
      </c>
      <c r="G809" t="s">
        <v>2214</v>
      </c>
      <c r="H809">
        <v>11214</v>
      </c>
      <c r="I809" t="s">
        <v>2229</v>
      </c>
      <c r="J809">
        <v>1</v>
      </c>
      <c r="K809">
        <v>0</v>
      </c>
      <c r="L809" t="s">
        <v>2260</v>
      </c>
      <c r="M809" t="s">
        <v>2677</v>
      </c>
      <c r="P809" t="s">
        <v>2868</v>
      </c>
      <c r="Q809" t="s">
        <v>2113</v>
      </c>
      <c r="R809" t="s">
        <v>3259</v>
      </c>
      <c r="S809" t="s">
        <v>3267</v>
      </c>
      <c r="T809" t="s">
        <v>3294</v>
      </c>
      <c r="X809" t="s">
        <v>3354</v>
      </c>
      <c r="Y809" t="s">
        <v>2678</v>
      </c>
      <c r="Z809" t="s">
        <v>3359</v>
      </c>
      <c r="AA809" t="s">
        <v>3406</v>
      </c>
      <c r="AB809" t="s">
        <v>3415</v>
      </c>
      <c r="AC809">
        <f>HYPERLINK("https://lsnyc.legalserver.org/matter/dynamic-profile/view/1895070","19-1895070")</f>
        <v>0</v>
      </c>
      <c r="AD809" t="s">
        <v>3446</v>
      </c>
      <c r="AE809" t="s">
        <v>3481</v>
      </c>
      <c r="AF809" t="s">
        <v>4148</v>
      </c>
      <c r="AG809" t="s">
        <v>3359</v>
      </c>
      <c r="AH809" t="s">
        <v>4906</v>
      </c>
      <c r="AK809" t="s">
        <v>4911</v>
      </c>
      <c r="AL809" t="s">
        <v>2115</v>
      </c>
      <c r="AM809" t="s">
        <v>3294</v>
      </c>
      <c r="AN809" t="s">
        <v>3415</v>
      </c>
    </row>
    <row r="810" spans="1:41">
      <c r="A810" s="1" t="s">
        <v>846</v>
      </c>
      <c r="B810" t="s">
        <v>2002</v>
      </c>
      <c r="C810" t="s">
        <v>2018</v>
      </c>
      <c r="D810" t="s">
        <v>2063</v>
      </c>
      <c r="E810" t="s">
        <v>2111</v>
      </c>
      <c r="F810" t="s">
        <v>2115</v>
      </c>
      <c r="G810" t="s">
        <v>2214</v>
      </c>
      <c r="H810">
        <v>11214</v>
      </c>
      <c r="I810" t="s">
        <v>2229</v>
      </c>
      <c r="J810">
        <v>1</v>
      </c>
      <c r="K810">
        <v>0</v>
      </c>
      <c r="L810" t="s">
        <v>2260</v>
      </c>
      <c r="M810" t="s">
        <v>2677</v>
      </c>
      <c r="P810" t="s">
        <v>2868</v>
      </c>
      <c r="Q810" t="s">
        <v>2113</v>
      </c>
      <c r="R810" t="s">
        <v>3259</v>
      </c>
      <c r="S810" t="s">
        <v>3272</v>
      </c>
      <c r="T810" t="s">
        <v>3294</v>
      </c>
      <c r="X810" t="s">
        <v>3354</v>
      </c>
      <c r="Y810" t="s">
        <v>2678</v>
      </c>
      <c r="Z810" t="s">
        <v>3364</v>
      </c>
      <c r="AA810" t="s">
        <v>3406</v>
      </c>
      <c r="AB810" t="s">
        <v>3420</v>
      </c>
      <c r="AC810">
        <f>HYPERLINK("https://lsnyc.legalserver.org/matter/dynamic-profile/view/1895072","19-1895072")</f>
        <v>0</v>
      </c>
      <c r="AD810" t="s">
        <v>3446</v>
      </c>
      <c r="AE810" t="s">
        <v>3481</v>
      </c>
      <c r="AF810" t="s">
        <v>4148</v>
      </c>
      <c r="AG810" t="s">
        <v>3364</v>
      </c>
      <c r="AH810" t="s">
        <v>4906</v>
      </c>
      <c r="AK810" t="s">
        <v>4911</v>
      </c>
      <c r="AL810" t="s">
        <v>2115</v>
      </c>
      <c r="AM810" t="s">
        <v>3294</v>
      </c>
      <c r="AN810" t="s">
        <v>3420</v>
      </c>
    </row>
    <row r="811" spans="1:41">
      <c r="A811" s="1" t="s">
        <v>847</v>
      </c>
      <c r="B811" t="s">
        <v>1998</v>
      </c>
      <c r="C811" t="s">
        <v>2000</v>
      </c>
      <c r="D811" t="s">
        <v>2080</v>
      </c>
      <c r="E811" t="s">
        <v>2111</v>
      </c>
      <c r="F811" t="s">
        <v>2129</v>
      </c>
      <c r="G811" t="s">
        <v>2214</v>
      </c>
      <c r="H811">
        <v>11221</v>
      </c>
      <c r="I811" t="s">
        <v>2230</v>
      </c>
      <c r="J811">
        <v>1</v>
      </c>
      <c r="K811">
        <v>0</v>
      </c>
      <c r="L811" t="s">
        <v>2260</v>
      </c>
      <c r="M811" t="s">
        <v>2677</v>
      </c>
      <c r="P811" t="s">
        <v>2868</v>
      </c>
      <c r="Q811" t="s">
        <v>2113</v>
      </c>
      <c r="R811" t="s">
        <v>3259</v>
      </c>
      <c r="S811" t="s">
        <v>3268</v>
      </c>
      <c r="T811" t="s">
        <v>3294</v>
      </c>
      <c r="U811" t="s">
        <v>2767</v>
      </c>
      <c r="X811" t="s">
        <v>3354</v>
      </c>
      <c r="Y811" t="s">
        <v>2677</v>
      </c>
      <c r="Z811" t="s">
        <v>3368</v>
      </c>
      <c r="AA811" t="s">
        <v>3406</v>
      </c>
      <c r="AB811" t="s">
        <v>3416</v>
      </c>
      <c r="AC811">
        <f>HYPERLINK("https://lsnyc.legalserver.org/matter/dynamic-profile/view/1895083","19-1895083")</f>
        <v>0</v>
      </c>
      <c r="AD811" t="s">
        <v>3445</v>
      </c>
      <c r="AE811" t="s">
        <v>3452</v>
      </c>
      <c r="AF811" t="s">
        <v>4149</v>
      </c>
      <c r="AG811" t="s">
        <v>3368</v>
      </c>
      <c r="AH811" t="s">
        <v>4904</v>
      </c>
      <c r="AK811" t="s">
        <v>4911</v>
      </c>
      <c r="AL811" t="s">
        <v>2129</v>
      </c>
      <c r="AM811" t="s">
        <v>3294</v>
      </c>
      <c r="AN811" t="s">
        <v>3416</v>
      </c>
    </row>
    <row r="812" spans="1:41">
      <c r="A812" s="1" t="s">
        <v>848</v>
      </c>
      <c r="B812" t="s">
        <v>1998</v>
      </c>
      <c r="C812" t="s">
        <v>2001</v>
      </c>
      <c r="D812" t="s">
        <v>2076</v>
      </c>
      <c r="E812" t="s">
        <v>2112</v>
      </c>
      <c r="F812" t="s">
        <v>2117</v>
      </c>
      <c r="G812" t="s">
        <v>2211</v>
      </c>
      <c r="H812">
        <v>10026</v>
      </c>
      <c r="I812" t="s">
        <v>2229</v>
      </c>
      <c r="J812">
        <v>2</v>
      </c>
      <c r="K812">
        <v>1</v>
      </c>
      <c r="L812" t="s">
        <v>2260</v>
      </c>
      <c r="M812" t="s">
        <v>2677</v>
      </c>
      <c r="P812" t="s">
        <v>2868</v>
      </c>
      <c r="Q812" t="s">
        <v>2113</v>
      </c>
      <c r="R812" t="s">
        <v>3259</v>
      </c>
      <c r="S812" t="s">
        <v>3267</v>
      </c>
      <c r="X812" t="s">
        <v>3354</v>
      </c>
      <c r="Y812" t="s">
        <v>2678</v>
      </c>
      <c r="Z812" t="s">
        <v>3359</v>
      </c>
      <c r="AA812" t="s">
        <v>3406</v>
      </c>
      <c r="AB812" t="s">
        <v>3415</v>
      </c>
      <c r="AC812">
        <f>HYPERLINK("https://lsnyc.legalserver.org/matter/dynamic-profile/view/1895102","19-1895102")</f>
        <v>0</v>
      </c>
      <c r="AD812" t="s">
        <v>3442</v>
      </c>
      <c r="AE812" t="s">
        <v>3480</v>
      </c>
      <c r="AF812" t="s">
        <v>4052</v>
      </c>
      <c r="AG812" t="s">
        <v>3359</v>
      </c>
      <c r="AH812" t="s">
        <v>4906</v>
      </c>
      <c r="AK812" t="s">
        <v>4911</v>
      </c>
      <c r="AL812" t="s">
        <v>2117</v>
      </c>
      <c r="AN812" t="s">
        <v>3415</v>
      </c>
    </row>
    <row r="813" spans="1:41">
      <c r="A813" s="1" t="s">
        <v>849</v>
      </c>
      <c r="B813" t="s">
        <v>2021</v>
      </c>
      <c r="C813" t="s">
        <v>2004</v>
      </c>
      <c r="D813" t="s">
        <v>2047</v>
      </c>
      <c r="E813" t="s">
        <v>2112</v>
      </c>
      <c r="F813" t="s">
        <v>2149</v>
      </c>
      <c r="G813" t="s">
        <v>2214</v>
      </c>
      <c r="H813">
        <v>11233</v>
      </c>
      <c r="I813" t="s">
        <v>2230</v>
      </c>
      <c r="J813">
        <v>2</v>
      </c>
      <c r="K813">
        <v>0</v>
      </c>
      <c r="L813" t="s">
        <v>2262</v>
      </c>
      <c r="M813" t="s">
        <v>2677</v>
      </c>
      <c r="P813" t="s">
        <v>2868</v>
      </c>
      <c r="Q813" t="s">
        <v>2113</v>
      </c>
      <c r="R813" t="s">
        <v>3258</v>
      </c>
      <c r="S813" t="s">
        <v>3271</v>
      </c>
      <c r="X813" t="s">
        <v>3354</v>
      </c>
      <c r="Y813" t="s">
        <v>2677</v>
      </c>
      <c r="Z813" t="s">
        <v>3362</v>
      </c>
      <c r="AA813" t="s">
        <v>3406</v>
      </c>
      <c r="AB813" t="s">
        <v>3419</v>
      </c>
      <c r="AC813">
        <f>HYPERLINK("https://lsnyc.legalserver.org/matter/dynamic-profile/view/1895105","19-1895105")</f>
        <v>0</v>
      </c>
      <c r="AD813" t="s">
        <v>3445</v>
      </c>
      <c r="AE813" t="s">
        <v>3452</v>
      </c>
      <c r="AF813" t="s">
        <v>4150</v>
      </c>
      <c r="AG813" t="s">
        <v>3362</v>
      </c>
      <c r="AH813" t="s">
        <v>4904</v>
      </c>
      <c r="AK813" t="s">
        <v>4911</v>
      </c>
      <c r="AL813" t="s">
        <v>2149</v>
      </c>
      <c r="AN813" t="s">
        <v>3419</v>
      </c>
    </row>
    <row r="814" spans="1:41">
      <c r="A814" s="1" t="s">
        <v>850</v>
      </c>
      <c r="B814" t="s">
        <v>2001</v>
      </c>
      <c r="C814" t="s">
        <v>2016</v>
      </c>
      <c r="D814" t="s">
        <v>2057</v>
      </c>
      <c r="E814" t="s">
        <v>2112</v>
      </c>
      <c r="F814" t="s">
        <v>2115</v>
      </c>
      <c r="G814" t="s">
        <v>2214</v>
      </c>
      <c r="H814">
        <v>11206</v>
      </c>
      <c r="I814" t="s">
        <v>2229</v>
      </c>
      <c r="J814">
        <v>3</v>
      </c>
      <c r="K814">
        <v>2</v>
      </c>
      <c r="L814" t="s">
        <v>2260</v>
      </c>
      <c r="M814" t="s">
        <v>2677</v>
      </c>
      <c r="P814" t="s">
        <v>2868</v>
      </c>
      <c r="Q814" t="s">
        <v>2113</v>
      </c>
      <c r="R814" t="s">
        <v>3259</v>
      </c>
      <c r="S814" t="s">
        <v>3264</v>
      </c>
      <c r="T814" t="s">
        <v>3294</v>
      </c>
      <c r="U814" t="s">
        <v>2815</v>
      </c>
      <c r="X814" t="s">
        <v>3354</v>
      </c>
      <c r="Y814" t="s">
        <v>2677</v>
      </c>
      <c r="Z814" t="s">
        <v>3357</v>
      </c>
      <c r="AA814" t="s">
        <v>3406</v>
      </c>
      <c r="AB814" t="s">
        <v>3412</v>
      </c>
      <c r="AC814">
        <f>HYPERLINK("https://lsnyc.legalserver.org/matter/dynamic-profile/view/1895113","19-1895113")</f>
        <v>0</v>
      </c>
      <c r="AD814" t="s">
        <v>3445</v>
      </c>
      <c r="AE814" t="s">
        <v>3452</v>
      </c>
      <c r="AF814" t="s">
        <v>4151</v>
      </c>
      <c r="AG814" t="s">
        <v>3357</v>
      </c>
      <c r="AH814" t="s">
        <v>4904</v>
      </c>
      <c r="AK814" t="s">
        <v>4911</v>
      </c>
      <c r="AL814" t="s">
        <v>2115</v>
      </c>
      <c r="AM814" t="s">
        <v>3294</v>
      </c>
      <c r="AN814" t="s">
        <v>3412</v>
      </c>
    </row>
    <row r="815" spans="1:41">
      <c r="A815" s="1" t="s">
        <v>851</v>
      </c>
      <c r="B815" t="s">
        <v>1998</v>
      </c>
      <c r="C815" t="s">
        <v>2005</v>
      </c>
      <c r="D815" t="s">
        <v>2075</v>
      </c>
      <c r="E815" t="s">
        <v>2111</v>
      </c>
      <c r="F815" t="s">
        <v>2117</v>
      </c>
      <c r="G815" t="s">
        <v>2212</v>
      </c>
      <c r="H815">
        <v>11423</v>
      </c>
      <c r="I815" t="s">
        <v>2229</v>
      </c>
      <c r="J815">
        <v>2</v>
      </c>
      <c r="K815">
        <v>1</v>
      </c>
      <c r="L815" t="s">
        <v>2331</v>
      </c>
      <c r="M815" t="s">
        <v>2677</v>
      </c>
      <c r="P815" t="s">
        <v>2772</v>
      </c>
      <c r="Q815" t="s">
        <v>3255</v>
      </c>
      <c r="R815" t="s">
        <v>3259</v>
      </c>
      <c r="S815" t="s">
        <v>3267</v>
      </c>
      <c r="X815" t="s">
        <v>3354</v>
      </c>
      <c r="Y815" t="s">
        <v>2678</v>
      </c>
      <c r="Z815" t="s">
        <v>3380</v>
      </c>
      <c r="AA815" t="s">
        <v>3406</v>
      </c>
      <c r="AB815" t="s">
        <v>3415</v>
      </c>
      <c r="AC815">
        <f>HYPERLINK("https://lsnyc.legalserver.org/matter/dynamic-profile/view/1894731","19-1894731")</f>
        <v>0</v>
      </c>
      <c r="AD815" t="s">
        <v>3443</v>
      </c>
      <c r="AE815" t="s">
        <v>3457</v>
      </c>
      <c r="AF815" t="s">
        <v>3791</v>
      </c>
      <c r="AG815" t="s">
        <v>3380</v>
      </c>
      <c r="AH815" t="s">
        <v>4906</v>
      </c>
      <c r="AL815" t="s">
        <v>2117</v>
      </c>
      <c r="AN815" t="s">
        <v>3415</v>
      </c>
    </row>
    <row r="816" spans="1:41">
      <c r="A816" s="1" t="s">
        <v>852</v>
      </c>
      <c r="B816" t="s">
        <v>1998</v>
      </c>
      <c r="C816" t="s">
        <v>2001</v>
      </c>
      <c r="D816" t="s">
        <v>2067</v>
      </c>
      <c r="E816" t="s">
        <v>2111</v>
      </c>
      <c r="F816" t="s">
        <v>2115</v>
      </c>
      <c r="G816" t="s">
        <v>2214</v>
      </c>
      <c r="H816">
        <v>11211</v>
      </c>
      <c r="I816" t="s">
        <v>2229</v>
      </c>
      <c r="J816">
        <v>4</v>
      </c>
      <c r="K816">
        <v>2</v>
      </c>
      <c r="L816" t="s">
        <v>2260</v>
      </c>
      <c r="M816" t="s">
        <v>2677</v>
      </c>
      <c r="P816" t="s">
        <v>2869</v>
      </c>
      <c r="Q816" t="s">
        <v>2113</v>
      </c>
      <c r="R816" t="s">
        <v>3259</v>
      </c>
      <c r="S816" t="s">
        <v>3267</v>
      </c>
      <c r="T816" t="s">
        <v>3294</v>
      </c>
      <c r="X816" t="s">
        <v>3354</v>
      </c>
      <c r="Y816" t="s">
        <v>2678</v>
      </c>
      <c r="Z816" t="s">
        <v>3359</v>
      </c>
      <c r="AA816" t="s">
        <v>3406</v>
      </c>
      <c r="AB816" t="s">
        <v>3415</v>
      </c>
      <c r="AC816">
        <f>HYPERLINK("https://lsnyc.legalserver.org/matter/dynamic-profile/view/1894897","19-1894897")</f>
        <v>0</v>
      </c>
      <c r="AD816" t="s">
        <v>3446</v>
      </c>
      <c r="AE816" t="s">
        <v>3481</v>
      </c>
      <c r="AF816" t="s">
        <v>4152</v>
      </c>
      <c r="AG816" t="s">
        <v>3359</v>
      </c>
      <c r="AH816" t="s">
        <v>4906</v>
      </c>
      <c r="AK816" t="s">
        <v>4911</v>
      </c>
      <c r="AL816" t="s">
        <v>2115</v>
      </c>
      <c r="AM816" t="s">
        <v>3294</v>
      </c>
      <c r="AN816" t="s">
        <v>3415</v>
      </c>
    </row>
    <row r="817" spans="1:41">
      <c r="A817" s="1" t="s">
        <v>853</v>
      </c>
      <c r="B817" t="s">
        <v>1998</v>
      </c>
      <c r="C817" t="s">
        <v>2012</v>
      </c>
      <c r="D817" t="s">
        <v>2077</v>
      </c>
      <c r="E817" t="s">
        <v>2112</v>
      </c>
      <c r="F817" t="s">
        <v>2116</v>
      </c>
      <c r="G817" t="s">
        <v>2211</v>
      </c>
      <c r="H817">
        <v>10025</v>
      </c>
      <c r="I817" t="s">
        <v>2229</v>
      </c>
      <c r="J817">
        <v>1</v>
      </c>
      <c r="K817">
        <v>0</v>
      </c>
      <c r="L817" t="s">
        <v>2260</v>
      </c>
      <c r="M817" t="s">
        <v>2677</v>
      </c>
      <c r="P817" t="s">
        <v>2782</v>
      </c>
      <c r="Q817" t="s">
        <v>2113</v>
      </c>
      <c r="R817" t="s">
        <v>3259</v>
      </c>
      <c r="S817" t="s">
        <v>3264</v>
      </c>
      <c r="X817" t="s">
        <v>3354</v>
      </c>
      <c r="Y817" t="s">
        <v>2678</v>
      </c>
      <c r="Z817" t="s">
        <v>3357</v>
      </c>
      <c r="AA817" t="s">
        <v>3406</v>
      </c>
      <c r="AB817" t="s">
        <v>3412</v>
      </c>
      <c r="AC817">
        <f>HYPERLINK("https://lsnyc.legalserver.org/matter/dynamic-profile/view/1894911","19-1894911")</f>
        <v>0</v>
      </c>
      <c r="AD817" t="s">
        <v>3442</v>
      </c>
      <c r="AE817" t="s">
        <v>3470</v>
      </c>
      <c r="AF817" t="s">
        <v>4153</v>
      </c>
      <c r="AG817" t="s">
        <v>3357</v>
      </c>
      <c r="AH817" t="s">
        <v>4904</v>
      </c>
      <c r="AL817" t="s">
        <v>2116</v>
      </c>
      <c r="AN817" t="s">
        <v>3412</v>
      </c>
    </row>
    <row r="818" spans="1:41">
      <c r="A818" s="1" t="s">
        <v>854</v>
      </c>
      <c r="B818" t="s">
        <v>1998</v>
      </c>
      <c r="C818" t="s">
        <v>2001</v>
      </c>
      <c r="D818" t="s">
        <v>2097</v>
      </c>
      <c r="E818" t="s">
        <v>2111</v>
      </c>
      <c r="F818" t="s">
        <v>2165</v>
      </c>
      <c r="G818" t="s">
        <v>2212</v>
      </c>
      <c r="H818">
        <v>11435</v>
      </c>
      <c r="I818" t="s">
        <v>2230</v>
      </c>
      <c r="J818">
        <v>2</v>
      </c>
      <c r="K818">
        <v>0</v>
      </c>
      <c r="L818" t="s">
        <v>2460</v>
      </c>
      <c r="M818" t="s">
        <v>2677</v>
      </c>
      <c r="P818" t="s">
        <v>2870</v>
      </c>
      <c r="Q818" t="s">
        <v>2113</v>
      </c>
      <c r="R818" t="s">
        <v>3258</v>
      </c>
      <c r="S818" t="s">
        <v>3271</v>
      </c>
      <c r="X818" t="s">
        <v>3354</v>
      </c>
      <c r="Y818" t="s">
        <v>2678</v>
      </c>
      <c r="Z818" t="s">
        <v>3362</v>
      </c>
      <c r="AA818" t="s">
        <v>3406</v>
      </c>
      <c r="AB818" t="s">
        <v>3419</v>
      </c>
      <c r="AC818">
        <f>HYPERLINK("https://lsnyc.legalserver.org/matter/dynamic-profile/view/1894749","19-1894749")</f>
        <v>0</v>
      </c>
      <c r="AD818" t="s">
        <v>3443</v>
      </c>
      <c r="AE818" t="s">
        <v>3477</v>
      </c>
      <c r="AF818" t="s">
        <v>4154</v>
      </c>
      <c r="AG818" t="s">
        <v>3362</v>
      </c>
      <c r="AH818" t="s">
        <v>4904</v>
      </c>
      <c r="AK818" t="s">
        <v>4911</v>
      </c>
      <c r="AL818" t="s">
        <v>2165</v>
      </c>
      <c r="AN818" t="s">
        <v>3419</v>
      </c>
    </row>
    <row r="819" spans="1:41">
      <c r="A819" s="1" t="s">
        <v>855</v>
      </c>
      <c r="B819" t="s">
        <v>2009</v>
      </c>
      <c r="C819" t="s">
        <v>1998</v>
      </c>
      <c r="D819" t="s">
        <v>2075</v>
      </c>
      <c r="E819" t="s">
        <v>2112</v>
      </c>
      <c r="G819" t="s">
        <v>2212</v>
      </c>
      <c r="H819">
        <v>11412</v>
      </c>
      <c r="I819" t="s">
        <v>2230</v>
      </c>
      <c r="J819">
        <v>3</v>
      </c>
      <c r="K819">
        <v>2</v>
      </c>
      <c r="L819" t="s">
        <v>2256</v>
      </c>
      <c r="M819" t="s">
        <v>2677</v>
      </c>
      <c r="P819" t="s">
        <v>2870</v>
      </c>
      <c r="Q819" t="s">
        <v>3255</v>
      </c>
      <c r="R819" t="s">
        <v>3259</v>
      </c>
      <c r="S819" t="s">
        <v>3272</v>
      </c>
      <c r="X819" t="s">
        <v>3354</v>
      </c>
      <c r="Y819" t="s">
        <v>2678</v>
      </c>
      <c r="Z819" t="s">
        <v>3364</v>
      </c>
      <c r="AB819" t="s">
        <v>3420</v>
      </c>
      <c r="AC819">
        <f>HYPERLINK("https://lsnyc.legalserver.org/matter/dynamic-profile/view/1894760","19-1894760")</f>
        <v>0</v>
      </c>
      <c r="AD819" t="s">
        <v>3443</v>
      </c>
      <c r="AE819" t="s">
        <v>3467</v>
      </c>
      <c r="AF819" t="s">
        <v>4155</v>
      </c>
      <c r="AG819" t="s">
        <v>3364</v>
      </c>
      <c r="AI819" t="s">
        <v>4909</v>
      </c>
      <c r="AN819" t="s">
        <v>3420</v>
      </c>
    </row>
    <row r="820" spans="1:41">
      <c r="A820" s="1" t="s">
        <v>856</v>
      </c>
      <c r="B820" t="s">
        <v>2009</v>
      </c>
      <c r="C820" t="s">
        <v>1998</v>
      </c>
      <c r="D820" t="s">
        <v>2075</v>
      </c>
      <c r="E820" t="s">
        <v>2112</v>
      </c>
      <c r="F820" t="s">
        <v>2115</v>
      </c>
      <c r="G820" t="s">
        <v>2212</v>
      </c>
      <c r="H820">
        <v>11412</v>
      </c>
      <c r="I820" t="s">
        <v>2230</v>
      </c>
      <c r="J820">
        <v>3</v>
      </c>
      <c r="K820">
        <v>2</v>
      </c>
      <c r="L820" t="s">
        <v>2256</v>
      </c>
      <c r="M820" t="s">
        <v>2677</v>
      </c>
      <c r="P820" t="s">
        <v>2870</v>
      </c>
      <c r="Q820" t="s">
        <v>3255</v>
      </c>
      <c r="R820" t="s">
        <v>3259</v>
      </c>
      <c r="S820" t="s">
        <v>3267</v>
      </c>
      <c r="X820" t="s">
        <v>3354</v>
      </c>
      <c r="Y820" t="s">
        <v>2678</v>
      </c>
      <c r="Z820" t="s">
        <v>3359</v>
      </c>
      <c r="AA820" t="s">
        <v>3406</v>
      </c>
      <c r="AB820" t="s">
        <v>3415</v>
      </c>
      <c r="AC820">
        <f>HYPERLINK("https://lsnyc.legalserver.org/matter/dynamic-profile/view/1894762","19-1894762")</f>
        <v>0</v>
      </c>
      <c r="AD820" t="s">
        <v>3443</v>
      </c>
      <c r="AE820" t="s">
        <v>3467</v>
      </c>
      <c r="AF820" t="s">
        <v>4155</v>
      </c>
      <c r="AG820" t="s">
        <v>3359</v>
      </c>
      <c r="AH820" t="s">
        <v>4906</v>
      </c>
      <c r="AI820" t="s">
        <v>4909</v>
      </c>
      <c r="AK820" t="s">
        <v>4911</v>
      </c>
      <c r="AL820" t="s">
        <v>2115</v>
      </c>
      <c r="AN820" t="s">
        <v>3415</v>
      </c>
    </row>
    <row r="821" spans="1:41">
      <c r="A821" s="1" t="s">
        <v>857</v>
      </c>
      <c r="B821" t="s">
        <v>1998</v>
      </c>
      <c r="C821" t="s">
        <v>1998</v>
      </c>
      <c r="D821" t="s">
        <v>2071</v>
      </c>
      <c r="E821" t="s">
        <v>2112</v>
      </c>
      <c r="F821" t="s">
        <v>2135</v>
      </c>
      <c r="G821" t="s">
        <v>2213</v>
      </c>
      <c r="H821">
        <v>10451</v>
      </c>
      <c r="I821" t="s">
        <v>2229</v>
      </c>
      <c r="J821">
        <v>2</v>
      </c>
      <c r="K821">
        <v>0</v>
      </c>
      <c r="L821" t="s">
        <v>2461</v>
      </c>
      <c r="M821" t="s">
        <v>2677</v>
      </c>
      <c r="P821" t="s">
        <v>2870</v>
      </c>
      <c r="Q821" t="s">
        <v>2113</v>
      </c>
      <c r="R821" t="s">
        <v>3258</v>
      </c>
      <c r="S821" t="s">
        <v>3271</v>
      </c>
      <c r="X821" t="s">
        <v>3354</v>
      </c>
      <c r="Y821" t="s">
        <v>2677</v>
      </c>
      <c r="Z821" t="s">
        <v>3362</v>
      </c>
      <c r="AA821" t="s">
        <v>3406</v>
      </c>
      <c r="AB821" t="s">
        <v>3419</v>
      </c>
      <c r="AC821">
        <f>HYPERLINK("https://lsnyc.legalserver.org/matter/dynamic-profile/view/1894776","19-1894776")</f>
        <v>0</v>
      </c>
      <c r="AD821" t="s">
        <v>3445</v>
      </c>
      <c r="AE821" t="s">
        <v>3455</v>
      </c>
      <c r="AF821" t="s">
        <v>4156</v>
      </c>
      <c r="AG821" t="s">
        <v>3362</v>
      </c>
      <c r="AH821" t="s">
        <v>4904</v>
      </c>
      <c r="AK821" t="s">
        <v>4911</v>
      </c>
      <c r="AL821" t="s">
        <v>2135</v>
      </c>
      <c r="AN821" t="s">
        <v>3419</v>
      </c>
    </row>
    <row r="822" spans="1:41">
      <c r="A822" s="1" t="s">
        <v>858</v>
      </c>
      <c r="B822" t="s">
        <v>2012</v>
      </c>
      <c r="C822" t="s">
        <v>2003</v>
      </c>
      <c r="D822" t="s">
        <v>2027</v>
      </c>
      <c r="E822" t="s">
        <v>2111</v>
      </c>
      <c r="F822" t="s">
        <v>2114</v>
      </c>
      <c r="G822" t="s">
        <v>2212</v>
      </c>
      <c r="H822">
        <v>11692</v>
      </c>
      <c r="I822" t="s">
        <v>2229</v>
      </c>
      <c r="J822">
        <v>6</v>
      </c>
      <c r="K822">
        <v>2</v>
      </c>
      <c r="L822" t="s">
        <v>2399</v>
      </c>
      <c r="M822" t="s">
        <v>2677</v>
      </c>
      <c r="P822" t="s">
        <v>2870</v>
      </c>
      <c r="Q822" t="s">
        <v>2113</v>
      </c>
      <c r="R822" t="s">
        <v>3259</v>
      </c>
      <c r="S822" t="s">
        <v>3268</v>
      </c>
      <c r="X822" t="s">
        <v>3354</v>
      </c>
      <c r="Y822" t="s">
        <v>2677</v>
      </c>
      <c r="Z822" t="s">
        <v>3368</v>
      </c>
      <c r="AA822" t="s">
        <v>3406</v>
      </c>
      <c r="AB822" t="s">
        <v>3416</v>
      </c>
      <c r="AC822">
        <f>HYPERLINK("https://lsnyc.legalserver.org/matter/dynamic-profile/view/1894783","19-1894783")</f>
        <v>0</v>
      </c>
      <c r="AD822" t="s">
        <v>3445</v>
      </c>
      <c r="AE822" t="s">
        <v>3455</v>
      </c>
      <c r="AF822" t="s">
        <v>3906</v>
      </c>
      <c r="AG822" t="s">
        <v>3368</v>
      </c>
      <c r="AH822" t="s">
        <v>4906</v>
      </c>
      <c r="AK822" t="s">
        <v>4911</v>
      </c>
      <c r="AL822" t="s">
        <v>2114</v>
      </c>
      <c r="AN822" t="s">
        <v>3416</v>
      </c>
    </row>
    <row r="823" spans="1:41">
      <c r="A823" s="1" t="s">
        <v>859</v>
      </c>
      <c r="B823" t="s">
        <v>2012</v>
      </c>
      <c r="C823" t="s">
        <v>2007</v>
      </c>
      <c r="D823" t="s">
        <v>2044</v>
      </c>
      <c r="E823" t="s">
        <v>2113</v>
      </c>
      <c r="F823" t="s">
        <v>2129</v>
      </c>
      <c r="G823" t="s">
        <v>2214</v>
      </c>
      <c r="H823">
        <v>11206</v>
      </c>
      <c r="I823" t="s">
        <v>2230</v>
      </c>
      <c r="J823">
        <v>1</v>
      </c>
      <c r="K823">
        <v>0</v>
      </c>
      <c r="L823" t="s">
        <v>2304</v>
      </c>
      <c r="M823" t="s">
        <v>2677</v>
      </c>
      <c r="P823" t="s">
        <v>2800</v>
      </c>
      <c r="Q823" t="s">
        <v>2113</v>
      </c>
      <c r="R823" t="s">
        <v>3259</v>
      </c>
      <c r="S823" t="s">
        <v>3267</v>
      </c>
      <c r="X823" t="s">
        <v>3354</v>
      </c>
      <c r="Y823" t="s">
        <v>2678</v>
      </c>
      <c r="Z823" t="s">
        <v>3359</v>
      </c>
      <c r="AA823" t="s">
        <v>3406</v>
      </c>
      <c r="AB823" t="s">
        <v>3415</v>
      </c>
      <c r="AC823">
        <f>HYPERLINK("https://lsnyc.legalserver.org/matter/dynamic-profile/view/1894803","19-1894803")</f>
        <v>0</v>
      </c>
      <c r="AD823" t="s">
        <v>3446</v>
      </c>
      <c r="AE823" t="s">
        <v>3456</v>
      </c>
      <c r="AF823" t="s">
        <v>4157</v>
      </c>
      <c r="AG823" t="s">
        <v>3359</v>
      </c>
      <c r="AH823" t="s">
        <v>4906</v>
      </c>
      <c r="AL823" t="s">
        <v>2129</v>
      </c>
      <c r="AN823" t="s">
        <v>3415</v>
      </c>
    </row>
    <row r="824" spans="1:41">
      <c r="A824" s="1" t="s">
        <v>860</v>
      </c>
      <c r="B824" t="s">
        <v>1998</v>
      </c>
      <c r="C824" t="s">
        <v>2012</v>
      </c>
      <c r="D824" t="s">
        <v>2067</v>
      </c>
      <c r="E824" t="s">
        <v>2111</v>
      </c>
      <c r="F824" t="s">
        <v>2115</v>
      </c>
      <c r="G824" t="s">
        <v>2212</v>
      </c>
      <c r="H824">
        <v>11435</v>
      </c>
      <c r="I824" t="s">
        <v>2229</v>
      </c>
      <c r="J824">
        <v>2</v>
      </c>
      <c r="K824">
        <v>1</v>
      </c>
      <c r="L824" t="s">
        <v>2260</v>
      </c>
      <c r="M824" t="s">
        <v>2677</v>
      </c>
      <c r="P824" t="s">
        <v>2798</v>
      </c>
      <c r="Q824" t="s">
        <v>2113</v>
      </c>
      <c r="R824" t="s">
        <v>3259</v>
      </c>
      <c r="S824" t="s">
        <v>3267</v>
      </c>
      <c r="X824" t="s">
        <v>3354</v>
      </c>
      <c r="Y824" t="s">
        <v>2678</v>
      </c>
      <c r="Z824" t="s">
        <v>3359</v>
      </c>
      <c r="AA824" t="s">
        <v>3406</v>
      </c>
      <c r="AB824" t="s">
        <v>3415</v>
      </c>
      <c r="AC824">
        <f>HYPERLINK("https://lsnyc.legalserver.org/matter/dynamic-profile/view/1894816","19-1894816")</f>
        <v>0</v>
      </c>
      <c r="AD824" t="s">
        <v>3443</v>
      </c>
      <c r="AE824" t="s">
        <v>3457</v>
      </c>
      <c r="AF824" t="s">
        <v>3999</v>
      </c>
      <c r="AG824" t="s">
        <v>3359</v>
      </c>
      <c r="AH824" t="s">
        <v>4906</v>
      </c>
      <c r="AL824" t="s">
        <v>2115</v>
      </c>
      <c r="AN824" t="s">
        <v>3415</v>
      </c>
    </row>
    <row r="825" spans="1:41">
      <c r="A825" s="1" t="s">
        <v>861</v>
      </c>
      <c r="B825" t="s">
        <v>2001</v>
      </c>
      <c r="C825" t="s">
        <v>2000</v>
      </c>
      <c r="D825" t="s">
        <v>2051</v>
      </c>
      <c r="E825" t="s">
        <v>2111</v>
      </c>
      <c r="F825" t="s">
        <v>2123</v>
      </c>
      <c r="G825" t="s">
        <v>2213</v>
      </c>
      <c r="H825">
        <v>10453</v>
      </c>
      <c r="I825" t="s">
        <v>2229</v>
      </c>
      <c r="J825">
        <v>4</v>
      </c>
      <c r="K825">
        <v>3</v>
      </c>
      <c r="L825" t="s">
        <v>2281</v>
      </c>
      <c r="M825" t="s">
        <v>2677</v>
      </c>
      <c r="P825" t="s">
        <v>2870</v>
      </c>
      <c r="Q825" t="s">
        <v>2113</v>
      </c>
      <c r="R825" t="s">
        <v>3258</v>
      </c>
      <c r="S825" t="s">
        <v>3271</v>
      </c>
      <c r="T825" t="s">
        <v>3294</v>
      </c>
      <c r="U825" t="s">
        <v>2814</v>
      </c>
      <c r="V825" t="s">
        <v>3352</v>
      </c>
      <c r="X825" t="s">
        <v>3354</v>
      </c>
      <c r="Y825" t="s">
        <v>2677</v>
      </c>
      <c r="Z825" t="s">
        <v>3362</v>
      </c>
      <c r="AA825" t="s">
        <v>3406</v>
      </c>
      <c r="AB825" t="s">
        <v>3419</v>
      </c>
      <c r="AC825">
        <f>HYPERLINK("https://lsnyc.legalserver.org/matter/dynamic-profile/view/1894827","19-1894827")</f>
        <v>0</v>
      </c>
      <c r="AD825" t="s">
        <v>3445</v>
      </c>
      <c r="AE825" t="s">
        <v>3452</v>
      </c>
      <c r="AF825" t="s">
        <v>3525</v>
      </c>
      <c r="AG825" t="s">
        <v>3362</v>
      </c>
      <c r="AH825" t="s">
        <v>4904</v>
      </c>
      <c r="AK825" t="s">
        <v>4911</v>
      </c>
      <c r="AL825" t="s">
        <v>2123</v>
      </c>
      <c r="AM825" t="s">
        <v>3294</v>
      </c>
      <c r="AN825" t="s">
        <v>3419</v>
      </c>
      <c r="AO825" t="s">
        <v>3352</v>
      </c>
    </row>
    <row r="826" spans="1:41">
      <c r="A826" s="1" t="s">
        <v>862</v>
      </c>
      <c r="B826" t="s">
        <v>2012</v>
      </c>
      <c r="C826" t="s">
        <v>2001</v>
      </c>
      <c r="D826" t="s">
        <v>2091</v>
      </c>
      <c r="E826" t="s">
        <v>2112</v>
      </c>
      <c r="F826" t="s">
        <v>2114</v>
      </c>
      <c r="G826" t="s">
        <v>2212</v>
      </c>
      <c r="H826">
        <v>11692</v>
      </c>
      <c r="I826" t="s">
        <v>2229</v>
      </c>
      <c r="J826">
        <v>6</v>
      </c>
      <c r="K826">
        <v>2</v>
      </c>
      <c r="L826" t="s">
        <v>2399</v>
      </c>
      <c r="M826" t="s">
        <v>2677</v>
      </c>
      <c r="P826" t="s">
        <v>2870</v>
      </c>
      <c r="Q826" t="s">
        <v>2113</v>
      </c>
      <c r="R826" t="s">
        <v>3259</v>
      </c>
      <c r="S826" t="s">
        <v>3267</v>
      </c>
      <c r="X826" t="s">
        <v>3354</v>
      </c>
      <c r="Y826" t="s">
        <v>2677</v>
      </c>
      <c r="Z826" t="s">
        <v>3359</v>
      </c>
      <c r="AA826" t="s">
        <v>3406</v>
      </c>
      <c r="AB826" t="s">
        <v>3415</v>
      </c>
      <c r="AC826">
        <f>HYPERLINK("https://lsnyc.legalserver.org/matter/dynamic-profile/view/1894856","19-1894856")</f>
        <v>0</v>
      </c>
      <c r="AD826" t="s">
        <v>3445</v>
      </c>
      <c r="AE826" t="s">
        <v>3455</v>
      </c>
      <c r="AF826" t="s">
        <v>3907</v>
      </c>
      <c r="AG826" t="s">
        <v>3359</v>
      </c>
      <c r="AH826" t="s">
        <v>4906</v>
      </c>
      <c r="AK826" t="s">
        <v>4911</v>
      </c>
      <c r="AL826" t="s">
        <v>2114</v>
      </c>
      <c r="AN826" t="s">
        <v>3415</v>
      </c>
    </row>
    <row r="827" spans="1:41">
      <c r="A827" s="1" t="s">
        <v>863</v>
      </c>
      <c r="B827" t="s">
        <v>1998</v>
      </c>
      <c r="C827" t="s">
        <v>2009</v>
      </c>
      <c r="D827" t="s">
        <v>2047</v>
      </c>
      <c r="E827" t="s">
        <v>2112</v>
      </c>
      <c r="F827" t="s">
        <v>2135</v>
      </c>
      <c r="G827" t="s">
        <v>2212</v>
      </c>
      <c r="H827">
        <v>11370</v>
      </c>
      <c r="I827" t="s">
        <v>2229</v>
      </c>
      <c r="J827">
        <v>1</v>
      </c>
      <c r="K827">
        <v>0</v>
      </c>
      <c r="L827" t="s">
        <v>2462</v>
      </c>
      <c r="M827" t="s">
        <v>2677</v>
      </c>
      <c r="P827" t="s">
        <v>2856</v>
      </c>
      <c r="Q827" t="s">
        <v>2113</v>
      </c>
      <c r="R827" t="s">
        <v>3258</v>
      </c>
      <c r="S827" t="s">
        <v>3286</v>
      </c>
      <c r="T827" t="s">
        <v>3294</v>
      </c>
      <c r="U827" t="s">
        <v>3308</v>
      </c>
      <c r="X827" t="s">
        <v>3354</v>
      </c>
      <c r="Y827" t="s">
        <v>2677</v>
      </c>
      <c r="Z827" t="s">
        <v>3388</v>
      </c>
      <c r="AA827" t="s">
        <v>3406</v>
      </c>
      <c r="AB827" t="s">
        <v>3434</v>
      </c>
      <c r="AC827">
        <f>HYPERLINK("https://lsnyc.legalserver.org/matter/dynamic-profile/view/1894622","19-1894622")</f>
        <v>0</v>
      </c>
      <c r="AD827" t="s">
        <v>3445</v>
      </c>
      <c r="AE827" t="s">
        <v>3452</v>
      </c>
      <c r="AF827" t="s">
        <v>4158</v>
      </c>
      <c r="AG827" t="s">
        <v>3388</v>
      </c>
      <c r="AH827" t="s">
        <v>4904</v>
      </c>
      <c r="AK827" t="s">
        <v>4911</v>
      </c>
      <c r="AL827" t="s">
        <v>2135</v>
      </c>
      <c r="AM827" t="s">
        <v>3294</v>
      </c>
      <c r="AN827" t="s">
        <v>3434</v>
      </c>
    </row>
    <row r="828" spans="1:41">
      <c r="A828" s="1" t="s">
        <v>864</v>
      </c>
      <c r="B828" t="s">
        <v>1998</v>
      </c>
      <c r="C828" t="s">
        <v>2005</v>
      </c>
      <c r="D828" t="s">
        <v>2094</v>
      </c>
      <c r="E828" t="s">
        <v>2112</v>
      </c>
      <c r="F828" t="s">
        <v>2114</v>
      </c>
      <c r="G828" t="s">
        <v>2214</v>
      </c>
      <c r="H828">
        <v>11220</v>
      </c>
      <c r="I828" t="s">
        <v>2229</v>
      </c>
      <c r="J828">
        <v>2</v>
      </c>
      <c r="K828">
        <v>1</v>
      </c>
      <c r="L828" t="s">
        <v>2260</v>
      </c>
      <c r="M828" t="s">
        <v>2677</v>
      </c>
      <c r="P828" t="s">
        <v>2856</v>
      </c>
      <c r="Q828" t="s">
        <v>2113</v>
      </c>
      <c r="R828" t="s">
        <v>3259</v>
      </c>
      <c r="S828" t="s">
        <v>3267</v>
      </c>
      <c r="T828" t="s">
        <v>3294</v>
      </c>
      <c r="X828" t="s">
        <v>3354</v>
      </c>
      <c r="Y828" t="s">
        <v>2678</v>
      </c>
      <c r="Z828" t="s">
        <v>3359</v>
      </c>
      <c r="AA828" t="s">
        <v>3406</v>
      </c>
      <c r="AB828" t="s">
        <v>3415</v>
      </c>
      <c r="AC828">
        <f>HYPERLINK("https://lsnyc.legalserver.org/matter/dynamic-profile/view/1894648","19-1894648")</f>
        <v>0</v>
      </c>
      <c r="AD828" t="s">
        <v>3446</v>
      </c>
      <c r="AE828" t="s">
        <v>3481</v>
      </c>
      <c r="AF828" t="s">
        <v>3958</v>
      </c>
      <c r="AG828" t="s">
        <v>3359</v>
      </c>
      <c r="AH828" t="s">
        <v>4904</v>
      </c>
      <c r="AK828" t="s">
        <v>4911</v>
      </c>
      <c r="AL828" t="s">
        <v>2114</v>
      </c>
      <c r="AM828" t="s">
        <v>3294</v>
      </c>
      <c r="AN828" t="s">
        <v>3415</v>
      </c>
    </row>
    <row r="829" spans="1:41">
      <c r="A829" s="1" t="s">
        <v>865</v>
      </c>
      <c r="B829" t="s">
        <v>2001</v>
      </c>
      <c r="C829" t="s">
        <v>2003</v>
      </c>
      <c r="D829" t="s">
        <v>2099</v>
      </c>
      <c r="E829" t="s">
        <v>2112</v>
      </c>
      <c r="F829" t="s">
        <v>2117</v>
      </c>
      <c r="G829" t="s">
        <v>2214</v>
      </c>
      <c r="H829">
        <v>11221</v>
      </c>
      <c r="I829" t="s">
        <v>2229</v>
      </c>
      <c r="J829">
        <v>1</v>
      </c>
      <c r="K829">
        <v>0</v>
      </c>
      <c r="L829" t="s">
        <v>2463</v>
      </c>
      <c r="M829" t="s">
        <v>2677</v>
      </c>
      <c r="P829" t="s">
        <v>2856</v>
      </c>
      <c r="Q829" t="s">
        <v>2113</v>
      </c>
      <c r="R829" t="s">
        <v>3258</v>
      </c>
      <c r="S829" t="s">
        <v>3271</v>
      </c>
      <c r="X829" t="s">
        <v>3354</v>
      </c>
      <c r="Y829" t="s">
        <v>2677</v>
      </c>
      <c r="Z829" t="s">
        <v>3362</v>
      </c>
      <c r="AA829" t="s">
        <v>3406</v>
      </c>
      <c r="AB829" t="s">
        <v>3419</v>
      </c>
      <c r="AC829">
        <f>HYPERLINK("https://lsnyc.legalserver.org/matter/dynamic-profile/view/1894676","19-1894676")</f>
        <v>0</v>
      </c>
      <c r="AD829" t="s">
        <v>3445</v>
      </c>
      <c r="AE829" t="s">
        <v>3455</v>
      </c>
      <c r="AF829" t="s">
        <v>4159</v>
      </c>
      <c r="AG829" t="s">
        <v>3362</v>
      </c>
      <c r="AH829" t="s">
        <v>4904</v>
      </c>
      <c r="AK829" t="s">
        <v>4911</v>
      </c>
      <c r="AL829" t="s">
        <v>2117</v>
      </c>
      <c r="AN829" t="s">
        <v>3419</v>
      </c>
    </row>
    <row r="830" spans="1:41">
      <c r="A830" s="1" t="s">
        <v>866</v>
      </c>
      <c r="B830" t="s">
        <v>2001</v>
      </c>
      <c r="C830" t="s">
        <v>2009</v>
      </c>
      <c r="D830" t="s">
        <v>2033</v>
      </c>
      <c r="E830" t="s">
        <v>2111</v>
      </c>
      <c r="F830" t="s">
        <v>2123</v>
      </c>
      <c r="G830" t="s">
        <v>2213</v>
      </c>
      <c r="H830">
        <v>10468</v>
      </c>
      <c r="I830" t="s">
        <v>2229</v>
      </c>
      <c r="J830">
        <v>1</v>
      </c>
      <c r="K830">
        <v>0</v>
      </c>
      <c r="L830" t="s">
        <v>2464</v>
      </c>
      <c r="M830" t="s">
        <v>2677</v>
      </c>
      <c r="P830" t="s">
        <v>2871</v>
      </c>
      <c r="Q830" t="s">
        <v>2113</v>
      </c>
      <c r="R830" t="s">
        <v>3258</v>
      </c>
      <c r="S830" t="s">
        <v>3271</v>
      </c>
      <c r="X830" t="s">
        <v>3354</v>
      </c>
      <c r="Y830" t="s">
        <v>2677</v>
      </c>
      <c r="Z830" t="s">
        <v>3362</v>
      </c>
      <c r="AA830" t="s">
        <v>3406</v>
      </c>
      <c r="AB830" t="s">
        <v>3419</v>
      </c>
      <c r="AC830">
        <f>HYPERLINK("https://lsnyc.legalserver.org/matter/dynamic-profile/view/1894578","19-1894578")</f>
        <v>0</v>
      </c>
      <c r="AD830" t="s">
        <v>3445</v>
      </c>
      <c r="AE830" t="s">
        <v>3469</v>
      </c>
      <c r="AF830" t="s">
        <v>4160</v>
      </c>
      <c r="AG830" t="s">
        <v>3362</v>
      </c>
      <c r="AH830" t="s">
        <v>4904</v>
      </c>
      <c r="AK830" t="s">
        <v>4911</v>
      </c>
      <c r="AL830" t="s">
        <v>2123</v>
      </c>
      <c r="AN830" t="s">
        <v>3419</v>
      </c>
    </row>
    <row r="831" spans="1:41">
      <c r="A831" s="1" t="s">
        <v>867</v>
      </c>
      <c r="B831" t="s">
        <v>2012</v>
      </c>
      <c r="C831" t="s">
        <v>2018</v>
      </c>
      <c r="D831" t="s">
        <v>2096</v>
      </c>
      <c r="E831" t="s">
        <v>2111</v>
      </c>
      <c r="F831" t="s">
        <v>2120</v>
      </c>
      <c r="G831" t="s">
        <v>2214</v>
      </c>
      <c r="H831">
        <v>11225</v>
      </c>
      <c r="I831" t="s">
        <v>2230</v>
      </c>
      <c r="J831">
        <v>5</v>
      </c>
      <c r="K831">
        <v>3</v>
      </c>
      <c r="L831" t="s">
        <v>2288</v>
      </c>
      <c r="M831" t="s">
        <v>2677</v>
      </c>
      <c r="P831" t="s">
        <v>2871</v>
      </c>
      <c r="Q831" t="s">
        <v>2113</v>
      </c>
      <c r="R831" t="s">
        <v>3259</v>
      </c>
      <c r="S831" t="s">
        <v>3267</v>
      </c>
      <c r="X831" t="s">
        <v>3354</v>
      </c>
      <c r="Y831" t="s">
        <v>2678</v>
      </c>
      <c r="Z831" t="s">
        <v>3359</v>
      </c>
      <c r="AA831" t="s">
        <v>3406</v>
      </c>
      <c r="AB831" t="s">
        <v>3415</v>
      </c>
      <c r="AC831">
        <f>HYPERLINK("https://lsnyc.legalserver.org/matter/dynamic-profile/view/1894601","19-1894601")</f>
        <v>0</v>
      </c>
      <c r="AD831" t="s">
        <v>3446</v>
      </c>
      <c r="AE831" t="s">
        <v>3481</v>
      </c>
      <c r="AF831" t="s">
        <v>4161</v>
      </c>
      <c r="AG831" t="s">
        <v>3359</v>
      </c>
      <c r="AH831" t="s">
        <v>4906</v>
      </c>
      <c r="AK831" t="s">
        <v>4911</v>
      </c>
      <c r="AL831" t="s">
        <v>2120</v>
      </c>
      <c r="AN831" t="s">
        <v>3415</v>
      </c>
    </row>
    <row r="832" spans="1:41">
      <c r="A832" s="1" t="s">
        <v>868</v>
      </c>
      <c r="B832" t="s">
        <v>2004</v>
      </c>
      <c r="C832" t="s">
        <v>1998</v>
      </c>
      <c r="D832" t="s">
        <v>2069</v>
      </c>
      <c r="E832" t="s">
        <v>2112</v>
      </c>
      <c r="F832" t="s">
        <v>2121</v>
      </c>
      <c r="G832" t="s">
        <v>2212</v>
      </c>
      <c r="H832">
        <v>11356</v>
      </c>
      <c r="I832" t="s">
        <v>2229</v>
      </c>
      <c r="J832">
        <v>3</v>
      </c>
      <c r="K832">
        <v>0</v>
      </c>
      <c r="L832" t="s">
        <v>2465</v>
      </c>
      <c r="M832" t="s">
        <v>2677</v>
      </c>
      <c r="P832" t="s">
        <v>2781</v>
      </c>
      <c r="Q832" t="s">
        <v>3255</v>
      </c>
      <c r="R832" t="s">
        <v>3259</v>
      </c>
      <c r="S832" t="s">
        <v>3272</v>
      </c>
      <c r="X832" t="s">
        <v>3354</v>
      </c>
      <c r="Y832" t="s">
        <v>2678</v>
      </c>
      <c r="Z832" t="s">
        <v>3364</v>
      </c>
      <c r="AA832" t="s">
        <v>3406</v>
      </c>
      <c r="AB832" t="s">
        <v>3420</v>
      </c>
      <c r="AC832">
        <f>HYPERLINK("https://lsnyc.legalserver.org/matter/dynamic-profile/view/1894194","19-1894194")</f>
        <v>0</v>
      </c>
      <c r="AD832" t="s">
        <v>3443</v>
      </c>
      <c r="AE832" t="s">
        <v>3457</v>
      </c>
      <c r="AF832" t="s">
        <v>4162</v>
      </c>
      <c r="AG832" t="s">
        <v>3364</v>
      </c>
      <c r="AH832" t="s">
        <v>4904</v>
      </c>
      <c r="AL832" t="s">
        <v>2121</v>
      </c>
      <c r="AN832" t="s">
        <v>3420</v>
      </c>
    </row>
    <row r="833" spans="1:40">
      <c r="A833" s="1" t="s">
        <v>869</v>
      </c>
      <c r="B833" t="s">
        <v>2001</v>
      </c>
      <c r="C833" t="s">
        <v>2002</v>
      </c>
      <c r="D833" t="s">
        <v>2055</v>
      </c>
      <c r="E833" t="s">
        <v>2111</v>
      </c>
      <c r="F833" t="s">
        <v>2131</v>
      </c>
      <c r="G833" t="s">
        <v>2213</v>
      </c>
      <c r="H833">
        <v>10458</v>
      </c>
      <c r="I833" t="s">
        <v>2229</v>
      </c>
      <c r="J833">
        <v>3</v>
      </c>
      <c r="K833">
        <v>0</v>
      </c>
      <c r="L833" t="s">
        <v>2401</v>
      </c>
      <c r="M833" t="s">
        <v>2677</v>
      </c>
      <c r="P833" t="s">
        <v>2872</v>
      </c>
      <c r="Q833" t="s">
        <v>3255</v>
      </c>
      <c r="R833" t="s">
        <v>3259</v>
      </c>
      <c r="S833" t="s">
        <v>3268</v>
      </c>
      <c r="X833" t="s">
        <v>3354</v>
      </c>
      <c r="Y833" t="s">
        <v>2678</v>
      </c>
      <c r="Z833" t="s">
        <v>3368</v>
      </c>
      <c r="AA833" t="s">
        <v>3406</v>
      </c>
      <c r="AB833" t="s">
        <v>3416</v>
      </c>
      <c r="AC833">
        <f>HYPERLINK("https://lsnyc.legalserver.org/matter/dynamic-profile/view/1894212","19-1894212")</f>
        <v>0</v>
      </c>
      <c r="AD833" t="s">
        <v>3443</v>
      </c>
      <c r="AE833" t="s">
        <v>3457</v>
      </c>
      <c r="AF833" t="s">
        <v>4163</v>
      </c>
      <c r="AG833" t="s">
        <v>3368</v>
      </c>
      <c r="AH833" t="s">
        <v>4904</v>
      </c>
      <c r="AK833" t="s">
        <v>4911</v>
      </c>
      <c r="AL833" t="s">
        <v>2131</v>
      </c>
      <c r="AN833" t="s">
        <v>3416</v>
      </c>
    </row>
    <row r="834" spans="1:40">
      <c r="A834" s="1" t="s">
        <v>870</v>
      </c>
      <c r="B834" t="s">
        <v>2000</v>
      </c>
      <c r="C834" t="s">
        <v>1998</v>
      </c>
      <c r="D834" t="s">
        <v>2056</v>
      </c>
      <c r="E834" t="s">
        <v>2112</v>
      </c>
      <c r="F834" t="s">
        <v>2182</v>
      </c>
      <c r="G834" t="s">
        <v>2213</v>
      </c>
      <c r="H834">
        <v>10456</v>
      </c>
      <c r="I834" t="s">
        <v>2230</v>
      </c>
      <c r="J834">
        <v>6</v>
      </c>
      <c r="K834">
        <v>2</v>
      </c>
      <c r="L834" t="s">
        <v>2466</v>
      </c>
      <c r="M834" t="s">
        <v>2677</v>
      </c>
      <c r="P834" t="s">
        <v>2873</v>
      </c>
      <c r="Q834" t="s">
        <v>2113</v>
      </c>
      <c r="R834" t="s">
        <v>3258</v>
      </c>
      <c r="S834" t="s">
        <v>3286</v>
      </c>
      <c r="X834" t="s">
        <v>3354</v>
      </c>
      <c r="Y834" t="s">
        <v>2677</v>
      </c>
      <c r="Z834" t="s">
        <v>3388</v>
      </c>
      <c r="AA834" t="s">
        <v>3406</v>
      </c>
      <c r="AB834" t="s">
        <v>3434</v>
      </c>
      <c r="AC834">
        <f>HYPERLINK("https://lsnyc.legalserver.org/matter/dynamic-profile/view/1894053","19-1894053")</f>
        <v>0</v>
      </c>
      <c r="AD834" t="s">
        <v>3445</v>
      </c>
      <c r="AE834" t="s">
        <v>3452</v>
      </c>
      <c r="AF834" t="s">
        <v>4164</v>
      </c>
      <c r="AG834" t="s">
        <v>3388</v>
      </c>
      <c r="AH834" t="s">
        <v>4904</v>
      </c>
      <c r="AK834" t="s">
        <v>4911</v>
      </c>
      <c r="AL834" t="s">
        <v>2182</v>
      </c>
      <c r="AN834" t="s">
        <v>3434</v>
      </c>
    </row>
    <row r="835" spans="1:40">
      <c r="A835" s="1" t="s">
        <v>871</v>
      </c>
      <c r="B835" t="s">
        <v>2000</v>
      </c>
      <c r="C835" t="s">
        <v>2005</v>
      </c>
      <c r="D835" t="s">
        <v>2045</v>
      </c>
      <c r="E835" t="s">
        <v>2111</v>
      </c>
      <c r="F835" t="s">
        <v>2129</v>
      </c>
      <c r="G835" t="s">
        <v>2211</v>
      </c>
      <c r="H835">
        <v>10010</v>
      </c>
      <c r="I835" t="s">
        <v>2232</v>
      </c>
      <c r="J835">
        <v>1</v>
      </c>
      <c r="K835">
        <v>0</v>
      </c>
      <c r="L835" t="s">
        <v>2395</v>
      </c>
      <c r="M835" t="s">
        <v>2677</v>
      </c>
      <c r="P835" t="s">
        <v>2802</v>
      </c>
      <c r="Q835" t="s">
        <v>2113</v>
      </c>
      <c r="R835" t="s">
        <v>3258</v>
      </c>
      <c r="S835" t="s">
        <v>3262</v>
      </c>
      <c r="T835" t="s">
        <v>3294</v>
      </c>
      <c r="U835" t="s">
        <v>2870</v>
      </c>
      <c r="X835" t="s">
        <v>3354</v>
      </c>
      <c r="Y835" t="s">
        <v>2678</v>
      </c>
      <c r="Z835" t="s">
        <v>3355</v>
      </c>
      <c r="AA835" t="s">
        <v>3406</v>
      </c>
      <c r="AB835" t="s">
        <v>3410</v>
      </c>
      <c r="AC835">
        <f>HYPERLINK("https://lsnyc.legalserver.org/matter/dynamic-profile/view/1894058","19-1894058")</f>
        <v>0</v>
      </c>
      <c r="AD835" t="s">
        <v>3446</v>
      </c>
      <c r="AE835" t="s">
        <v>3485</v>
      </c>
      <c r="AF835" t="s">
        <v>4165</v>
      </c>
      <c r="AG835" t="s">
        <v>3355</v>
      </c>
      <c r="AH835" t="s">
        <v>4904</v>
      </c>
      <c r="AL835" t="s">
        <v>2129</v>
      </c>
      <c r="AM835" t="s">
        <v>3294</v>
      </c>
      <c r="AN835" t="s">
        <v>3410</v>
      </c>
    </row>
    <row r="836" spans="1:40">
      <c r="A836" s="1" t="s">
        <v>872</v>
      </c>
      <c r="B836" t="s">
        <v>1998</v>
      </c>
      <c r="C836" t="s">
        <v>2005</v>
      </c>
      <c r="D836" t="s">
        <v>2080</v>
      </c>
      <c r="E836" t="s">
        <v>2112</v>
      </c>
      <c r="F836" t="s">
        <v>2116</v>
      </c>
      <c r="G836" t="s">
        <v>2211</v>
      </c>
      <c r="H836">
        <v>10128</v>
      </c>
      <c r="J836">
        <v>5</v>
      </c>
      <c r="K836">
        <v>4</v>
      </c>
      <c r="L836" t="s">
        <v>2467</v>
      </c>
      <c r="M836" t="s">
        <v>2677</v>
      </c>
      <c r="P836" t="s">
        <v>2873</v>
      </c>
      <c r="Q836" t="s">
        <v>2113</v>
      </c>
      <c r="R836" t="s">
        <v>3258</v>
      </c>
      <c r="S836" t="s">
        <v>3286</v>
      </c>
      <c r="X836" t="s">
        <v>3354</v>
      </c>
      <c r="Y836" t="s">
        <v>2677</v>
      </c>
      <c r="Z836" t="s">
        <v>3388</v>
      </c>
      <c r="AA836" t="s">
        <v>3406</v>
      </c>
      <c r="AB836" t="s">
        <v>3434</v>
      </c>
      <c r="AC836">
        <f>HYPERLINK("https://lsnyc.legalserver.org/matter/dynamic-profile/view/1894092","19-1894092")</f>
        <v>0</v>
      </c>
      <c r="AD836" t="s">
        <v>3445</v>
      </c>
      <c r="AE836" t="s">
        <v>3455</v>
      </c>
      <c r="AF836" t="s">
        <v>4166</v>
      </c>
      <c r="AG836" t="s">
        <v>3388</v>
      </c>
      <c r="AH836" t="s">
        <v>4904</v>
      </c>
      <c r="AL836" t="s">
        <v>2116</v>
      </c>
      <c r="AN836" t="s">
        <v>3434</v>
      </c>
    </row>
    <row r="837" spans="1:40">
      <c r="A837" s="1" t="s">
        <v>873</v>
      </c>
      <c r="B837" t="s">
        <v>2000</v>
      </c>
      <c r="C837" t="s">
        <v>2009</v>
      </c>
      <c r="D837" t="s">
        <v>2047</v>
      </c>
      <c r="E837" t="s">
        <v>2112</v>
      </c>
      <c r="F837" t="s">
        <v>2123</v>
      </c>
      <c r="G837" t="s">
        <v>2211</v>
      </c>
      <c r="H837">
        <v>10031</v>
      </c>
      <c r="I837" t="s">
        <v>2229</v>
      </c>
      <c r="J837">
        <v>1</v>
      </c>
      <c r="K837">
        <v>0</v>
      </c>
      <c r="L837" t="s">
        <v>2468</v>
      </c>
      <c r="M837" t="s">
        <v>2677</v>
      </c>
      <c r="P837" t="s">
        <v>2873</v>
      </c>
      <c r="Q837" t="s">
        <v>2113</v>
      </c>
      <c r="R837" t="s">
        <v>3260</v>
      </c>
      <c r="S837" t="s">
        <v>3266</v>
      </c>
      <c r="X837" t="s">
        <v>3354</v>
      </c>
      <c r="Y837" t="s">
        <v>2678</v>
      </c>
      <c r="AB837" t="s">
        <v>3414</v>
      </c>
      <c r="AC837">
        <f>HYPERLINK("https://lsnyc.legalserver.org/matter/dynamic-profile/view/1894096","19-1894096")</f>
        <v>0</v>
      </c>
      <c r="AD837" t="s">
        <v>3442</v>
      </c>
      <c r="AE837" t="s">
        <v>3487</v>
      </c>
      <c r="AF837" t="s">
        <v>4167</v>
      </c>
      <c r="AI837" t="s">
        <v>4909</v>
      </c>
      <c r="AL837" t="s">
        <v>2123</v>
      </c>
      <c r="AN837" t="s">
        <v>3414</v>
      </c>
    </row>
    <row r="838" spans="1:40">
      <c r="A838" s="1" t="s">
        <v>874</v>
      </c>
      <c r="B838" t="s">
        <v>1998</v>
      </c>
      <c r="C838" t="s">
        <v>2005</v>
      </c>
      <c r="D838" t="s">
        <v>2080</v>
      </c>
      <c r="E838" t="s">
        <v>2112</v>
      </c>
      <c r="F838" t="s">
        <v>2116</v>
      </c>
      <c r="G838" t="s">
        <v>2211</v>
      </c>
      <c r="H838">
        <v>10128</v>
      </c>
      <c r="J838">
        <v>5</v>
      </c>
      <c r="K838">
        <v>4</v>
      </c>
      <c r="L838" t="s">
        <v>2467</v>
      </c>
      <c r="M838" t="s">
        <v>2677</v>
      </c>
      <c r="P838" t="s">
        <v>2873</v>
      </c>
      <c r="Q838" t="s">
        <v>2113</v>
      </c>
      <c r="R838" t="s">
        <v>3258</v>
      </c>
      <c r="S838" t="s">
        <v>3279</v>
      </c>
      <c r="X838" t="s">
        <v>3354</v>
      </c>
      <c r="Y838" t="s">
        <v>2677</v>
      </c>
      <c r="Z838" t="s">
        <v>3377</v>
      </c>
      <c r="AA838" t="s">
        <v>3406</v>
      </c>
      <c r="AB838" t="s">
        <v>3427</v>
      </c>
      <c r="AC838">
        <f>HYPERLINK("https://lsnyc.legalserver.org/matter/dynamic-profile/view/1894097","19-1894097")</f>
        <v>0</v>
      </c>
      <c r="AD838" t="s">
        <v>3445</v>
      </c>
      <c r="AE838" t="s">
        <v>3455</v>
      </c>
      <c r="AF838" t="s">
        <v>4166</v>
      </c>
      <c r="AG838" t="s">
        <v>3377</v>
      </c>
      <c r="AH838" t="s">
        <v>4904</v>
      </c>
      <c r="AK838" t="s">
        <v>4911</v>
      </c>
      <c r="AL838" t="s">
        <v>2116</v>
      </c>
      <c r="AN838" t="s">
        <v>3427</v>
      </c>
    </row>
    <row r="839" spans="1:40">
      <c r="A839" s="1" t="s">
        <v>875</v>
      </c>
      <c r="B839" t="s">
        <v>2016</v>
      </c>
      <c r="C839" t="s">
        <v>2000</v>
      </c>
      <c r="D839" t="s">
        <v>2063</v>
      </c>
      <c r="E839" t="s">
        <v>2112</v>
      </c>
      <c r="F839" t="s">
        <v>2143</v>
      </c>
      <c r="G839" t="s">
        <v>2216</v>
      </c>
      <c r="H839">
        <v>10304</v>
      </c>
      <c r="I839" t="s">
        <v>2230</v>
      </c>
      <c r="J839">
        <v>3</v>
      </c>
      <c r="K839">
        <v>1</v>
      </c>
      <c r="L839" t="s">
        <v>2469</v>
      </c>
      <c r="M839" t="s">
        <v>2677</v>
      </c>
      <c r="P839" t="s">
        <v>2873</v>
      </c>
      <c r="Q839" t="s">
        <v>2113</v>
      </c>
      <c r="R839" t="s">
        <v>3258</v>
      </c>
      <c r="S839" t="s">
        <v>3286</v>
      </c>
      <c r="X839" t="s">
        <v>3354</v>
      </c>
      <c r="Y839" t="s">
        <v>2677</v>
      </c>
      <c r="Z839" t="s">
        <v>3388</v>
      </c>
      <c r="AA839" t="s">
        <v>3406</v>
      </c>
      <c r="AB839" t="s">
        <v>3434</v>
      </c>
      <c r="AC839">
        <f>HYPERLINK("https://lsnyc.legalserver.org/matter/dynamic-profile/view/1894105","19-1894105")</f>
        <v>0</v>
      </c>
      <c r="AD839" t="s">
        <v>3445</v>
      </c>
      <c r="AE839" t="s">
        <v>3452</v>
      </c>
      <c r="AF839" t="s">
        <v>4168</v>
      </c>
      <c r="AG839" t="s">
        <v>3388</v>
      </c>
      <c r="AH839" t="s">
        <v>4904</v>
      </c>
      <c r="AK839" t="s">
        <v>4911</v>
      </c>
      <c r="AL839" t="s">
        <v>2143</v>
      </c>
      <c r="AN839" t="s">
        <v>3434</v>
      </c>
    </row>
    <row r="840" spans="1:40">
      <c r="A840" s="1" t="s">
        <v>876</v>
      </c>
      <c r="B840" t="s">
        <v>2001</v>
      </c>
      <c r="C840" t="s">
        <v>2000</v>
      </c>
      <c r="D840" t="s">
        <v>2063</v>
      </c>
      <c r="E840" t="s">
        <v>2112</v>
      </c>
      <c r="F840" t="s">
        <v>2120</v>
      </c>
      <c r="G840" t="s">
        <v>2212</v>
      </c>
      <c r="H840">
        <v>11413</v>
      </c>
      <c r="I840" t="s">
        <v>2230</v>
      </c>
      <c r="J840">
        <v>4</v>
      </c>
      <c r="K840">
        <v>0</v>
      </c>
      <c r="L840" t="s">
        <v>2260</v>
      </c>
      <c r="M840" t="s">
        <v>2677</v>
      </c>
      <c r="P840" t="s">
        <v>2747</v>
      </c>
      <c r="Q840" t="s">
        <v>2113</v>
      </c>
      <c r="R840" t="s">
        <v>3259</v>
      </c>
      <c r="S840" t="s">
        <v>3270</v>
      </c>
      <c r="X840" t="s">
        <v>3354</v>
      </c>
      <c r="Y840" t="s">
        <v>2678</v>
      </c>
      <c r="Z840" t="s">
        <v>3359</v>
      </c>
      <c r="AA840" t="s">
        <v>3406</v>
      </c>
      <c r="AB840" t="s">
        <v>3418</v>
      </c>
      <c r="AC840">
        <f>HYPERLINK("https://lsnyc.legalserver.org/matter/dynamic-profile/view/1894148","19-1894148")</f>
        <v>0</v>
      </c>
      <c r="AD840" t="s">
        <v>3443</v>
      </c>
      <c r="AE840" t="s">
        <v>3457</v>
      </c>
      <c r="AF840" t="s">
        <v>4169</v>
      </c>
      <c r="AG840" t="s">
        <v>3359</v>
      </c>
      <c r="AH840" t="s">
        <v>4906</v>
      </c>
      <c r="AL840" t="s">
        <v>2120</v>
      </c>
      <c r="AN840" t="s">
        <v>3418</v>
      </c>
    </row>
    <row r="841" spans="1:40">
      <c r="A841" s="1" t="s">
        <v>877</v>
      </c>
      <c r="B841" t="s">
        <v>2012</v>
      </c>
      <c r="C841" t="s">
        <v>2012</v>
      </c>
      <c r="D841" t="s">
        <v>2083</v>
      </c>
      <c r="E841" t="s">
        <v>2111</v>
      </c>
      <c r="F841" t="s">
        <v>2160</v>
      </c>
      <c r="G841" t="s">
        <v>2222</v>
      </c>
      <c r="H841">
        <v>10031</v>
      </c>
      <c r="I841" t="s">
        <v>2229</v>
      </c>
      <c r="J841">
        <v>2</v>
      </c>
      <c r="K841">
        <v>0</v>
      </c>
      <c r="L841" t="s">
        <v>2260</v>
      </c>
      <c r="M841" t="s">
        <v>2677</v>
      </c>
      <c r="P841" t="s">
        <v>2873</v>
      </c>
      <c r="Q841" t="s">
        <v>2113</v>
      </c>
      <c r="R841" t="s">
        <v>3259</v>
      </c>
      <c r="S841" t="s">
        <v>3267</v>
      </c>
      <c r="T841" t="s">
        <v>3294</v>
      </c>
      <c r="U841" t="s">
        <v>2862</v>
      </c>
      <c r="X841" t="s">
        <v>3354</v>
      </c>
      <c r="Y841" t="s">
        <v>2678</v>
      </c>
      <c r="Z841" t="s">
        <v>3367</v>
      </c>
      <c r="AA841" t="s">
        <v>3406</v>
      </c>
      <c r="AB841" t="s">
        <v>3415</v>
      </c>
      <c r="AC841">
        <f>HYPERLINK("https://lsnyc.legalserver.org/matter/dynamic-profile/view/1894158","19-1894158")</f>
        <v>0</v>
      </c>
      <c r="AD841" t="s">
        <v>3442</v>
      </c>
      <c r="AE841" t="s">
        <v>3460</v>
      </c>
      <c r="AF841" t="s">
        <v>4170</v>
      </c>
      <c r="AG841" t="s">
        <v>3367</v>
      </c>
      <c r="AH841" t="s">
        <v>4906</v>
      </c>
      <c r="AK841" t="s">
        <v>4911</v>
      </c>
      <c r="AL841" t="s">
        <v>2160</v>
      </c>
      <c r="AM841" t="s">
        <v>3294</v>
      </c>
      <c r="AN841" t="s">
        <v>3415</v>
      </c>
    </row>
    <row r="842" spans="1:40">
      <c r="A842" s="1" t="s">
        <v>878</v>
      </c>
      <c r="B842" t="s">
        <v>2001</v>
      </c>
      <c r="C842" t="s">
        <v>1998</v>
      </c>
      <c r="D842" t="s">
        <v>2092</v>
      </c>
      <c r="E842" t="s">
        <v>2112</v>
      </c>
      <c r="F842" t="s">
        <v>2121</v>
      </c>
      <c r="G842" t="s">
        <v>2212</v>
      </c>
      <c r="H842">
        <v>11356</v>
      </c>
      <c r="I842" t="s">
        <v>2229</v>
      </c>
      <c r="J842">
        <v>3</v>
      </c>
      <c r="K842">
        <v>0</v>
      </c>
      <c r="L842" t="s">
        <v>2283</v>
      </c>
      <c r="M842" t="s">
        <v>2677</v>
      </c>
      <c r="P842" t="s">
        <v>2769</v>
      </c>
      <c r="Q842" t="s">
        <v>3255</v>
      </c>
      <c r="R842" t="s">
        <v>3259</v>
      </c>
      <c r="S842" t="s">
        <v>3264</v>
      </c>
      <c r="X842" t="s">
        <v>3354</v>
      </c>
      <c r="Y842" t="s">
        <v>2678</v>
      </c>
      <c r="Z842" t="s">
        <v>3357</v>
      </c>
      <c r="AA842" t="s">
        <v>3406</v>
      </c>
      <c r="AB842" t="s">
        <v>3412</v>
      </c>
      <c r="AC842">
        <f>HYPERLINK("https://lsnyc.legalserver.org/matter/dynamic-profile/view/1894730","19-1894730")</f>
        <v>0</v>
      </c>
      <c r="AD842" t="s">
        <v>3443</v>
      </c>
      <c r="AE842" t="s">
        <v>3457</v>
      </c>
      <c r="AF842" t="s">
        <v>4171</v>
      </c>
      <c r="AG842" t="s">
        <v>3357</v>
      </c>
      <c r="AH842" t="s">
        <v>4904</v>
      </c>
      <c r="AL842" t="s">
        <v>2121</v>
      </c>
      <c r="AN842" t="s">
        <v>3412</v>
      </c>
    </row>
    <row r="843" spans="1:40">
      <c r="A843" s="1" t="s">
        <v>879</v>
      </c>
      <c r="B843" t="s">
        <v>2020</v>
      </c>
      <c r="C843" t="s">
        <v>2009</v>
      </c>
      <c r="D843" t="s">
        <v>2034</v>
      </c>
      <c r="E843" t="s">
        <v>2111</v>
      </c>
      <c r="F843" t="s">
        <v>2115</v>
      </c>
      <c r="G843" t="s">
        <v>2214</v>
      </c>
      <c r="H843">
        <v>11214</v>
      </c>
      <c r="I843" t="s">
        <v>2229</v>
      </c>
      <c r="J843">
        <v>1</v>
      </c>
      <c r="K843">
        <v>0</v>
      </c>
      <c r="L843" t="s">
        <v>2260</v>
      </c>
      <c r="M843" t="s">
        <v>2677</v>
      </c>
      <c r="P843" t="s">
        <v>2874</v>
      </c>
      <c r="Q843" t="s">
        <v>2113</v>
      </c>
      <c r="R843" t="s">
        <v>3259</v>
      </c>
      <c r="S843" t="s">
        <v>3272</v>
      </c>
      <c r="T843" t="s">
        <v>3294</v>
      </c>
      <c r="U843" t="s">
        <v>2872</v>
      </c>
      <c r="X843" t="s">
        <v>3354</v>
      </c>
      <c r="Y843" t="s">
        <v>2678</v>
      </c>
      <c r="Z843" t="s">
        <v>3364</v>
      </c>
      <c r="AA843" t="s">
        <v>3406</v>
      </c>
      <c r="AB843" t="s">
        <v>3420</v>
      </c>
      <c r="AC843">
        <f>HYPERLINK("https://lsnyc.legalserver.org/matter/dynamic-profile/view/1894325","19-1894325")</f>
        <v>0</v>
      </c>
      <c r="AD843" t="s">
        <v>3446</v>
      </c>
      <c r="AE843" t="s">
        <v>3456</v>
      </c>
      <c r="AF843" t="s">
        <v>3993</v>
      </c>
      <c r="AG843" t="s">
        <v>3364</v>
      </c>
      <c r="AH843" t="s">
        <v>4904</v>
      </c>
      <c r="AK843" t="s">
        <v>4911</v>
      </c>
      <c r="AL843" t="s">
        <v>2115</v>
      </c>
      <c r="AM843" t="s">
        <v>3294</v>
      </c>
      <c r="AN843" t="s">
        <v>3420</v>
      </c>
    </row>
    <row r="844" spans="1:40">
      <c r="A844" s="1" t="s">
        <v>880</v>
      </c>
      <c r="B844" t="s">
        <v>2004</v>
      </c>
      <c r="C844" t="s">
        <v>1998</v>
      </c>
      <c r="D844" t="s">
        <v>2069</v>
      </c>
      <c r="E844" t="s">
        <v>2112</v>
      </c>
      <c r="F844" t="s">
        <v>2121</v>
      </c>
      <c r="G844" t="s">
        <v>2212</v>
      </c>
      <c r="H844">
        <v>11356</v>
      </c>
      <c r="I844" t="s">
        <v>2229</v>
      </c>
      <c r="J844">
        <v>3</v>
      </c>
      <c r="K844">
        <v>0</v>
      </c>
      <c r="L844" t="s">
        <v>2470</v>
      </c>
      <c r="M844" t="s">
        <v>2677</v>
      </c>
      <c r="P844" t="s">
        <v>2875</v>
      </c>
      <c r="Q844" t="s">
        <v>2113</v>
      </c>
      <c r="R844" t="s">
        <v>3259</v>
      </c>
      <c r="S844" t="s">
        <v>3264</v>
      </c>
      <c r="T844" t="s">
        <v>3295</v>
      </c>
      <c r="X844" t="s">
        <v>3354</v>
      </c>
      <c r="Y844" t="s">
        <v>2678</v>
      </c>
      <c r="Z844" t="s">
        <v>3357</v>
      </c>
      <c r="AA844" t="s">
        <v>3406</v>
      </c>
      <c r="AB844" t="s">
        <v>3412</v>
      </c>
      <c r="AC844">
        <f>HYPERLINK("https://lsnyc.legalserver.org/matter/dynamic-profile/view/1893707","19-1893707")</f>
        <v>0</v>
      </c>
      <c r="AD844" t="s">
        <v>3443</v>
      </c>
      <c r="AE844" t="s">
        <v>3457</v>
      </c>
      <c r="AF844" t="s">
        <v>4162</v>
      </c>
      <c r="AG844" t="s">
        <v>3357</v>
      </c>
      <c r="AH844" t="s">
        <v>4904</v>
      </c>
      <c r="AK844" t="s">
        <v>4911</v>
      </c>
      <c r="AL844" t="s">
        <v>2121</v>
      </c>
      <c r="AM844" t="s">
        <v>3295</v>
      </c>
      <c r="AN844" t="s">
        <v>3412</v>
      </c>
    </row>
    <row r="845" spans="1:40">
      <c r="A845" s="1" t="s">
        <v>881</v>
      </c>
      <c r="B845" t="s">
        <v>2016</v>
      </c>
      <c r="C845" t="s">
        <v>2001</v>
      </c>
      <c r="D845" t="s">
        <v>2088</v>
      </c>
      <c r="E845" t="s">
        <v>2111</v>
      </c>
      <c r="G845" t="s">
        <v>2216</v>
      </c>
      <c r="H845">
        <v>10303</v>
      </c>
      <c r="I845" t="s">
        <v>2229</v>
      </c>
      <c r="J845">
        <v>3</v>
      </c>
      <c r="K845">
        <v>1</v>
      </c>
      <c r="L845" t="s">
        <v>2465</v>
      </c>
      <c r="M845" t="s">
        <v>2677</v>
      </c>
      <c r="P845" t="s">
        <v>2876</v>
      </c>
      <c r="Q845" t="s">
        <v>3255</v>
      </c>
      <c r="R845" t="s">
        <v>3259</v>
      </c>
      <c r="S845" t="s">
        <v>3268</v>
      </c>
      <c r="X845" t="s">
        <v>3354</v>
      </c>
      <c r="Y845" t="s">
        <v>2678</v>
      </c>
      <c r="Z845" t="s">
        <v>3368</v>
      </c>
      <c r="AA845" t="s">
        <v>3406</v>
      </c>
      <c r="AB845" t="s">
        <v>3416</v>
      </c>
      <c r="AC845">
        <f>HYPERLINK("https://lsnyc.legalserver.org/matter/dynamic-profile/view/1893660","19-1893660")</f>
        <v>0</v>
      </c>
      <c r="AD845" t="s">
        <v>3447</v>
      </c>
      <c r="AE845" t="s">
        <v>3459</v>
      </c>
      <c r="AF845" t="s">
        <v>4172</v>
      </c>
      <c r="AG845" t="s">
        <v>3368</v>
      </c>
      <c r="AH845" t="s">
        <v>4904</v>
      </c>
      <c r="AN845" t="s">
        <v>3416</v>
      </c>
    </row>
    <row r="846" spans="1:40">
      <c r="A846" s="1" t="s">
        <v>882</v>
      </c>
      <c r="B846" t="s">
        <v>1998</v>
      </c>
      <c r="C846" t="s">
        <v>1998</v>
      </c>
      <c r="D846" t="s">
        <v>2099</v>
      </c>
      <c r="E846" t="s">
        <v>2112</v>
      </c>
      <c r="G846" t="s">
        <v>2214</v>
      </c>
      <c r="H846">
        <v>11220</v>
      </c>
      <c r="I846" t="s">
        <v>2229</v>
      </c>
      <c r="J846">
        <v>2</v>
      </c>
      <c r="K846">
        <v>1</v>
      </c>
      <c r="L846" t="s">
        <v>2471</v>
      </c>
      <c r="M846" t="s">
        <v>2677</v>
      </c>
      <c r="P846" t="s">
        <v>2876</v>
      </c>
      <c r="Q846" t="s">
        <v>3255</v>
      </c>
      <c r="R846" t="s">
        <v>3259</v>
      </c>
      <c r="S846" t="s">
        <v>3264</v>
      </c>
      <c r="X846" t="s">
        <v>3354</v>
      </c>
      <c r="Y846" t="s">
        <v>2678</v>
      </c>
      <c r="Z846" t="s">
        <v>3357</v>
      </c>
      <c r="AA846" t="s">
        <v>3406</v>
      </c>
      <c r="AB846" t="s">
        <v>3412</v>
      </c>
      <c r="AC846">
        <f>HYPERLINK("https://lsnyc.legalserver.org/matter/dynamic-profile/view/1893663","19-1893663")</f>
        <v>0</v>
      </c>
      <c r="AD846" t="s">
        <v>3447</v>
      </c>
      <c r="AE846" t="s">
        <v>3478</v>
      </c>
      <c r="AF846" t="s">
        <v>4173</v>
      </c>
      <c r="AG846" t="s">
        <v>3357</v>
      </c>
      <c r="AH846" t="s">
        <v>4904</v>
      </c>
      <c r="AN846" t="s">
        <v>3412</v>
      </c>
    </row>
    <row r="847" spans="1:40">
      <c r="A847" s="1" t="s">
        <v>883</v>
      </c>
      <c r="B847" t="s">
        <v>2004</v>
      </c>
      <c r="C847" t="s">
        <v>2005</v>
      </c>
      <c r="D847" t="s">
        <v>2040</v>
      </c>
      <c r="E847" t="s">
        <v>2112</v>
      </c>
      <c r="F847" t="s">
        <v>2121</v>
      </c>
      <c r="G847" t="s">
        <v>2212</v>
      </c>
      <c r="H847">
        <v>11356</v>
      </c>
      <c r="I847" t="s">
        <v>2229</v>
      </c>
      <c r="J847">
        <v>3</v>
      </c>
      <c r="K847">
        <v>0</v>
      </c>
      <c r="L847" t="s">
        <v>2470</v>
      </c>
      <c r="M847" t="s">
        <v>2677</v>
      </c>
      <c r="P847" t="s">
        <v>2769</v>
      </c>
      <c r="Q847" t="s">
        <v>3255</v>
      </c>
      <c r="R847" t="s">
        <v>3259</v>
      </c>
      <c r="S847" t="s">
        <v>3264</v>
      </c>
      <c r="X847" t="s">
        <v>3354</v>
      </c>
      <c r="Y847" t="s">
        <v>2678</v>
      </c>
      <c r="Z847" t="s">
        <v>3357</v>
      </c>
      <c r="AA847" t="s">
        <v>3406</v>
      </c>
      <c r="AB847" t="s">
        <v>3412</v>
      </c>
      <c r="AC847">
        <f>HYPERLINK("https://lsnyc.legalserver.org/matter/dynamic-profile/view/1893536","19-1893536")</f>
        <v>0</v>
      </c>
      <c r="AD847" t="s">
        <v>3443</v>
      </c>
      <c r="AE847" t="s">
        <v>3457</v>
      </c>
      <c r="AF847" t="s">
        <v>3510</v>
      </c>
      <c r="AG847" t="s">
        <v>3357</v>
      </c>
      <c r="AH847" t="s">
        <v>4904</v>
      </c>
      <c r="AL847" t="s">
        <v>2121</v>
      </c>
      <c r="AN847" t="s">
        <v>3412</v>
      </c>
    </row>
    <row r="848" spans="1:40">
      <c r="A848" s="1" t="s">
        <v>884</v>
      </c>
      <c r="B848" t="s">
        <v>2004</v>
      </c>
      <c r="C848" t="s">
        <v>2005</v>
      </c>
      <c r="D848" t="s">
        <v>2040</v>
      </c>
      <c r="E848" t="s">
        <v>2112</v>
      </c>
      <c r="F848" t="s">
        <v>2121</v>
      </c>
      <c r="G848" t="s">
        <v>2212</v>
      </c>
      <c r="H848">
        <v>11356</v>
      </c>
      <c r="I848" t="s">
        <v>2229</v>
      </c>
      <c r="J848">
        <v>3</v>
      </c>
      <c r="K848">
        <v>0</v>
      </c>
      <c r="L848" t="s">
        <v>2465</v>
      </c>
      <c r="M848" t="s">
        <v>2677</v>
      </c>
      <c r="P848" t="s">
        <v>2769</v>
      </c>
      <c r="Q848" t="s">
        <v>3255</v>
      </c>
      <c r="R848" t="s">
        <v>3259</v>
      </c>
      <c r="S848" t="s">
        <v>3272</v>
      </c>
      <c r="X848" t="s">
        <v>3354</v>
      </c>
      <c r="Y848" t="s">
        <v>2678</v>
      </c>
      <c r="Z848" t="s">
        <v>3364</v>
      </c>
      <c r="AA848" t="s">
        <v>3406</v>
      </c>
      <c r="AB848" t="s">
        <v>3420</v>
      </c>
      <c r="AC848">
        <f>HYPERLINK("https://lsnyc.legalserver.org/matter/dynamic-profile/view/1893542","19-1893542")</f>
        <v>0</v>
      </c>
      <c r="AD848" t="s">
        <v>3443</v>
      </c>
      <c r="AE848" t="s">
        <v>3457</v>
      </c>
      <c r="AF848" t="s">
        <v>3510</v>
      </c>
      <c r="AG848" t="s">
        <v>3364</v>
      </c>
      <c r="AH848" t="s">
        <v>4904</v>
      </c>
      <c r="AL848" t="s">
        <v>2121</v>
      </c>
      <c r="AN848" t="s">
        <v>3420</v>
      </c>
    </row>
    <row r="849" spans="1:41">
      <c r="A849" s="1" t="s">
        <v>885</v>
      </c>
      <c r="B849" t="s">
        <v>1998</v>
      </c>
      <c r="C849" t="s">
        <v>1998</v>
      </c>
      <c r="D849" t="s">
        <v>2084</v>
      </c>
      <c r="E849" t="s">
        <v>2112</v>
      </c>
      <c r="F849" t="s">
        <v>2146</v>
      </c>
      <c r="G849" t="s">
        <v>2213</v>
      </c>
      <c r="H849">
        <v>10463</v>
      </c>
      <c r="I849" t="s">
        <v>2230</v>
      </c>
      <c r="J849">
        <v>2</v>
      </c>
      <c r="K849">
        <v>1</v>
      </c>
      <c r="L849" t="s">
        <v>2333</v>
      </c>
      <c r="M849" t="s">
        <v>2677</v>
      </c>
      <c r="P849" t="s">
        <v>2877</v>
      </c>
      <c r="Q849" t="s">
        <v>2113</v>
      </c>
      <c r="R849" t="s">
        <v>3258</v>
      </c>
      <c r="S849" t="s">
        <v>3271</v>
      </c>
      <c r="V849" t="s">
        <v>3352</v>
      </c>
      <c r="X849" t="s">
        <v>3354</v>
      </c>
      <c r="Y849" t="s">
        <v>2677</v>
      </c>
      <c r="Z849" t="s">
        <v>3362</v>
      </c>
      <c r="AA849" t="s">
        <v>3406</v>
      </c>
      <c r="AB849" t="s">
        <v>3419</v>
      </c>
      <c r="AC849">
        <f>HYPERLINK("https://lsnyc.legalserver.org/matter/dynamic-profile/view/1893381","19-1893381")</f>
        <v>0</v>
      </c>
      <c r="AD849" t="s">
        <v>3445</v>
      </c>
      <c r="AE849" t="s">
        <v>3452</v>
      </c>
      <c r="AF849" t="s">
        <v>3940</v>
      </c>
      <c r="AG849" t="s">
        <v>3362</v>
      </c>
      <c r="AH849" t="s">
        <v>4904</v>
      </c>
      <c r="AK849" t="s">
        <v>4911</v>
      </c>
      <c r="AL849" t="s">
        <v>2146</v>
      </c>
      <c r="AN849" t="s">
        <v>3419</v>
      </c>
      <c r="AO849" t="s">
        <v>3352</v>
      </c>
    </row>
    <row r="850" spans="1:41">
      <c r="A850" s="1" t="s">
        <v>886</v>
      </c>
      <c r="B850" t="s">
        <v>2001</v>
      </c>
      <c r="C850" t="s">
        <v>2001</v>
      </c>
      <c r="D850" t="s">
        <v>2033</v>
      </c>
      <c r="E850" t="s">
        <v>2112</v>
      </c>
      <c r="F850" t="s">
        <v>2183</v>
      </c>
      <c r="G850" t="s">
        <v>2213</v>
      </c>
      <c r="H850">
        <v>10462</v>
      </c>
      <c r="I850" t="s">
        <v>2229</v>
      </c>
      <c r="J850">
        <v>1</v>
      </c>
      <c r="K850">
        <v>0</v>
      </c>
      <c r="L850" t="s">
        <v>2472</v>
      </c>
      <c r="M850" t="s">
        <v>2677</v>
      </c>
      <c r="P850" t="s">
        <v>2877</v>
      </c>
      <c r="Q850" t="s">
        <v>2113</v>
      </c>
      <c r="R850" t="s">
        <v>3258</v>
      </c>
      <c r="S850" t="s">
        <v>3271</v>
      </c>
      <c r="X850" t="s">
        <v>3354</v>
      </c>
      <c r="Y850" t="s">
        <v>2677</v>
      </c>
      <c r="Z850" t="s">
        <v>3362</v>
      </c>
      <c r="AA850" t="s">
        <v>3406</v>
      </c>
      <c r="AB850" t="s">
        <v>3419</v>
      </c>
      <c r="AC850">
        <f>HYPERLINK("https://lsnyc.legalserver.org/matter/dynamic-profile/view/1893406","19-1893406")</f>
        <v>0</v>
      </c>
      <c r="AD850" t="s">
        <v>3445</v>
      </c>
      <c r="AE850" t="s">
        <v>3452</v>
      </c>
      <c r="AF850" t="s">
        <v>4174</v>
      </c>
      <c r="AG850" t="s">
        <v>3362</v>
      </c>
      <c r="AH850" t="s">
        <v>4904</v>
      </c>
      <c r="AK850" t="s">
        <v>4911</v>
      </c>
      <c r="AL850" t="s">
        <v>2183</v>
      </c>
      <c r="AN850" t="s">
        <v>3419</v>
      </c>
    </row>
    <row r="851" spans="1:41">
      <c r="A851" s="1" t="s">
        <v>887</v>
      </c>
      <c r="B851" t="s">
        <v>2000</v>
      </c>
      <c r="C851" t="s">
        <v>2001</v>
      </c>
      <c r="D851" t="s">
        <v>2051</v>
      </c>
      <c r="E851" t="s">
        <v>2111</v>
      </c>
      <c r="F851" t="s">
        <v>2129</v>
      </c>
      <c r="G851" t="s">
        <v>2214</v>
      </c>
      <c r="H851">
        <v>11224</v>
      </c>
      <c r="I851" t="s">
        <v>2232</v>
      </c>
      <c r="J851">
        <v>4</v>
      </c>
      <c r="K851">
        <v>2</v>
      </c>
      <c r="L851" t="s">
        <v>2260</v>
      </c>
      <c r="M851" t="s">
        <v>2677</v>
      </c>
      <c r="P851" t="s">
        <v>2877</v>
      </c>
      <c r="Q851" t="s">
        <v>2113</v>
      </c>
      <c r="R851" t="s">
        <v>3259</v>
      </c>
      <c r="S851" t="s">
        <v>3267</v>
      </c>
      <c r="X851" t="s">
        <v>3354</v>
      </c>
      <c r="Y851" t="s">
        <v>2677</v>
      </c>
      <c r="Z851" t="s">
        <v>3380</v>
      </c>
      <c r="AA851" t="s">
        <v>3406</v>
      </c>
      <c r="AB851" t="s">
        <v>3415</v>
      </c>
      <c r="AC851">
        <f>HYPERLINK("https://lsnyc.legalserver.org/matter/dynamic-profile/view/1893458","19-1893458")</f>
        <v>0</v>
      </c>
      <c r="AD851" t="s">
        <v>3445</v>
      </c>
      <c r="AE851" t="s">
        <v>3455</v>
      </c>
      <c r="AF851" t="s">
        <v>4175</v>
      </c>
      <c r="AG851" t="s">
        <v>3380</v>
      </c>
      <c r="AH851" t="s">
        <v>4906</v>
      </c>
      <c r="AK851" t="s">
        <v>4911</v>
      </c>
      <c r="AL851" t="s">
        <v>2129</v>
      </c>
      <c r="AN851" t="s">
        <v>3415</v>
      </c>
    </row>
    <row r="852" spans="1:41">
      <c r="A852" s="1" t="s">
        <v>888</v>
      </c>
      <c r="B852" t="s">
        <v>2000</v>
      </c>
      <c r="C852" t="s">
        <v>2005</v>
      </c>
      <c r="D852" t="s">
        <v>2054</v>
      </c>
      <c r="E852" t="s">
        <v>2111</v>
      </c>
      <c r="F852" t="s">
        <v>2129</v>
      </c>
      <c r="G852" t="s">
        <v>2214</v>
      </c>
      <c r="H852">
        <v>11224</v>
      </c>
      <c r="I852" t="s">
        <v>2232</v>
      </c>
      <c r="J852">
        <v>4</v>
      </c>
      <c r="K852">
        <v>2</v>
      </c>
      <c r="L852" t="s">
        <v>2260</v>
      </c>
      <c r="M852" t="s">
        <v>2677</v>
      </c>
      <c r="P852" t="s">
        <v>2877</v>
      </c>
      <c r="Q852" t="s">
        <v>3255</v>
      </c>
      <c r="R852" t="s">
        <v>3259</v>
      </c>
      <c r="S852" t="s">
        <v>3267</v>
      </c>
      <c r="X852" t="s">
        <v>3354</v>
      </c>
      <c r="Y852" t="s">
        <v>2677</v>
      </c>
      <c r="Z852" t="s">
        <v>3380</v>
      </c>
      <c r="AA852" t="s">
        <v>3406</v>
      </c>
      <c r="AB852" t="s">
        <v>3415</v>
      </c>
      <c r="AC852">
        <f>HYPERLINK("https://lsnyc.legalserver.org/matter/dynamic-profile/view/1893459","19-1893459")</f>
        <v>0</v>
      </c>
      <c r="AD852" t="s">
        <v>3445</v>
      </c>
      <c r="AE852" t="s">
        <v>3455</v>
      </c>
      <c r="AF852" t="s">
        <v>4176</v>
      </c>
      <c r="AG852" t="s">
        <v>3380</v>
      </c>
      <c r="AH852" t="s">
        <v>4906</v>
      </c>
      <c r="AK852" t="s">
        <v>4911</v>
      </c>
      <c r="AL852" t="s">
        <v>2129</v>
      </c>
      <c r="AN852" t="s">
        <v>3415</v>
      </c>
    </row>
    <row r="853" spans="1:41">
      <c r="A853" s="1" t="s">
        <v>889</v>
      </c>
      <c r="B853" t="s">
        <v>2009</v>
      </c>
      <c r="C853" t="s">
        <v>2005</v>
      </c>
      <c r="D853" t="s">
        <v>2036</v>
      </c>
      <c r="E853" t="s">
        <v>2111</v>
      </c>
      <c r="F853" t="s">
        <v>2129</v>
      </c>
      <c r="G853" t="s">
        <v>2214</v>
      </c>
      <c r="H853">
        <v>11224</v>
      </c>
      <c r="I853" t="s">
        <v>2232</v>
      </c>
      <c r="J853">
        <v>4</v>
      </c>
      <c r="K853">
        <v>2</v>
      </c>
      <c r="L853" t="s">
        <v>2260</v>
      </c>
      <c r="M853" t="s">
        <v>2677</v>
      </c>
      <c r="P853" t="s">
        <v>2877</v>
      </c>
      <c r="Q853" t="s">
        <v>2113</v>
      </c>
      <c r="R853" t="s">
        <v>3259</v>
      </c>
      <c r="S853" t="s">
        <v>3267</v>
      </c>
      <c r="X853" t="s">
        <v>3354</v>
      </c>
      <c r="Y853" t="s">
        <v>2677</v>
      </c>
      <c r="Z853" t="s">
        <v>3380</v>
      </c>
      <c r="AA853" t="s">
        <v>3406</v>
      </c>
      <c r="AB853" t="s">
        <v>3415</v>
      </c>
      <c r="AC853">
        <f>HYPERLINK("https://lsnyc.legalserver.org/matter/dynamic-profile/view/1893461","19-1893461")</f>
        <v>0</v>
      </c>
      <c r="AD853" t="s">
        <v>3445</v>
      </c>
      <c r="AE853" t="s">
        <v>3455</v>
      </c>
      <c r="AF853" t="s">
        <v>3908</v>
      </c>
      <c r="AG853" t="s">
        <v>3380</v>
      </c>
      <c r="AH853" t="s">
        <v>4906</v>
      </c>
      <c r="AK853" t="s">
        <v>4911</v>
      </c>
      <c r="AL853" t="s">
        <v>2129</v>
      </c>
      <c r="AN853" t="s">
        <v>3415</v>
      </c>
    </row>
    <row r="854" spans="1:41">
      <c r="A854" s="1" t="s">
        <v>890</v>
      </c>
      <c r="B854" t="s">
        <v>2009</v>
      </c>
      <c r="C854" t="s">
        <v>2014</v>
      </c>
      <c r="D854" t="s">
        <v>2048</v>
      </c>
      <c r="E854" t="s">
        <v>2111</v>
      </c>
      <c r="F854" t="s">
        <v>2127</v>
      </c>
      <c r="G854" t="s">
        <v>2213</v>
      </c>
      <c r="H854">
        <v>10451</v>
      </c>
      <c r="I854" t="s">
        <v>2230</v>
      </c>
      <c r="J854">
        <v>4</v>
      </c>
      <c r="K854">
        <v>2</v>
      </c>
      <c r="L854" t="s">
        <v>2274</v>
      </c>
      <c r="M854" t="s">
        <v>2677</v>
      </c>
      <c r="P854" t="s">
        <v>2878</v>
      </c>
      <c r="Q854" t="s">
        <v>2113</v>
      </c>
      <c r="R854" t="s">
        <v>3258</v>
      </c>
      <c r="S854" t="s">
        <v>3271</v>
      </c>
      <c r="T854" t="s">
        <v>3294</v>
      </c>
      <c r="U854" t="s">
        <v>2801</v>
      </c>
      <c r="V854" t="s">
        <v>3352</v>
      </c>
      <c r="X854" t="s">
        <v>3354</v>
      </c>
      <c r="Y854" t="s">
        <v>2677</v>
      </c>
      <c r="Z854" t="s">
        <v>3362</v>
      </c>
      <c r="AA854" t="s">
        <v>3406</v>
      </c>
      <c r="AB854" t="s">
        <v>3419</v>
      </c>
      <c r="AC854">
        <f>HYPERLINK("https://lsnyc.legalserver.org/matter/dynamic-profile/view/1893186","19-1893186")</f>
        <v>0</v>
      </c>
      <c r="AD854" t="s">
        <v>3445</v>
      </c>
      <c r="AE854" t="s">
        <v>3452</v>
      </c>
      <c r="AF854" t="s">
        <v>3521</v>
      </c>
      <c r="AG854" t="s">
        <v>3362</v>
      </c>
      <c r="AH854" t="s">
        <v>4904</v>
      </c>
      <c r="AK854" t="s">
        <v>4911</v>
      </c>
      <c r="AL854" t="s">
        <v>2127</v>
      </c>
      <c r="AM854" t="s">
        <v>3294</v>
      </c>
      <c r="AN854" t="s">
        <v>3419</v>
      </c>
      <c r="AO854" t="s">
        <v>3352</v>
      </c>
    </row>
    <row r="855" spans="1:41">
      <c r="A855" s="1" t="s">
        <v>891</v>
      </c>
      <c r="B855" t="s">
        <v>2001</v>
      </c>
      <c r="C855" t="s">
        <v>2002</v>
      </c>
      <c r="D855" t="s">
        <v>2060</v>
      </c>
      <c r="E855" t="s">
        <v>2111</v>
      </c>
      <c r="F855" t="s">
        <v>2116</v>
      </c>
      <c r="G855" t="s">
        <v>2213</v>
      </c>
      <c r="H855">
        <v>10468</v>
      </c>
      <c r="I855" t="s">
        <v>2229</v>
      </c>
      <c r="J855">
        <v>5</v>
      </c>
      <c r="K855">
        <v>3</v>
      </c>
      <c r="L855" t="s">
        <v>2377</v>
      </c>
      <c r="M855" t="s">
        <v>2677</v>
      </c>
      <c r="P855" t="s">
        <v>2878</v>
      </c>
      <c r="Q855" t="s">
        <v>2113</v>
      </c>
      <c r="R855" t="s">
        <v>3259</v>
      </c>
      <c r="S855" t="s">
        <v>3264</v>
      </c>
      <c r="X855" t="s">
        <v>3354</v>
      </c>
      <c r="Y855" t="s">
        <v>2677</v>
      </c>
      <c r="Z855" t="s">
        <v>3357</v>
      </c>
      <c r="AA855" t="s">
        <v>3406</v>
      </c>
      <c r="AB855" t="s">
        <v>3412</v>
      </c>
      <c r="AC855">
        <f>HYPERLINK("https://lsnyc.legalserver.org/matter/dynamic-profile/view/1893227","19-1893227")</f>
        <v>0</v>
      </c>
      <c r="AD855" t="s">
        <v>3445</v>
      </c>
      <c r="AE855" t="s">
        <v>3452</v>
      </c>
      <c r="AF855" t="s">
        <v>4177</v>
      </c>
      <c r="AG855" t="s">
        <v>3357</v>
      </c>
      <c r="AH855" t="s">
        <v>4904</v>
      </c>
      <c r="AK855" t="s">
        <v>4911</v>
      </c>
      <c r="AL855" t="s">
        <v>2116</v>
      </c>
      <c r="AN855" t="s">
        <v>3412</v>
      </c>
    </row>
    <row r="856" spans="1:41">
      <c r="A856" s="1" t="s">
        <v>892</v>
      </c>
      <c r="B856" t="s">
        <v>2002</v>
      </c>
      <c r="C856" t="s">
        <v>2016</v>
      </c>
      <c r="D856" t="s">
        <v>2069</v>
      </c>
      <c r="E856" t="s">
        <v>2112</v>
      </c>
      <c r="F856" t="s">
        <v>2145</v>
      </c>
      <c r="G856" t="s">
        <v>2213</v>
      </c>
      <c r="H856">
        <v>10460</v>
      </c>
      <c r="I856" t="s">
        <v>2230</v>
      </c>
      <c r="J856">
        <v>1</v>
      </c>
      <c r="K856">
        <v>0</v>
      </c>
      <c r="L856" t="s">
        <v>2260</v>
      </c>
      <c r="M856" t="s">
        <v>2677</v>
      </c>
      <c r="P856" t="s">
        <v>2879</v>
      </c>
      <c r="Q856" t="s">
        <v>2113</v>
      </c>
      <c r="R856" t="s">
        <v>3259</v>
      </c>
      <c r="S856" t="s">
        <v>3272</v>
      </c>
      <c r="X856" t="s">
        <v>3354</v>
      </c>
      <c r="Y856" t="s">
        <v>2678</v>
      </c>
      <c r="Z856" t="s">
        <v>3364</v>
      </c>
      <c r="AA856" t="s">
        <v>3406</v>
      </c>
      <c r="AB856" t="s">
        <v>3420</v>
      </c>
      <c r="AC856">
        <f>HYPERLINK("https://lsnyc.legalserver.org/matter/dynamic-profile/view/1893030","19-1893030")</f>
        <v>0</v>
      </c>
      <c r="AD856" t="s">
        <v>3444</v>
      </c>
      <c r="AE856" t="s">
        <v>3466</v>
      </c>
      <c r="AF856" t="s">
        <v>3632</v>
      </c>
      <c r="AG856" t="s">
        <v>3364</v>
      </c>
      <c r="AH856" t="s">
        <v>4904</v>
      </c>
      <c r="AK856" t="s">
        <v>4911</v>
      </c>
      <c r="AL856" t="s">
        <v>2145</v>
      </c>
      <c r="AN856" t="s">
        <v>3420</v>
      </c>
    </row>
    <row r="857" spans="1:41">
      <c r="A857" s="1" t="s">
        <v>893</v>
      </c>
      <c r="B857" t="s">
        <v>1998</v>
      </c>
      <c r="C857" t="s">
        <v>1998</v>
      </c>
      <c r="D857" t="s">
        <v>2036</v>
      </c>
      <c r="E857" t="s">
        <v>2112</v>
      </c>
      <c r="F857" t="s">
        <v>2115</v>
      </c>
      <c r="G857" t="s">
        <v>2212</v>
      </c>
      <c r="H857">
        <v>11368</v>
      </c>
      <c r="I857" t="s">
        <v>2229</v>
      </c>
      <c r="J857">
        <v>3</v>
      </c>
      <c r="K857">
        <v>2</v>
      </c>
      <c r="L857" t="s">
        <v>2260</v>
      </c>
      <c r="M857" t="s">
        <v>2677</v>
      </c>
      <c r="P857" t="s">
        <v>2879</v>
      </c>
      <c r="Q857" t="s">
        <v>3255</v>
      </c>
      <c r="R857" t="s">
        <v>3259</v>
      </c>
      <c r="S857" t="s">
        <v>3267</v>
      </c>
      <c r="X857" t="s">
        <v>3354</v>
      </c>
      <c r="Y857" t="s">
        <v>2678</v>
      </c>
      <c r="Z857" t="s">
        <v>3380</v>
      </c>
      <c r="AB857" t="s">
        <v>3415</v>
      </c>
      <c r="AC857">
        <f>HYPERLINK("https://lsnyc.legalserver.org/matter/dynamic-profile/view/1893074","19-1893074")</f>
        <v>0</v>
      </c>
      <c r="AD857" t="s">
        <v>3443</v>
      </c>
      <c r="AE857" t="s">
        <v>3467</v>
      </c>
      <c r="AF857" t="s">
        <v>3663</v>
      </c>
      <c r="AG857" t="s">
        <v>3380</v>
      </c>
      <c r="AI857" t="s">
        <v>4909</v>
      </c>
      <c r="AK857" t="s">
        <v>4911</v>
      </c>
      <c r="AL857" t="s">
        <v>2115</v>
      </c>
      <c r="AN857" t="s">
        <v>3415</v>
      </c>
    </row>
    <row r="858" spans="1:41">
      <c r="A858" s="1" t="s">
        <v>894</v>
      </c>
      <c r="B858" t="s">
        <v>2002</v>
      </c>
      <c r="C858" t="s">
        <v>2005</v>
      </c>
      <c r="D858" t="s">
        <v>2031</v>
      </c>
      <c r="E858" t="s">
        <v>2112</v>
      </c>
      <c r="F858" t="s">
        <v>2121</v>
      </c>
      <c r="G858" t="s">
        <v>2212</v>
      </c>
      <c r="H858">
        <v>11372</v>
      </c>
      <c r="I858" t="s">
        <v>2229</v>
      </c>
      <c r="J858">
        <v>2</v>
      </c>
      <c r="K858">
        <v>1</v>
      </c>
      <c r="L858" t="s">
        <v>2260</v>
      </c>
      <c r="M858" t="s">
        <v>2677</v>
      </c>
      <c r="P858" t="s">
        <v>2729</v>
      </c>
      <c r="Q858" t="s">
        <v>2113</v>
      </c>
      <c r="R858" t="s">
        <v>3259</v>
      </c>
      <c r="S858" t="s">
        <v>3267</v>
      </c>
      <c r="X858" t="s">
        <v>3354</v>
      </c>
      <c r="Y858" t="s">
        <v>2678</v>
      </c>
      <c r="Z858" t="s">
        <v>3359</v>
      </c>
      <c r="AA858" t="s">
        <v>3406</v>
      </c>
      <c r="AB858" t="s">
        <v>3415</v>
      </c>
      <c r="AC858">
        <f>HYPERLINK("https://lsnyc.legalserver.org/matter/dynamic-profile/view/1893134","19-1893134")</f>
        <v>0</v>
      </c>
      <c r="AD858" t="s">
        <v>3443</v>
      </c>
      <c r="AE858" t="s">
        <v>3471</v>
      </c>
      <c r="AF858" t="s">
        <v>4178</v>
      </c>
      <c r="AG858" t="s">
        <v>3359</v>
      </c>
      <c r="AH858" t="s">
        <v>4906</v>
      </c>
      <c r="AL858" t="s">
        <v>2121</v>
      </c>
      <c r="AN858" t="s">
        <v>3415</v>
      </c>
    </row>
    <row r="859" spans="1:41">
      <c r="A859" s="1" t="s">
        <v>895</v>
      </c>
      <c r="B859" t="s">
        <v>2001</v>
      </c>
      <c r="C859" t="s">
        <v>2012</v>
      </c>
      <c r="D859" t="s">
        <v>2051</v>
      </c>
      <c r="E859" t="s">
        <v>2112</v>
      </c>
      <c r="F859" t="s">
        <v>2184</v>
      </c>
      <c r="G859" t="s">
        <v>2212</v>
      </c>
      <c r="H859">
        <v>11370</v>
      </c>
      <c r="I859" t="s">
        <v>2230</v>
      </c>
      <c r="J859">
        <v>1</v>
      </c>
      <c r="K859">
        <v>0</v>
      </c>
      <c r="L859" t="s">
        <v>2304</v>
      </c>
      <c r="M859" t="s">
        <v>2677</v>
      </c>
      <c r="P859" t="s">
        <v>2879</v>
      </c>
      <c r="Q859" t="s">
        <v>2113</v>
      </c>
      <c r="R859" t="s">
        <v>3259</v>
      </c>
      <c r="S859" t="s">
        <v>3270</v>
      </c>
      <c r="X859" t="s">
        <v>3354</v>
      </c>
      <c r="Y859" t="s">
        <v>2678</v>
      </c>
      <c r="Z859" t="s">
        <v>3359</v>
      </c>
      <c r="AA859" t="s">
        <v>3406</v>
      </c>
      <c r="AB859" t="s">
        <v>3418</v>
      </c>
      <c r="AC859">
        <f>HYPERLINK("https://lsnyc.legalserver.org/matter/dynamic-profile/view/1893850","19-1893850")</f>
        <v>0</v>
      </c>
      <c r="AD859" t="s">
        <v>3443</v>
      </c>
      <c r="AE859" t="s">
        <v>3472</v>
      </c>
      <c r="AF859" t="s">
        <v>4179</v>
      </c>
      <c r="AG859" t="s">
        <v>3359</v>
      </c>
      <c r="AH859" t="s">
        <v>4906</v>
      </c>
      <c r="AK859" t="s">
        <v>4911</v>
      </c>
      <c r="AL859" t="s">
        <v>2184</v>
      </c>
      <c r="AN859" t="s">
        <v>3418</v>
      </c>
    </row>
    <row r="860" spans="1:41">
      <c r="A860" s="1" t="s">
        <v>896</v>
      </c>
      <c r="B860" t="s">
        <v>2002</v>
      </c>
      <c r="C860" t="s">
        <v>2009</v>
      </c>
      <c r="D860" t="s">
        <v>2054</v>
      </c>
      <c r="E860" t="s">
        <v>2112</v>
      </c>
      <c r="F860" t="s">
        <v>2117</v>
      </c>
      <c r="G860" t="s">
        <v>2213</v>
      </c>
      <c r="H860">
        <v>10452</v>
      </c>
      <c r="I860" t="s">
        <v>2229</v>
      </c>
      <c r="J860">
        <v>4</v>
      </c>
      <c r="K860">
        <v>3</v>
      </c>
      <c r="L860" t="s">
        <v>2260</v>
      </c>
      <c r="M860" t="s">
        <v>2677</v>
      </c>
      <c r="P860" t="s">
        <v>2880</v>
      </c>
      <c r="Q860" t="s">
        <v>2113</v>
      </c>
      <c r="R860" t="s">
        <v>3259</v>
      </c>
      <c r="S860" t="s">
        <v>3267</v>
      </c>
      <c r="X860" t="s">
        <v>3354</v>
      </c>
      <c r="Y860" t="s">
        <v>2678</v>
      </c>
      <c r="Z860" t="s">
        <v>3359</v>
      </c>
      <c r="AA860" t="s">
        <v>3406</v>
      </c>
      <c r="AB860" t="s">
        <v>3415</v>
      </c>
      <c r="AC860">
        <f>HYPERLINK("https://lsnyc.legalserver.org/matter/dynamic-profile/view/1892805","19-1892805")</f>
        <v>0</v>
      </c>
      <c r="AD860" t="s">
        <v>3442</v>
      </c>
      <c r="AE860" t="s">
        <v>3476</v>
      </c>
      <c r="AF860" t="s">
        <v>4058</v>
      </c>
      <c r="AG860" t="s">
        <v>3359</v>
      </c>
      <c r="AH860" t="s">
        <v>4906</v>
      </c>
      <c r="AK860" t="s">
        <v>4911</v>
      </c>
      <c r="AL860" t="s">
        <v>2117</v>
      </c>
      <c r="AN860" t="s">
        <v>3415</v>
      </c>
    </row>
    <row r="861" spans="1:41">
      <c r="A861" s="1" t="s">
        <v>897</v>
      </c>
      <c r="B861" t="s">
        <v>2002</v>
      </c>
      <c r="C861" t="s">
        <v>2001</v>
      </c>
      <c r="D861" t="s">
        <v>2036</v>
      </c>
      <c r="E861" t="s">
        <v>2112</v>
      </c>
      <c r="F861" t="s">
        <v>2117</v>
      </c>
      <c r="G861" t="s">
        <v>2213</v>
      </c>
      <c r="H861">
        <v>10452</v>
      </c>
      <c r="I861" t="s">
        <v>2229</v>
      </c>
      <c r="J861">
        <v>4</v>
      </c>
      <c r="K861">
        <v>3</v>
      </c>
      <c r="L861" t="s">
        <v>2260</v>
      </c>
      <c r="M861" t="s">
        <v>2677</v>
      </c>
      <c r="P861" t="s">
        <v>2880</v>
      </c>
      <c r="Q861" t="s">
        <v>2113</v>
      </c>
      <c r="R861" t="s">
        <v>3259</v>
      </c>
      <c r="S861" t="s">
        <v>3267</v>
      </c>
      <c r="X861" t="s">
        <v>3354</v>
      </c>
      <c r="Y861" t="s">
        <v>2678</v>
      </c>
      <c r="Z861" t="s">
        <v>3359</v>
      </c>
      <c r="AA861" t="s">
        <v>3406</v>
      </c>
      <c r="AB861" t="s">
        <v>3415</v>
      </c>
      <c r="AC861">
        <f>HYPERLINK("https://lsnyc.legalserver.org/matter/dynamic-profile/view/1892809","19-1892809")</f>
        <v>0</v>
      </c>
      <c r="AD861" t="s">
        <v>3442</v>
      </c>
      <c r="AE861" t="s">
        <v>3476</v>
      </c>
      <c r="AF861" t="s">
        <v>4059</v>
      </c>
      <c r="AG861" t="s">
        <v>3359</v>
      </c>
      <c r="AH861" t="s">
        <v>4906</v>
      </c>
      <c r="AK861" t="s">
        <v>4911</v>
      </c>
      <c r="AL861" t="s">
        <v>2117</v>
      </c>
      <c r="AN861" t="s">
        <v>3415</v>
      </c>
    </row>
    <row r="862" spans="1:41">
      <c r="A862" s="1" t="s">
        <v>898</v>
      </c>
      <c r="B862" t="s">
        <v>2002</v>
      </c>
      <c r="C862" t="s">
        <v>1998</v>
      </c>
      <c r="D862" t="s">
        <v>2037</v>
      </c>
      <c r="E862" t="s">
        <v>2112</v>
      </c>
      <c r="F862" t="s">
        <v>2117</v>
      </c>
      <c r="G862" t="s">
        <v>2213</v>
      </c>
      <c r="H862">
        <v>10452</v>
      </c>
      <c r="I862" t="s">
        <v>2229</v>
      </c>
      <c r="J862">
        <v>4</v>
      </c>
      <c r="K862">
        <v>3</v>
      </c>
      <c r="L862" t="s">
        <v>2260</v>
      </c>
      <c r="M862" t="s">
        <v>2677</v>
      </c>
      <c r="P862" t="s">
        <v>2880</v>
      </c>
      <c r="Q862" t="s">
        <v>2113</v>
      </c>
      <c r="R862" t="s">
        <v>3259</v>
      </c>
      <c r="S862" t="s">
        <v>3267</v>
      </c>
      <c r="X862" t="s">
        <v>3354</v>
      </c>
      <c r="Y862" t="s">
        <v>2678</v>
      </c>
      <c r="Z862" t="s">
        <v>3359</v>
      </c>
      <c r="AA862" t="s">
        <v>3406</v>
      </c>
      <c r="AB862" t="s">
        <v>3415</v>
      </c>
      <c r="AC862">
        <f>HYPERLINK("https://lsnyc.legalserver.org/matter/dynamic-profile/view/1892815","19-1892815")</f>
        <v>0</v>
      </c>
      <c r="AD862" t="s">
        <v>3442</v>
      </c>
      <c r="AE862" t="s">
        <v>3476</v>
      </c>
      <c r="AF862" t="s">
        <v>4060</v>
      </c>
      <c r="AG862" t="s">
        <v>3359</v>
      </c>
      <c r="AH862" t="s">
        <v>4906</v>
      </c>
      <c r="AK862" t="s">
        <v>4911</v>
      </c>
      <c r="AL862" t="s">
        <v>2117</v>
      </c>
      <c r="AN862" t="s">
        <v>3415</v>
      </c>
    </row>
    <row r="863" spans="1:41">
      <c r="A863" s="1" t="s">
        <v>899</v>
      </c>
      <c r="B863" t="s">
        <v>2000</v>
      </c>
      <c r="C863" t="s">
        <v>2012</v>
      </c>
      <c r="D863" t="s">
        <v>2065</v>
      </c>
      <c r="E863" t="s">
        <v>2111</v>
      </c>
      <c r="F863" t="s">
        <v>2117</v>
      </c>
      <c r="G863" t="s">
        <v>2213</v>
      </c>
      <c r="H863">
        <v>10453</v>
      </c>
      <c r="I863" t="s">
        <v>2229</v>
      </c>
      <c r="J863">
        <v>3</v>
      </c>
      <c r="K863">
        <v>2</v>
      </c>
      <c r="L863" t="s">
        <v>2260</v>
      </c>
      <c r="M863" t="s">
        <v>2677</v>
      </c>
      <c r="P863" t="s">
        <v>2880</v>
      </c>
      <c r="Q863" t="s">
        <v>3255</v>
      </c>
      <c r="R863" t="s">
        <v>3259</v>
      </c>
      <c r="S863" t="s">
        <v>3272</v>
      </c>
      <c r="X863" t="s">
        <v>3354</v>
      </c>
      <c r="Y863" t="s">
        <v>2678</v>
      </c>
      <c r="Z863" t="s">
        <v>3364</v>
      </c>
      <c r="AA863" t="s">
        <v>3406</v>
      </c>
      <c r="AB863" t="s">
        <v>3420</v>
      </c>
      <c r="AC863">
        <f>HYPERLINK("https://lsnyc.legalserver.org/matter/dynamic-profile/view/1892829","19-1892829")</f>
        <v>0</v>
      </c>
      <c r="AD863" t="s">
        <v>3444</v>
      </c>
      <c r="AE863" t="s">
        <v>3466</v>
      </c>
      <c r="AF863" t="s">
        <v>3699</v>
      </c>
      <c r="AG863" t="s">
        <v>3364</v>
      </c>
      <c r="AH863" t="s">
        <v>4904</v>
      </c>
      <c r="AK863" t="s">
        <v>4911</v>
      </c>
      <c r="AL863" t="s">
        <v>2117</v>
      </c>
      <c r="AN863" t="s">
        <v>3420</v>
      </c>
    </row>
    <row r="864" spans="1:41">
      <c r="A864" s="1" t="s">
        <v>900</v>
      </c>
      <c r="B864" t="s">
        <v>1998</v>
      </c>
      <c r="C864" t="s">
        <v>1998</v>
      </c>
      <c r="D864" t="s">
        <v>2084</v>
      </c>
      <c r="E864" t="s">
        <v>2112</v>
      </c>
      <c r="F864" t="s">
        <v>2117</v>
      </c>
      <c r="G864" t="s">
        <v>2213</v>
      </c>
      <c r="H864">
        <v>10457</v>
      </c>
      <c r="I864" t="s">
        <v>2229</v>
      </c>
      <c r="J864">
        <v>2</v>
      </c>
      <c r="K864">
        <v>1</v>
      </c>
      <c r="L864" t="s">
        <v>2260</v>
      </c>
      <c r="M864" t="s">
        <v>2677</v>
      </c>
      <c r="P864" t="s">
        <v>2880</v>
      </c>
      <c r="Q864" t="s">
        <v>2113</v>
      </c>
      <c r="R864" t="s">
        <v>3259</v>
      </c>
      <c r="S864" t="s">
        <v>3267</v>
      </c>
      <c r="X864" t="s">
        <v>3354</v>
      </c>
      <c r="Y864" t="s">
        <v>2678</v>
      </c>
      <c r="Z864" t="s">
        <v>3380</v>
      </c>
      <c r="AA864" t="s">
        <v>3406</v>
      </c>
      <c r="AB864" t="s">
        <v>3415</v>
      </c>
      <c r="AC864">
        <f>HYPERLINK("https://lsnyc.legalserver.org/matter/dynamic-profile/view/1892840","19-1892840")</f>
        <v>0</v>
      </c>
      <c r="AD864" t="s">
        <v>3444</v>
      </c>
      <c r="AE864" t="s">
        <v>3464</v>
      </c>
      <c r="AF864" t="s">
        <v>4141</v>
      </c>
      <c r="AG864" t="s">
        <v>3380</v>
      </c>
      <c r="AH864" t="s">
        <v>4906</v>
      </c>
      <c r="AK864" t="s">
        <v>4911</v>
      </c>
      <c r="AL864" t="s">
        <v>2117</v>
      </c>
      <c r="AN864" t="s">
        <v>3415</v>
      </c>
    </row>
    <row r="865" spans="1:41">
      <c r="A865" s="1" t="s">
        <v>901</v>
      </c>
      <c r="B865" t="s">
        <v>2009</v>
      </c>
      <c r="C865" t="s">
        <v>2000</v>
      </c>
      <c r="D865" t="s">
        <v>2072</v>
      </c>
      <c r="E865" t="s">
        <v>2111</v>
      </c>
      <c r="F865" t="s">
        <v>2133</v>
      </c>
      <c r="G865" t="s">
        <v>2211</v>
      </c>
      <c r="H865">
        <v>10025</v>
      </c>
      <c r="I865" t="s">
        <v>2230</v>
      </c>
      <c r="J865">
        <v>1</v>
      </c>
      <c r="K865">
        <v>0</v>
      </c>
      <c r="L865" t="s">
        <v>2260</v>
      </c>
      <c r="M865" t="s">
        <v>2677</v>
      </c>
      <c r="P865" t="s">
        <v>2880</v>
      </c>
      <c r="Q865" t="s">
        <v>2113</v>
      </c>
      <c r="R865" t="s">
        <v>3259</v>
      </c>
      <c r="S865" t="s">
        <v>3272</v>
      </c>
      <c r="X865" t="s">
        <v>3354</v>
      </c>
      <c r="Y865" t="s">
        <v>2678</v>
      </c>
      <c r="Z865" t="s">
        <v>3364</v>
      </c>
      <c r="AA865" t="s">
        <v>3406</v>
      </c>
      <c r="AB865" t="s">
        <v>3420</v>
      </c>
      <c r="AC865">
        <f>HYPERLINK("https://lsnyc.legalserver.org/matter/dynamic-profile/view/1892925","19-1892925")</f>
        <v>0</v>
      </c>
      <c r="AD865" t="s">
        <v>3446</v>
      </c>
      <c r="AE865" t="s">
        <v>3465</v>
      </c>
      <c r="AF865" t="s">
        <v>4180</v>
      </c>
      <c r="AG865" t="s">
        <v>3364</v>
      </c>
      <c r="AH865" t="s">
        <v>4904</v>
      </c>
      <c r="AK865" t="s">
        <v>4911</v>
      </c>
      <c r="AL865" t="s">
        <v>2133</v>
      </c>
      <c r="AN865" t="s">
        <v>3420</v>
      </c>
    </row>
    <row r="866" spans="1:41">
      <c r="A866" s="1" t="s">
        <v>902</v>
      </c>
      <c r="B866" t="s">
        <v>2009</v>
      </c>
      <c r="C866" t="s">
        <v>2000</v>
      </c>
      <c r="D866" t="s">
        <v>2072</v>
      </c>
      <c r="E866" t="s">
        <v>2111</v>
      </c>
      <c r="F866" t="s">
        <v>2133</v>
      </c>
      <c r="G866" t="s">
        <v>2211</v>
      </c>
      <c r="H866">
        <v>10025</v>
      </c>
      <c r="I866" t="s">
        <v>2230</v>
      </c>
      <c r="J866">
        <v>1</v>
      </c>
      <c r="K866">
        <v>0</v>
      </c>
      <c r="L866" t="s">
        <v>2260</v>
      </c>
      <c r="M866" t="s">
        <v>2677</v>
      </c>
      <c r="P866" t="s">
        <v>2880</v>
      </c>
      <c r="Q866" t="s">
        <v>2113</v>
      </c>
      <c r="R866" t="s">
        <v>3259</v>
      </c>
      <c r="S866" t="s">
        <v>3268</v>
      </c>
      <c r="X866" t="s">
        <v>3354</v>
      </c>
      <c r="Y866" t="s">
        <v>2678</v>
      </c>
      <c r="Z866" t="s">
        <v>3368</v>
      </c>
      <c r="AA866" t="s">
        <v>3406</v>
      </c>
      <c r="AB866" t="s">
        <v>3416</v>
      </c>
      <c r="AC866">
        <f>HYPERLINK("https://lsnyc.legalserver.org/matter/dynamic-profile/view/1892928","19-1892928")</f>
        <v>0</v>
      </c>
      <c r="AD866" t="s">
        <v>3446</v>
      </c>
      <c r="AE866" t="s">
        <v>3465</v>
      </c>
      <c r="AF866" t="s">
        <v>4180</v>
      </c>
      <c r="AG866" t="s">
        <v>3368</v>
      </c>
      <c r="AH866" t="s">
        <v>4904</v>
      </c>
      <c r="AK866" t="s">
        <v>4911</v>
      </c>
      <c r="AL866" t="s">
        <v>2133</v>
      </c>
      <c r="AN866" t="s">
        <v>3416</v>
      </c>
    </row>
    <row r="867" spans="1:41">
      <c r="A867" s="1" t="s">
        <v>903</v>
      </c>
      <c r="B867" t="s">
        <v>2016</v>
      </c>
      <c r="C867" t="s">
        <v>2016</v>
      </c>
      <c r="D867" t="s">
        <v>2063</v>
      </c>
      <c r="E867" t="s">
        <v>2112</v>
      </c>
      <c r="F867" t="s">
        <v>2138</v>
      </c>
      <c r="G867" t="s">
        <v>2212</v>
      </c>
      <c r="H867">
        <v>11355</v>
      </c>
      <c r="I867" t="s">
        <v>2238</v>
      </c>
      <c r="J867">
        <v>1</v>
      </c>
      <c r="K867">
        <v>0</v>
      </c>
      <c r="L867" t="s">
        <v>2260</v>
      </c>
      <c r="M867" t="s">
        <v>2677</v>
      </c>
      <c r="P867" t="s">
        <v>2742</v>
      </c>
      <c r="Q867" t="s">
        <v>2113</v>
      </c>
      <c r="R867" t="s">
        <v>3259</v>
      </c>
      <c r="S867" t="s">
        <v>3267</v>
      </c>
      <c r="V867" t="s">
        <v>3352</v>
      </c>
      <c r="X867" t="s">
        <v>3354</v>
      </c>
      <c r="Y867" t="s">
        <v>2678</v>
      </c>
      <c r="Z867" t="s">
        <v>3359</v>
      </c>
      <c r="AA867" t="s">
        <v>3406</v>
      </c>
      <c r="AB867" t="s">
        <v>3415</v>
      </c>
      <c r="AC867">
        <f>HYPERLINK("https://lsnyc.legalserver.org/matter/dynamic-profile/view/1892935","19-1892935")</f>
        <v>0</v>
      </c>
      <c r="AD867" t="s">
        <v>3446</v>
      </c>
      <c r="AE867" t="s">
        <v>3456</v>
      </c>
      <c r="AF867" t="s">
        <v>4181</v>
      </c>
      <c r="AG867" t="s">
        <v>3359</v>
      </c>
      <c r="AH867" t="s">
        <v>4906</v>
      </c>
      <c r="AL867" t="s">
        <v>2138</v>
      </c>
      <c r="AN867" t="s">
        <v>3415</v>
      </c>
      <c r="AO867" t="s">
        <v>3352</v>
      </c>
    </row>
    <row r="868" spans="1:41">
      <c r="A868" s="1" t="s">
        <v>904</v>
      </c>
      <c r="B868" t="s">
        <v>2002</v>
      </c>
      <c r="C868" t="s">
        <v>2005</v>
      </c>
      <c r="D868" t="s">
        <v>2060</v>
      </c>
      <c r="E868" t="s">
        <v>2111</v>
      </c>
      <c r="F868" t="s">
        <v>2131</v>
      </c>
      <c r="G868" t="s">
        <v>2212</v>
      </c>
      <c r="H868">
        <v>11417</v>
      </c>
      <c r="I868" t="s">
        <v>2229</v>
      </c>
      <c r="J868">
        <v>1</v>
      </c>
      <c r="K868">
        <v>0</v>
      </c>
      <c r="L868" t="s">
        <v>2260</v>
      </c>
      <c r="M868" t="s">
        <v>2677</v>
      </c>
      <c r="P868" t="s">
        <v>2801</v>
      </c>
      <c r="Q868" t="s">
        <v>2113</v>
      </c>
      <c r="R868" t="s">
        <v>3259</v>
      </c>
      <c r="S868" t="s">
        <v>3267</v>
      </c>
      <c r="X868" t="s">
        <v>3354</v>
      </c>
      <c r="Y868" t="s">
        <v>2678</v>
      </c>
      <c r="Z868" t="s">
        <v>3359</v>
      </c>
      <c r="AA868" t="s">
        <v>3406</v>
      </c>
      <c r="AB868" t="s">
        <v>3415</v>
      </c>
      <c r="AC868">
        <f>HYPERLINK("https://lsnyc.legalserver.org/matter/dynamic-profile/view/1892647","19-1892647")</f>
        <v>0</v>
      </c>
      <c r="AD868" t="s">
        <v>3446</v>
      </c>
      <c r="AE868" t="s">
        <v>3465</v>
      </c>
      <c r="AF868" t="s">
        <v>4182</v>
      </c>
      <c r="AG868" t="s">
        <v>3359</v>
      </c>
      <c r="AH868" t="s">
        <v>4906</v>
      </c>
      <c r="AL868" t="s">
        <v>2131</v>
      </c>
      <c r="AN868" t="s">
        <v>3415</v>
      </c>
    </row>
    <row r="869" spans="1:41">
      <c r="A869" s="1" t="s">
        <v>905</v>
      </c>
      <c r="B869" t="s">
        <v>2015</v>
      </c>
      <c r="C869" t="s">
        <v>1998</v>
      </c>
      <c r="D869" t="s">
        <v>2029</v>
      </c>
      <c r="E869" t="s">
        <v>2111</v>
      </c>
      <c r="F869" t="s">
        <v>2180</v>
      </c>
      <c r="G869" t="s">
        <v>2214</v>
      </c>
      <c r="H869">
        <v>11230</v>
      </c>
      <c r="I869" t="s">
        <v>2232</v>
      </c>
      <c r="J869">
        <v>2</v>
      </c>
      <c r="K869">
        <v>0</v>
      </c>
      <c r="L869" t="s">
        <v>2260</v>
      </c>
      <c r="M869" t="s">
        <v>2677</v>
      </c>
      <c r="P869" t="s">
        <v>2881</v>
      </c>
      <c r="Q869" t="s">
        <v>2113</v>
      </c>
      <c r="R869" t="s">
        <v>3259</v>
      </c>
      <c r="S869" t="s">
        <v>3268</v>
      </c>
      <c r="T869" t="s">
        <v>3294</v>
      </c>
      <c r="U869" t="s">
        <v>2790</v>
      </c>
      <c r="X869" t="s">
        <v>3354</v>
      </c>
      <c r="Y869" t="s">
        <v>2677</v>
      </c>
      <c r="Z869" t="s">
        <v>3368</v>
      </c>
      <c r="AA869" t="s">
        <v>3406</v>
      </c>
      <c r="AB869" t="s">
        <v>3416</v>
      </c>
      <c r="AC869">
        <f>HYPERLINK("https://lsnyc.legalserver.org/matter/dynamic-profile/view/1892721","19-1892721")</f>
        <v>0</v>
      </c>
      <c r="AD869" t="s">
        <v>3445</v>
      </c>
      <c r="AE869" t="s">
        <v>3452</v>
      </c>
      <c r="AF869" t="s">
        <v>4183</v>
      </c>
      <c r="AG869" t="s">
        <v>3368</v>
      </c>
      <c r="AH869" t="s">
        <v>4904</v>
      </c>
      <c r="AK869" t="s">
        <v>4911</v>
      </c>
      <c r="AL869" t="s">
        <v>2180</v>
      </c>
      <c r="AM869" t="s">
        <v>3294</v>
      </c>
      <c r="AN869" t="s">
        <v>3416</v>
      </c>
    </row>
    <row r="870" spans="1:41">
      <c r="A870" s="1" t="s">
        <v>906</v>
      </c>
      <c r="B870" t="s">
        <v>2012</v>
      </c>
      <c r="C870" t="s">
        <v>2001</v>
      </c>
      <c r="D870" t="s">
        <v>2048</v>
      </c>
      <c r="E870" t="s">
        <v>2112</v>
      </c>
      <c r="F870" t="s">
        <v>2120</v>
      </c>
      <c r="G870" t="s">
        <v>2214</v>
      </c>
      <c r="H870">
        <v>11236</v>
      </c>
      <c r="I870" t="s">
        <v>2230</v>
      </c>
      <c r="J870">
        <v>4</v>
      </c>
      <c r="K870">
        <v>3</v>
      </c>
      <c r="L870" t="s">
        <v>2473</v>
      </c>
      <c r="M870" t="s">
        <v>2677</v>
      </c>
      <c r="P870" t="s">
        <v>2881</v>
      </c>
      <c r="Q870" t="s">
        <v>2113</v>
      </c>
      <c r="R870" t="s">
        <v>3258</v>
      </c>
      <c r="S870" t="s">
        <v>3271</v>
      </c>
      <c r="X870" t="s">
        <v>3354</v>
      </c>
      <c r="Y870" t="s">
        <v>2677</v>
      </c>
      <c r="Z870" t="s">
        <v>3362</v>
      </c>
      <c r="AA870" t="s">
        <v>3406</v>
      </c>
      <c r="AB870" t="s">
        <v>3419</v>
      </c>
      <c r="AC870">
        <f>HYPERLINK("https://lsnyc.legalserver.org/matter/dynamic-profile/view/1892768","19-1892768")</f>
        <v>0</v>
      </c>
      <c r="AD870" t="s">
        <v>3445</v>
      </c>
      <c r="AE870" t="s">
        <v>3452</v>
      </c>
      <c r="AF870" t="s">
        <v>4184</v>
      </c>
      <c r="AG870" t="s">
        <v>3362</v>
      </c>
      <c r="AH870" t="s">
        <v>4904</v>
      </c>
      <c r="AL870" t="s">
        <v>2120</v>
      </c>
      <c r="AN870" t="s">
        <v>3419</v>
      </c>
    </row>
    <row r="871" spans="1:41">
      <c r="A871" s="1" t="s">
        <v>907</v>
      </c>
      <c r="B871" t="s">
        <v>2000</v>
      </c>
      <c r="C871" t="s">
        <v>2016</v>
      </c>
      <c r="D871" t="s">
        <v>2051</v>
      </c>
      <c r="E871" t="s">
        <v>2112</v>
      </c>
      <c r="F871" t="s">
        <v>2183</v>
      </c>
      <c r="G871" t="s">
        <v>2214</v>
      </c>
      <c r="H871">
        <v>11208</v>
      </c>
      <c r="I871" t="s">
        <v>2230</v>
      </c>
      <c r="J871">
        <v>2</v>
      </c>
      <c r="K871">
        <v>1</v>
      </c>
      <c r="L871" t="s">
        <v>2355</v>
      </c>
      <c r="M871" t="s">
        <v>2677</v>
      </c>
      <c r="P871" t="s">
        <v>2882</v>
      </c>
      <c r="Q871" t="s">
        <v>2113</v>
      </c>
      <c r="X871" t="s">
        <v>3354</v>
      </c>
      <c r="Y871" t="s">
        <v>2677</v>
      </c>
      <c r="AA871" t="s">
        <v>3407</v>
      </c>
      <c r="AB871" t="s">
        <v>3407</v>
      </c>
      <c r="AC871">
        <f>HYPERLINK("https://lsnyc.legalserver.org/matter/dynamic-profile/view/1892550","19-1892550")</f>
        <v>0</v>
      </c>
      <c r="AD871" t="s">
        <v>3445</v>
      </c>
      <c r="AE871" t="s">
        <v>3469</v>
      </c>
      <c r="AF871" t="s">
        <v>4185</v>
      </c>
      <c r="AH871" t="s">
        <v>3407</v>
      </c>
      <c r="AL871" t="s">
        <v>2183</v>
      </c>
      <c r="AN871" t="s">
        <v>3407</v>
      </c>
    </row>
    <row r="872" spans="1:41">
      <c r="A872" s="1" t="s">
        <v>908</v>
      </c>
      <c r="B872" t="s">
        <v>2000</v>
      </c>
      <c r="C872" t="s">
        <v>2001</v>
      </c>
      <c r="D872" t="s">
        <v>2084</v>
      </c>
      <c r="E872" t="s">
        <v>2112</v>
      </c>
      <c r="F872" t="s">
        <v>2185</v>
      </c>
      <c r="G872" t="s">
        <v>2223</v>
      </c>
      <c r="H872">
        <v>7304</v>
      </c>
      <c r="I872" t="s">
        <v>2230</v>
      </c>
      <c r="J872">
        <v>1</v>
      </c>
      <c r="K872">
        <v>0</v>
      </c>
      <c r="L872" t="s">
        <v>2260</v>
      </c>
      <c r="M872" t="s">
        <v>2677</v>
      </c>
      <c r="P872" t="s">
        <v>2882</v>
      </c>
      <c r="Q872" t="s">
        <v>2113</v>
      </c>
      <c r="R872" t="s">
        <v>3259</v>
      </c>
      <c r="S872" t="s">
        <v>3270</v>
      </c>
      <c r="T872" t="s">
        <v>3295</v>
      </c>
      <c r="X872" t="s">
        <v>3354</v>
      </c>
      <c r="Y872" t="s">
        <v>2678</v>
      </c>
      <c r="Z872" t="s">
        <v>3359</v>
      </c>
      <c r="AA872" t="s">
        <v>3406</v>
      </c>
      <c r="AB872" t="s">
        <v>3418</v>
      </c>
      <c r="AC872">
        <f>HYPERLINK("https://lsnyc.legalserver.org/matter/dynamic-profile/view/1892555","19-1892555")</f>
        <v>0</v>
      </c>
      <c r="AD872" t="s">
        <v>3446</v>
      </c>
      <c r="AE872" t="s">
        <v>3481</v>
      </c>
      <c r="AF872" t="s">
        <v>4186</v>
      </c>
      <c r="AG872" t="s">
        <v>3359</v>
      </c>
      <c r="AH872" t="s">
        <v>4906</v>
      </c>
      <c r="AK872" t="s">
        <v>4911</v>
      </c>
      <c r="AL872" t="s">
        <v>2185</v>
      </c>
      <c r="AM872" t="s">
        <v>3295</v>
      </c>
      <c r="AN872" t="s">
        <v>3418</v>
      </c>
    </row>
    <row r="873" spans="1:41">
      <c r="A873" s="1" t="s">
        <v>909</v>
      </c>
      <c r="B873" t="s">
        <v>2000</v>
      </c>
      <c r="C873" t="s">
        <v>2016</v>
      </c>
      <c r="D873" t="s">
        <v>2034</v>
      </c>
      <c r="E873" t="s">
        <v>2111</v>
      </c>
      <c r="F873" t="s">
        <v>2137</v>
      </c>
      <c r="G873" t="s">
        <v>2213</v>
      </c>
      <c r="H873">
        <v>10453</v>
      </c>
      <c r="I873" t="s">
        <v>2237</v>
      </c>
      <c r="J873">
        <v>2</v>
      </c>
      <c r="K873">
        <v>0</v>
      </c>
      <c r="L873" t="s">
        <v>2260</v>
      </c>
      <c r="M873" t="s">
        <v>2677</v>
      </c>
      <c r="P873" t="s">
        <v>2882</v>
      </c>
      <c r="Q873" t="s">
        <v>3257</v>
      </c>
      <c r="R873" t="s">
        <v>3259</v>
      </c>
      <c r="S873" t="s">
        <v>3267</v>
      </c>
      <c r="X873" t="s">
        <v>3354</v>
      </c>
      <c r="Y873" t="s">
        <v>2678</v>
      </c>
      <c r="Z873" t="s">
        <v>3367</v>
      </c>
      <c r="AA873" t="s">
        <v>3406</v>
      </c>
      <c r="AB873" t="s">
        <v>3415</v>
      </c>
      <c r="AC873">
        <f>HYPERLINK("https://lsnyc.legalserver.org/matter/dynamic-profile/view/1892574","19-1892574")</f>
        <v>0</v>
      </c>
      <c r="AD873" t="s">
        <v>3444</v>
      </c>
      <c r="AE873" t="s">
        <v>3466</v>
      </c>
      <c r="AF873" t="s">
        <v>3580</v>
      </c>
      <c r="AG873" t="s">
        <v>3367</v>
      </c>
      <c r="AH873" t="s">
        <v>4904</v>
      </c>
      <c r="AK873" t="s">
        <v>4911</v>
      </c>
      <c r="AL873" t="s">
        <v>2137</v>
      </c>
      <c r="AN873" t="s">
        <v>3415</v>
      </c>
    </row>
    <row r="874" spans="1:41">
      <c r="A874" s="1" t="s">
        <v>910</v>
      </c>
      <c r="B874" t="s">
        <v>2000</v>
      </c>
      <c r="C874" t="s">
        <v>2016</v>
      </c>
      <c r="D874" t="s">
        <v>2034</v>
      </c>
      <c r="E874" t="s">
        <v>2111</v>
      </c>
      <c r="F874" t="s">
        <v>2137</v>
      </c>
      <c r="G874" t="s">
        <v>2213</v>
      </c>
      <c r="H874">
        <v>10453</v>
      </c>
      <c r="I874" t="s">
        <v>2237</v>
      </c>
      <c r="J874">
        <v>2</v>
      </c>
      <c r="K874">
        <v>0</v>
      </c>
      <c r="L874" t="s">
        <v>2260</v>
      </c>
      <c r="M874" t="s">
        <v>2677</v>
      </c>
      <c r="P874" t="s">
        <v>2882</v>
      </c>
      <c r="Q874" t="s">
        <v>3257</v>
      </c>
      <c r="R874" t="s">
        <v>3259</v>
      </c>
      <c r="S874" t="s">
        <v>3267</v>
      </c>
      <c r="X874" t="s">
        <v>3354</v>
      </c>
      <c r="Y874" t="s">
        <v>2678</v>
      </c>
      <c r="Z874" t="s">
        <v>3380</v>
      </c>
      <c r="AA874" t="s">
        <v>3406</v>
      </c>
      <c r="AB874" t="s">
        <v>3415</v>
      </c>
      <c r="AC874">
        <f>HYPERLINK("https://lsnyc.legalserver.org/matter/dynamic-profile/view/1892577","19-1892577")</f>
        <v>0</v>
      </c>
      <c r="AD874" t="s">
        <v>3444</v>
      </c>
      <c r="AE874" t="s">
        <v>3466</v>
      </c>
      <c r="AF874" t="s">
        <v>3580</v>
      </c>
      <c r="AG874" t="s">
        <v>3380</v>
      </c>
      <c r="AH874" t="s">
        <v>4904</v>
      </c>
      <c r="AK874" t="s">
        <v>4911</v>
      </c>
      <c r="AL874" t="s">
        <v>2137</v>
      </c>
      <c r="AN874" t="s">
        <v>3415</v>
      </c>
    </row>
    <row r="875" spans="1:41">
      <c r="A875" s="1" t="s">
        <v>911</v>
      </c>
      <c r="B875" t="s">
        <v>1998</v>
      </c>
      <c r="C875" t="s">
        <v>2009</v>
      </c>
      <c r="D875" t="s">
        <v>2088</v>
      </c>
      <c r="E875" t="s">
        <v>2112</v>
      </c>
      <c r="F875" t="s">
        <v>2116</v>
      </c>
      <c r="G875" t="s">
        <v>2213</v>
      </c>
      <c r="H875">
        <v>10454</v>
      </c>
      <c r="I875" t="s">
        <v>2229</v>
      </c>
      <c r="J875">
        <v>4</v>
      </c>
      <c r="K875">
        <v>2</v>
      </c>
      <c r="L875" t="s">
        <v>2275</v>
      </c>
      <c r="M875" t="s">
        <v>2677</v>
      </c>
      <c r="P875" t="s">
        <v>2882</v>
      </c>
      <c r="Q875" t="s">
        <v>2113</v>
      </c>
      <c r="R875" t="s">
        <v>3259</v>
      </c>
      <c r="S875" t="s">
        <v>3288</v>
      </c>
      <c r="X875" t="s">
        <v>3354</v>
      </c>
      <c r="Y875" t="s">
        <v>2678</v>
      </c>
      <c r="Z875" t="s">
        <v>3389</v>
      </c>
      <c r="AA875" t="s">
        <v>3406</v>
      </c>
      <c r="AB875" t="s">
        <v>3436</v>
      </c>
      <c r="AC875">
        <f>HYPERLINK("https://lsnyc.legalserver.org/matter/dynamic-profile/view/1892612","19-1892612")</f>
        <v>0</v>
      </c>
      <c r="AD875" t="s">
        <v>3444</v>
      </c>
      <c r="AE875" t="s">
        <v>3466</v>
      </c>
      <c r="AF875" t="s">
        <v>4187</v>
      </c>
      <c r="AG875" t="s">
        <v>3389</v>
      </c>
      <c r="AH875" t="s">
        <v>4904</v>
      </c>
      <c r="AK875" t="s">
        <v>4911</v>
      </c>
      <c r="AL875" t="s">
        <v>2116</v>
      </c>
      <c r="AN875" t="s">
        <v>3436</v>
      </c>
    </row>
    <row r="876" spans="1:41">
      <c r="A876" s="1" t="s">
        <v>912</v>
      </c>
      <c r="B876" t="s">
        <v>2012</v>
      </c>
      <c r="C876" t="s">
        <v>1998</v>
      </c>
      <c r="D876" t="s">
        <v>2081</v>
      </c>
      <c r="E876" t="s">
        <v>2112</v>
      </c>
      <c r="F876" t="s">
        <v>2123</v>
      </c>
      <c r="G876" t="s">
        <v>2211</v>
      </c>
      <c r="H876">
        <v>10029</v>
      </c>
      <c r="I876" t="s">
        <v>2230</v>
      </c>
      <c r="J876">
        <v>2</v>
      </c>
      <c r="K876">
        <v>1</v>
      </c>
      <c r="L876" t="s">
        <v>2306</v>
      </c>
      <c r="M876" t="s">
        <v>2677</v>
      </c>
      <c r="P876" t="s">
        <v>2799</v>
      </c>
      <c r="Q876" t="s">
        <v>2113</v>
      </c>
      <c r="R876" t="s">
        <v>3258</v>
      </c>
      <c r="S876" t="s">
        <v>3273</v>
      </c>
      <c r="X876" t="s">
        <v>3354</v>
      </c>
      <c r="Y876" t="s">
        <v>2678</v>
      </c>
      <c r="Z876" t="s">
        <v>3365</v>
      </c>
      <c r="AA876" t="s">
        <v>3406</v>
      </c>
      <c r="AB876" t="s">
        <v>3421</v>
      </c>
      <c r="AC876">
        <f>HYPERLINK("https://lsnyc.legalserver.org/matter/dynamic-profile/view/1892343","19-1892343")</f>
        <v>0</v>
      </c>
      <c r="AD876" t="s">
        <v>3442</v>
      </c>
      <c r="AE876" t="s">
        <v>3470</v>
      </c>
      <c r="AF876" t="s">
        <v>4188</v>
      </c>
      <c r="AG876" t="s">
        <v>3365</v>
      </c>
      <c r="AH876" t="s">
        <v>4904</v>
      </c>
      <c r="AL876" t="s">
        <v>2123</v>
      </c>
      <c r="AN876" t="s">
        <v>3421</v>
      </c>
    </row>
    <row r="877" spans="1:41">
      <c r="A877" s="1" t="s">
        <v>913</v>
      </c>
      <c r="B877" t="s">
        <v>2001</v>
      </c>
      <c r="C877" t="s">
        <v>2012</v>
      </c>
      <c r="D877" t="s">
        <v>2057</v>
      </c>
      <c r="E877" t="s">
        <v>2112</v>
      </c>
      <c r="F877" t="s">
        <v>2123</v>
      </c>
      <c r="G877" t="s">
        <v>2213</v>
      </c>
      <c r="H877">
        <v>10456</v>
      </c>
      <c r="I877" t="s">
        <v>2229</v>
      </c>
      <c r="J877">
        <v>3</v>
      </c>
      <c r="K877">
        <v>2</v>
      </c>
      <c r="L877" t="s">
        <v>2474</v>
      </c>
      <c r="M877" t="s">
        <v>2677</v>
      </c>
      <c r="P877" t="s">
        <v>2883</v>
      </c>
      <c r="Q877" t="s">
        <v>2113</v>
      </c>
      <c r="R877" t="s">
        <v>3258</v>
      </c>
      <c r="S877" t="s">
        <v>3271</v>
      </c>
      <c r="X877" t="s">
        <v>3354</v>
      </c>
      <c r="Y877" t="s">
        <v>2677</v>
      </c>
      <c r="Z877" t="s">
        <v>3369</v>
      </c>
      <c r="AA877" t="s">
        <v>3406</v>
      </c>
      <c r="AB877" t="s">
        <v>3419</v>
      </c>
      <c r="AC877">
        <f>HYPERLINK("https://lsnyc.legalserver.org/matter/dynamic-profile/view/1892366","19-1892366")</f>
        <v>0</v>
      </c>
      <c r="AD877" t="s">
        <v>3445</v>
      </c>
      <c r="AE877" t="s">
        <v>3455</v>
      </c>
      <c r="AF877" t="s">
        <v>4189</v>
      </c>
      <c r="AG877" t="s">
        <v>3369</v>
      </c>
      <c r="AH877" t="s">
        <v>4904</v>
      </c>
      <c r="AL877" t="s">
        <v>2123</v>
      </c>
      <c r="AN877" t="s">
        <v>3419</v>
      </c>
    </row>
    <row r="878" spans="1:41">
      <c r="A878" s="1" t="s">
        <v>914</v>
      </c>
      <c r="B878" t="s">
        <v>2000</v>
      </c>
      <c r="C878" t="s">
        <v>2004</v>
      </c>
      <c r="D878" t="s">
        <v>2078</v>
      </c>
      <c r="E878" t="s">
        <v>2112</v>
      </c>
      <c r="F878" t="s">
        <v>2123</v>
      </c>
      <c r="G878" t="s">
        <v>2212</v>
      </c>
      <c r="H878">
        <v>11420</v>
      </c>
      <c r="I878" t="s">
        <v>2229</v>
      </c>
      <c r="J878">
        <v>3</v>
      </c>
      <c r="K878">
        <v>2</v>
      </c>
      <c r="L878" t="s">
        <v>2314</v>
      </c>
      <c r="M878" t="s">
        <v>2677</v>
      </c>
      <c r="P878" t="s">
        <v>2883</v>
      </c>
      <c r="Q878" t="s">
        <v>2113</v>
      </c>
      <c r="R878" t="s">
        <v>3258</v>
      </c>
      <c r="S878" t="s">
        <v>3271</v>
      </c>
      <c r="X878" t="s">
        <v>3354</v>
      </c>
      <c r="Y878" t="s">
        <v>2677</v>
      </c>
      <c r="Z878" t="s">
        <v>3362</v>
      </c>
      <c r="AA878" t="s">
        <v>3406</v>
      </c>
      <c r="AB878" t="s">
        <v>3419</v>
      </c>
      <c r="AC878">
        <f>HYPERLINK("https://lsnyc.legalserver.org/matter/dynamic-profile/view/1892396","19-1892396")</f>
        <v>0</v>
      </c>
      <c r="AD878" t="s">
        <v>3445</v>
      </c>
      <c r="AE878" t="s">
        <v>3455</v>
      </c>
      <c r="AF878" t="s">
        <v>4190</v>
      </c>
      <c r="AG878" t="s">
        <v>3362</v>
      </c>
      <c r="AH878" t="s">
        <v>4904</v>
      </c>
      <c r="AK878" t="s">
        <v>4911</v>
      </c>
      <c r="AL878" t="s">
        <v>2123</v>
      </c>
      <c r="AN878" t="s">
        <v>3419</v>
      </c>
    </row>
    <row r="879" spans="1:41">
      <c r="A879" s="1" t="s">
        <v>915</v>
      </c>
      <c r="B879" t="s">
        <v>2000</v>
      </c>
      <c r="C879" t="s">
        <v>2016</v>
      </c>
      <c r="D879" t="s">
        <v>2034</v>
      </c>
      <c r="E879" t="s">
        <v>2111</v>
      </c>
      <c r="F879" t="s">
        <v>2137</v>
      </c>
      <c r="G879" t="s">
        <v>2213</v>
      </c>
      <c r="H879">
        <v>10453</v>
      </c>
      <c r="I879" t="s">
        <v>2237</v>
      </c>
      <c r="J879">
        <v>2</v>
      </c>
      <c r="K879">
        <v>0</v>
      </c>
      <c r="L879" t="s">
        <v>2260</v>
      </c>
      <c r="M879" t="s">
        <v>2677</v>
      </c>
      <c r="P879" t="s">
        <v>2883</v>
      </c>
      <c r="Q879" t="s">
        <v>3257</v>
      </c>
      <c r="R879" t="s">
        <v>3259</v>
      </c>
      <c r="S879" t="s">
        <v>3272</v>
      </c>
      <c r="X879" t="s">
        <v>3354</v>
      </c>
      <c r="Y879" t="s">
        <v>2678</v>
      </c>
      <c r="Z879" t="s">
        <v>3364</v>
      </c>
      <c r="AA879" t="s">
        <v>3406</v>
      </c>
      <c r="AB879" t="s">
        <v>3420</v>
      </c>
      <c r="AC879">
        <f>HYPERLINK("https://lsnyc.legalserver.org/matter/dynamic-profile/view/1892431","19-1892431")</f>
        <v>0</v>
      </c>
      <c r="AD879" t="s">
        <v>3444</v>
      </c>
      <c r="AE879" t="s">
        <v>3466</v>
      </c>
      <c r="AF879" t="s">
        <v>3580</v>
      </c>
      <c r="AG879" t="s">
        <v>3364</v>
      </c>
      <c r="AH879" t="s">
        <v>4904</v>
      </c>
      <c r="AK879" t="s">
        <v>4911</v>
      </c>
      <c r="AL879" t="s">
        <v>2137</v>
      </c>
      <c r="AN879" t="s">
        <v>3420</v>
      </c>
    </row>
    <row r="880" spans="1:41">
      <c r="A880" s="1" t="s">
        <v>916</v>
      </c>
      <c r="B880" t="s">
        <v>1998</v>
      </c>
      <c r="C880" t="s">
        <v>1998</v>
      </c>
      <c r="D880" t="s">
        <v>2032</v>
      </c>
      <c r="E880" t="s">
        <v>2112</v>
      </c>
      <c r="F880" t="s">
        <v>2115</v>
      </c>
      <c r="G880" t="s">
        <v>2212</v>
      </c>
      <c r="H880">
        <v>11435</v>
      </c>
      <c r="I880" t="s">
        <v>2230</v>
      </c>
      <c r="J880">
        <v>1</v>
      </c>
      <c r="K880">
        <v>0</v>
      </c>
      <c r="L880" t="s">
        <v>2270</v>
      </c>
      <c r="M880" t="s">
        <v>2677</v>
      </c>
      <c r="P880" t="s">
        <v>2883</v>
      </c>
      <c r="Q880" t="s">
        <v>2113</v>
      </c>
      <c r="R880" t="s">
        <v>3258</v>
      </c>
      <c r="S880" t="s">
        <v>3271</v>
      </c>
      <c r="X880" t="s">
        <v>3354</v>
      </c>
      <c r="Y880" t="s">
        <v>2678</v>
      </c>
      <c r="Z880" t="s">
        <v>3362</v>
      </c>
      <c r="AA880" t="s">
        <v>3406</v>
      </c>
      <c r="AB880" t="s">
        <v>3419</v>
      </c>
      <c r="AC880">
        <f>HYPERLINK("https://lsnyc.legalserver.org/matter/dynamic-profile/view/1892437","19-1892437")</f>
        <v>0</v>
      </c>
      <c r="AD880" t="s">
        <v>3443</v>
      </c>
      <c r="AE880" t="s">
        <v>3477</v>
      </c>
      <c r="AF880" t="s">
        <v>4191</v>
      </c>
      <c r="AG880" t="s">
        <v>3362</v>
      </c>
      <c r="AH880" t="s">
        <v>4904</v>
      </c>
      <c r="AK880" t="s">
        <v>4911</v>
      </c>
      <c r="AL880" t="s">
        <v>2115</v>
      </c>
      <c r="AN880" t="s">
        <v>3419</v>
      </c>
    </row>
    <row r="881" spans="1:40">
      <c r="A881" s="1" t="s">
        <v>917</v>
      </c>
      <c r="B881" t="s">
        <v>2000</v>
      </c>
      <c r="C881" t="s">
        <v>2004</v>
      </c>
      <c r="D881" t="s">
        <v>2063</v>
      </c>
      <c r="E881" t="s">
        <v>2112</v>
      </c>
      <c r="F881" t="s">
        <v>2135</v>
      </c>
      <c r="G881" t="s">
        <v>2212</v>
      </c>
      <c r="H881">
        <v>11368</v>
      </c>
      <c r="I881" t="s">
        <v>2229</v>
      </c>
      <c r="J881">
        <v>4</v>
      </c>
      <c r="K881">
        <v>2</v>
      </c>
      <c r="L881" t="s">
        <v>2307</v>
      </c>
      <c r="M881" t="s">
        <v>2677</v>
      </c>
      <c r="P881" t="s">
        <v>2883</v>
      </c>
      <c r="Q881" t="s">
        <v>2113</v>
      </c>
      <c r="R881" t="s">
        <v>3258</v>
      </c>
      <c r="S881" t="s">
        <v>3271</v>
      </c>
      <c r="X881" t="s">
        <v>3354</v>
      </c>
      <c r="Y881" t="s">
        <v>2678</v>
      </c>
      <c r="Z881" t="s">
        <v>3362</v>
      </c>
      <c r="AA881" t="s">
        <v>3406</v>
      </c>
      <c r="AB881" t="s">
        <v>3419</v>
      </c>
      <c r="AC881">
        <f>HYPERLINK("https://lsnyc.legalserver.org/matter/dynamic-profile/view/1892460","19-1892460")</f>
        <v>0</v>
      </c>
      <c r="AD881" t="s">
        <v>3443</v>
      </c>
      <c r="AE881" t="s">
        <v>3477</v>
      </c>
      <c r="AF881" t="s">
        <v>4192</v>
      </c>
      <c r="AG881" t="s">
        <v>3362</v>
      </c>
      <c r="AH881" t="s">
        <v>4904</v>
      </c>
      <c r="AK881" t="s">
        <v>4911</v>
      </c>
      <c r="AL881" t="s">
        <v>2135</v>
      </c>
      <c r="AN881" t="s">
        <v>3419</v>
      </c>
    </row>
    <row r="882" spans="1:40">
      <c r="A882" s="1" t="s">
        <v>918</v>
      </c>
      <c r="B882" t="s">
        <v>2009</v>
      </c>
      <c r="C882" t="s">
        <v>2002</v>
      </c>
      <c r="D882" t="s">
        <v>2041</v>
      </c>
      <c r="E882" t="s">
        <v>2112</v>
      </c>
      <c r="F882" t="s">
        <v>2186</v>
      </c>
      <c r="G882" t="s">
        <v>2212</v>
      </c>
      <c r="H882">
        <v>11420</v>
      </c>
      <c r="I882" t="s">
        <v>2229</v>
      </c>
      <c r="J882">
        <v>2</v>
      </c>
      <c r="K882">
        <v>0</v>
      </c>
      <c r="L882" t="s">
        <v>2475</v>
      </c>
      <c r="M882" t="s">
        <v>2677</v>
      </c>
      <c r="P882" t="s">
        <v>2884</v>
      </c>
      <c r="Q882" t="s">
        <v>2113</v>
      </c>
      <c r="R882" t="s">
        <v>3258</v>
      </c>
      <c r="S882" t="s">
        <v>3271</v>
      </c>
      <c r="X882" t="s">
        <v>3354</v>
      </c>
      <c r="Y882" t="s">
        <v>2678</v>
      </c>
      <c r="Z882" t="s">
        <v>3362</v>
      </c>
      <c r="AA882" t="s">
        <v>3406</v>
      </c>
      <c r="AB882" t="s">
        <v>3419</v>
      </c>
      <c r="AC882">
        <f>HYPERLINK("https://lsnyc.legalserver.org/matter/dynamic-profile/view/1892198","19-1892198")</f>
        <v>0</v>
      </c>
      <c r="AD882" t="s">
        <v>3443</v>
      </c>
      <c r="AE882" t="s">
        <v>3477</v>
      </c>
      <c r="AF882" t="s">
        <v>4193</v>
      </c>
      <c r="AG882" t="s">
        <v>3362</v>
      </c>
      <c r="AH882" t="s">
        <v>4904</v>
      </c>
      <c r="AL882" t="s">
        <v>2186</v>
      </c>
      <c r="AN882" t="s">
        <v>3419</v>
      </c>
    </row>
    <row r="883" spans="1:40">
      <c r="A883" s="1" t="s">
        <v>919</v>
      </c>
      <c r="B883" t="s">
        <v>2017</v>
      </c>
      <c r="C883" t="s">
        <v>2001</v>
      </c>
      <c r="D883" t="s">
        <v>2047</v>
      </c>
      <c r="E883" t="s">
        <v>2111</v>
      </c>
      <c r="F883" t="s">
        <v>2147</v>
      </c>
      <c r="G883" t="s">
        <v>2211</v>
      </c>
      <c r="H883">
        <v>10026</v>
      </c>
      <c r="I883" t="s">
        <v>2230</v>
      </c>
      <c r="J883">
        <v>1</v>
      </c>
      <c r="K883">
        <v>0</v>
      </c>
      <c r="L883" t="s">
        <v>2476</v>
      </c>
      <c r="M883" t="s">
        <v>2678</v>
      </c>
      <c r="N883" t="s">
        <v>2679</v>
      </c>
      <c r="O883" t="s">
        <v>2680</v>
      </c>
      <c r="P883" t="s">
        <v>2884</v>
      </c>
      <c r="Q883" t="s">
        <v>2113</v>
      </c>
      <c r="R883" t="s">
        <v>3259</v>
      </c>
      <c r="S883" t="s">
        <v>3270</v>
      </c>
      <c r="T883" t="s">
        <v>3294</v>
      </c>
      <c r="U883" t="s">
        <v>2858</v>
      </c>
      <c r="X883" t="s">
        <v>3354</v>
      </c>
      <c r="Y883" t="s">
        <v>2678</v>
      </c>
      <c r="Z883" t="s">
        <v>3377</v>
      </c>
      <c r="AA883" t="s">
        <v>3406</v>
      </c>
      <c r="AB883" t="s">
        <v>3418</v>
      </c>
      <c r="AC883">
        <f>HYPERLINK("https://lsnyc.legalserver.org/matter/dynamic-profile/view/1892216","19-1892216")</f>
        <v>0</v>
      </c>
      <c r="AD883" t="s">
        <v>3442</v>
      </c>
      <c r="AE883" t="s">
        <v>3470</v>
      </c>
      <c r="AF883" t="s">
        <v>4194</v>
      </c>
      <c r="AG883" t="s">
        <v>3377</v>
      </c>
      <c r="AH883" t="s">
        <v>4904</v>
      </c>
      <c r="AK883" t="s">
        <v>4911</v>
      </c>
      <c r="AL883" t="s">
        <v>2147</v>
      </c>
      <c r="AM883" t="s">
        <v>3294</v>
      </c>
      <c r="AN883" t="s">
        <v>3418</v>
      </c>
    </row>
    <row r="884" spans="1:40">
      <c r="A884" s="1" t="s">
        <v>920</v>
      </c>
      <c r="B884" t="s">
        <v>2012</v>
      </c>
      <c r="C884" t="s">
        <v>1998</v>
      </c>
      <c r="D884" t="s">
        <v>2085</v>
      </c>
      <c r="E884" t="s">
        <v>2111</v>
      </c>
      <c r="F884" t="s">
        <v>2120</v>
      </c>
      <c r="G884" t="s">
        <v>2213</v>
      </c>
      <c r="H884">
        <v>10456</v>
      </c>
      <c r="I884" t="s">
        <v>2230</v>
      </c>
      <c r="J884">
        <v>1</v>
      </c>
      <c r="K884">
        <v>0</v>
      </c>
      <c r="L884" t="s">
        <v>2477</v>
      </c>
      <c r="M884" t="s">
        <v>2677</v>
      </c>
      <c r="P884" t="s">
        <v>2741</v>
      </c>
      <c r="Q884" t="s">
        <v>2113</v>
      </c>
      <c r="R884" t="s">
        <v>3259</v>
      </c>
      <c r="S884" t="s">
        <v>3270</v>
      </c>
      <c r="X884" t="s">
        <v>3354</v>
      </c>
      <c r="Y884" t="s">
        <v>2677</v>
      </c>
      <c r="Z884" t="s">
        <v>3362</v>
      </c>
      <c r="AA884" t="s">
        <v>3406</v>
      </c>
      <c r="AB884" t="s">
        <v>3418</v>
      </c>
      <c r="AC884">
        <f>HYPERLINK("https://lsnyc.legalserver.org/matter/dynamic-profile/view/1892225","19-1892225")</f>
        <v>0</v>
      </c>
      <c r="AD884" t="s">
        <v>3445</v>
      </c>
      <c r="AE884" t="s">
        <v>3452</v>
      </c>
      <c r="AF884" t="s">
        <v>4195</v>
      </c>
      <c r="AG884" t="s">
        <v>3362</v>
      </c>
      <c r="AH884" t="s">
        <v>4904</v>
      </c>
      <c r="AL884" t="s">
        <v>2120</v>
      </c>
      <c r="AN884" t="s">
        <v>3418</v>
      </c>
    </row>
    <row r="885" spans="1:40">
      <c r="A885" s="1" t="s">
        <v>921</v>
      </c>
      <c r="B885" t="s">
        <v>2001</v>
      </c>
      <c r="C885" t="s">
        <v>2001</v>
      </c>
      <c r="D885" t="s">
        <v>2048</v>
      </c>
      <c r="E885" t="s">
        <v>2111</v>
      </c>
      <c r="F885" t="s">
        <v>2131</v>
      </c>
      <c r="G885" t="s">
        <v>2211</v>
      </c>
      <c r="H885">
        <v>10032</v>
      </c>
      <c r="I885" t="s">
        <v>2229</v>
      </c>
      <c r="J885">
        <v>1</v>
      </c>
      <c r="K885">
        <v>0</v>
      </c>
      <c r="L885" t="s">
        <v>2260</v>
      </c>
      <c r="M885" t="s">
        <v>2677</v>
      </c>
      <c r="P885" t="s">
        <v>2760</v>
      </c>
      <c r="Q885" t="s">
        <v>2113</v>
      </c>
      <c r="R885" t="s">
        <v>3259</v>
      </c>
      <c r="S885" t="s">
        <v>3267</v>
      </c>
      <c r="X885" t="s">
        <v>3354</v>
      </c>
      <c r="Y885" t="s">
        <v>2678</v>
      </c>
      <c r="Z885" t="s">
        <v>3359</v>
      </c>
      <c r="AA885" t="s">
        <v>3406</v>
      </c>
      <c r="AB885" t="s">
        <v>3415</v>
      </c>
      <c r="AC885">
        <f>HYPERLINK("https://lsnyc.legalserver.org/matter/dynamic-profile/view/1892260","19-1892260")</f>
        <v>0</v>
      </c>
      <c r="AD885" t="s">
        <v>3442</v>
      </c>
      <c r="AE885" t="s">
        <v>3470</v>
      </c>
      <c r="AF885" t="s">
        <v>3992</v>
      </c>
      <c r="AG885" t="s">
        <v>3359</v>
      </c>
      <c r="AH885" t="s">
        <v>4906</v>
      </c>
      <c r="AL885" t="s">
        <v>2131</v>
      </c>
      <c r="AN885" t="s">
        <v>3415</v>
      </c>
    </row>
    <row r="886" spans="1:40">
      <c r="A886" s="1" t="s">
        <v>922</v>
      </c>
      <c r="B886" t="s">
        <v>1998</v>
      </c>
      <c r="C886" t="s">
        <v>1998</v>
      </c>
      <c r="D886" t="s">
        <v>2038</v>
      </c>
      <c r="E886" t="s">
        <v>2111</v>
      </c>
      <c r="F886" t="s">
        <v>2144</v>
      </c>
      <c r="G886" t="s">
        <v>2216</v>
      </c>
      <c r="H886">
        <v>11210</v>
      </c>
      <c r="I886" t="s">
        <v>2230</v>
      </c>
      <c r="J886">
        <v>1</v>
      </c>
      <c r="K886">
        <v>0</v>
      </c>
      <c r="L886" t="s">
        <v>2260</v>
      </c>
      <c r="M886" t="s">
        <v>2677</v>
      </c>
      <c r="P886" t="s">
        <v>2885</v>
      </c>
      <c r="Q886" t="s">
        <v>3255</v>
      </c>
      <c r="R886" t="s">
        <v>3259</v>
      </c>
      <c r="S886" t="s">
        <v>3268</v>
      </c>
      <c r="T886" t="s">
        <v>3294</v>
      </c>
      <c r="U886" t="s">
        <v>2862</v>
      </c>
      <c r="X886" t="s">
        <v>3354</v>
      </c>
      <c r="Y886" t="s">
        <v>2678</v>
      </c>
      <c r="Z886" t="s">
        <v>3368</v>
      </c>
      <c r="AA886" t="s">
        <v>3406</v>
      </c>
      <c r="AB886" t="s">
        <v>3416</v>
      </c>
      <c r="AC886">
        <f>HYPERLINK("https://lsnyc.legalserver.org/matter/dynamic-profile/view/1890744","19-1890744")</f>
        <v>0</v>
      </c>
      <c r="AD886" t="s">
        <v>3447</v>
      </c>
      <c r="AE886" t="s">
        <v>3458</v>
      </c>
      <c r="AF886" t="s">
        <v>4196</v>
      </c>
      <c r="AG886" t="s">
        <v>3368</v>
      </c>
      <c r="AH886" t="s">
        <v>4904</v>
      </c>
      <c r="AL886" t="s">
        <v>2144</v>
      </c>
      <c r="AM886" t="s">
        <v>3294</v>
      </c>
      <c r="AN886" t="s">
        <v>3416</v>
      </c>
    </row>
    <row r="887" spans="1:40">
      <c r="A887" s="1" t="s">
        <v>923</v>
      </c>
      <c r="B887" t="s">
        <v>2002</v>
      </c>
      <c r="C887" t="s">
        <v>2016</v>
      </c>
      <c r="D887" t="s">
        <v>2057</v>
      </c>
      <c r="E887" t="s">
        <v>2111</v>
      </c>
      <c r="F887" t="s">
        <v>2187</v>
      </c>
      <c r="G887" t="s">
        <v>2214</v>
      </c>
      <c r="H887">
        <v>11230</v>
      </c>
      <c r="I887" t="s">
        <v>2230</v>
      </c>
      <c r="J887">
        <v>3</v>
      </c>
      <c r="K887">
        <v>0</v>
      </c>
      <c r="L887" t="s">
        <v>2262</v>
      </c>
      <c r="M887" t="s">
        <v>2677</v>
      </c>
      <c r="P887" t="s">
        <v>2885</v>
      </c>
      <c r="Q887" t="s">
        <v>3255</v>
      </c>
      <c r="R887" t="s">
        <v>3258</v>
      </c>
      <c r="S887" t="s">
        <v>3271</v>
      </c>
      <c r="T887" t="s">
        <v>3294</v>
      </c>
      <c r="U887" t="s">
        <v>3309</v>
      </c>
      <c r="X887" t="s">
        <v>3354</v>
      </c>
      <c r="Y887" t="s">
        <v>2678</v>
      </c>
      <c r="Z887" t="s">
        <v>3362</v>
      </c>
      <c r="AA887" t="s">
        <v>3406</v>
      </c>
      <c r="AB887" t="s">
        <v>3419</v>
      </c>
      <c r="AC887">
        <f>HYPERLINK("https://lsnyc.legalserver.org/matter/dynamic-profile/view/1892073","19-1892073")</f>
        <v>0</v>
      </c>
      <c r="AD887" t="s">
        <v>3446</v>
      </c>
      <c r="AE887" t="s">
        <v>3473</v>
      </c>
      <c r="AF887" t="s">
        <v>4197</v>
      </c>
      <c r="AG887" t="s">
        <v>3362</v>
      </c>
      <c r="AH887" t="s">
        <v>4904</v>
      </c>
      <c r="AK887" t="s">
        <v>4911</v>
      </c>
      <c r="AL887" t="s">
        <v>2187</v>
      </c>
      <c r="AM887" t="s">
        <v>3294</v>
      </c>
      <c r="AN887" t="s">
        <v>3419</v>
      </c>
    </row>
    <row r="888" spans="1:40">
      <c r="A888" s="1" t="s">
        <v>924</v>
      </c>
      <c r="B888" t="s">
        <v>2000</v>
      </c>
      <c r="C888" t="s">
        <v>2004</v>
      </c>
      <c r="D888" t="s">
        <v>2045</v>
      </c>
      <c r="E888" t="s">
        <v>2112</v>
      </c>
      <c r="F888" t="s">
        <v>2117</v>
      </c>
      <c r="G888" t="s">
        <v>2211</v>
      </c>
      <c r="H888">
        <v>10025</v>
      </c>
      <c r="I888" t="s">
        <v>2229</v>
      </c>
      <c r="J888">
        <v>4</v>
      </c>
      <c r="K888">
        <v>3</v>
      </c>
      <c r="L888" t="s">
        <v>2443</v>
      </c>
      <c r="M888" t="s">
        <v>2677</v>
      </c>
      <c r="P888" t="s">
        <v>2885</v>
      </c>
      <c r="Q888" t="s">
        <v>3255</v>
      </c>
      <c r="R888" t="s">
        <v>3259</v>
      </c>
      <c r="S888" t="s">
        <v>3267</v>
      </c>
      <c r="X888" t="s">
        <v>3354</v>
      </c>
      <c r="Y888" t="s">
        <v>2678</v>
      </c>
      <c r="Z888" t="s">
        <v>3359</v>
      </c>
      <c r="AA888" t="s">
        <v>3406</v>
      </c>
      <c r="AB888" t="s">
        <v>3415</v>
      </c>
      <c r="AC888">
        <f>HYPERLINK("https://lsnyc.legalserver.org/matter/dynamic-profile/view/1892105","19-1892105")</f>
        <v>0</v>
      </c>
      <c r="AD888" t="s">
        <v>3442</v>
      </c>
      <c r="AE888" t="s">
        <v>3476</v>
      </c>
      <c r="AF888" t="s">
        <v>4054</v>
      </c>
      <c r="AG888" t="s">
        <v>3359</v>
      </c>
      <c r="AH888" t="s">
        <v>4906</v>
      </c>
      <c r="AK888" t="s">
        <v>4911</v>
      </c>
      <c r="AL888" t="s">
        <v>2117</v>
      </c>
      <c r="AN888" t="s">
        <v>3415</v>
      </c>
    </row>
    <row r="889" spans="1:40">
      <c r="A889" s="1" t="s">
        <v>925</v>
      </c>
      <c r="B889" t="s">
        <v>1998</v>
      </c>
      <c r="C889" t="s">
        <v>2016</v>
      </c>
      <c r="D889" t="s">
        <v>2042</v>
      </c>
      <c r="E889" t="s">
        <v>2112</v>
      </c>
      <c r="F889" t="s">
        <v>2138</v>
      </c>
      <c r="G889" t="s">
        <v>2211</v>
      </c>
      <c r="H889">
        <v>10039</v>
      </c>
      <c r="I889" t="s">
        <v>2249</v>
      </c>
      <c r="J889">
        <v>2</v>
      </c>
      <c r="K889">
        <v>0</v>
      </c>
      <c r="L889" t="s">
        <v>2451</v>
      </c>
      <c r="M889" t="s">
        <v>2677</v>
      </c>
      <c r="P889" t="s">
        <v>2800</v>
      </c>
      <c r="Q889" t="s">
        <v>2113</v>
      </c>
      <c r="R889" t="s">
        <v>3258</v>
      </c>
      <c r="S889" t="s">
        <v>3265</v>
      </c>
      <c r="T889" t="s">
        <v>3294</v>
      </c>
      <c r="U889" t="s">
        <v>3310</v>
      </c>
      <c r="X889" t="s">
        <v>3354</v>
      </c>
      <c r="Y889" t="s">
        <v>2678</v>
      </c>
      <c r="Z889" t="s">
        <v>3358</v>
      </c>
      <c r="AA889" t="s">
        <v>3406</v>
      </c>
      <c r="AB889" t="s">
        <v>3413</v>
      </c>
      <c r="AC889">
        <f>HYPERLINK("https://lsnyc.legalserver.org/matter/dynamic-profile/view/1892157","19-1892157")</f>
        <v>0</v>
      </c>
      <c r="AD889" t="s">
        <v>3442</v>
      </c>
      <c r="AE889" t="s">
        <v>3470</v>
      </c>
      <c r="AF889" t="s">
        <v>4198</v>
      </c>
      <c r="AG889" t="s">
        <v>3358</v>
      </c>
      <c r="AH889" t="s">
        <v>4904</v>
      </c>
      <c r="AL889" t="s">
        <v>2138</v>
      </c>
      <c r="AM889" t="s">
        <v>3294</v>
      </c>
      <c r="AN889" t="s">
        <v>3413</v>
      </c>
    </row>
    <row r="890" spans="1:40">
      <c r="A890" s="1" t="s">
        <v>926</v>
      </c>
      <c r="B890" t="s">
        <v>2000</v>
      </c>
      <c r="C890" t="s">
        <v>2002</v>
      </c>
      <c r="D890" t="s">
        <v>2066</v>
      </c>
      <c r="E890" t="s">
        <v>2111</v>
      </c>
      <c r="F890" t="s">
        <v>2122</v>
      </c>
      <c r="G890" t="s">
        <v>2212</v>
      </c>
      <c r="H890">
        <v>11416</v>
      </c>
      <c r="I890" t="s">
        <v>2230</v>
      </c>
      <c r="J890">
        <v>3</v>
      </c>
      <c r="K890">
        <v>1</v>
      </c>
      <c r="L890" t="s">
        <v>2307</v>
      </c>
      <c r="M890" t="s">
        <v>2677</v>
      </c>
      <c r="P890" t="s">
        <v>2885</v>
      </c>
      <c r="Q890" t="s">
        <v>2113</v>
      </c>
      <c r="R890" t="s">
        <v>3259</v>
      </c>
      <c r="S890" t="s">
        <v>3270</v>
      </c>
      <c r="X890" t="s">
        <v>3354</v>
      </c>
      <c r="Y890" t="s">
        <v>2678</v>
      </c>
      <c r="Z890" t="s">
        <v>3362</v>
      </c>
      <c r="AA890" t="s">
        <v>3406</v>
      </c>
      <c r="AB890" t="s">
        <v>3418</v>
      </c>
      <c r="AC890">
        <f>HYPERLINK("https://lsnyc.legalserver.org/matter/dynamic-profile/view/1892168","19-1892168")</f>
        <v>0</v>
      </c>
      <c r="AD890" t="s">
        <v>3443</v>
      </c>
      <c r="AE890" t="s">
        <v>3477</v>
      </c>
      <c r="AF890" t="s">
        <v>4199</v>
      </c>
      <c r="AG890" t="s">
        <v>3362</v>
      </c>
      <c r="AH890" t="s">
        <v>4904</v>
      </c>
      <c r="AK890" t="s">
        <v>4911</v>
      </c>
      <c r="AL890" t="s">
        <v>2122</v>
      </c>
      <c r="AN890" t="s">
        <v>3418</v>
      </c>
    </row>
    <row r="891" spans="1:40">
      <c r="A891" s="1" t="s">
        <v>927</v>
      </c>
      <c r="B891" t="s">
        <v>2001</v>
      </c>
      <c r="C891" t="s">
        <v>2000</v>
      </c>
      <c r="D891" t="s">
        <v>2086</v>
      </c>
      <c r="E891" t="s">
        <v>2111</v>
      </c>
      <c r="F891" t="s">
        <v>2121</v>
      </c>
      <c r="G891" t="s">
        <v>2220</v>
      </c>
      <c r="H891">
        <v>7102</v>
      </c>
      <c r="I891" t="s">
        <v>2229</v>
      </c>
      <c r="J891">
        <v>1</v>
      </c>
      <c r="K891">
        <v>0</v>
      </c>
      <c r="L891" t="s">
        <v>2260</v>
      </c>
      <c r="M891" t="s">
        <v>2677</v>
      </c>
      <c r="P891" t="s">
        <v>2886</v>
      </c>
      <c r="Q891" t="s">
        <v>3255</v>
      </c>
      <c r="R891" t="s">
        <v>3258</v>
      </c>
      <c r="S891" t="s">
        <v>3271</v>
      </c>
      <c r="X891" t="s">
        <v>3354</v>
      </c>
      <c r="Y891" t="s">
        <v>2677</v>
      </c>
      <c r="Z891" t="s">
        <v>3362</v>
      </c>
      <c r="AA891" t="s">
        <v>3406</v>
      </c>
      <c r="AB891" t="s">
        <v>3419</v>
      </c>
      <c r="AC891">
        <f>HYPERLINK("https://lsnyc.legalserver.org/matter/dynamic-profile/view/1891955","19-1891955")</f>
        <v>0</v>
      </c>
      <c r="AD891" t="s">
        <v>3445</v>
      </c>
      <c r="AE891" t="s">
        <v>3455</v>
      </c>
      <c r="AF891" t="s">
        <v>4200</v>
      </c>
      <c r="AG891" t="s">
        <v>3362</v>
      </c>
      <c r="AH891" t="s">
        <v>4904</v>
      </c>
      <c r="AK891" t="s">
        <v>4911</v>
      </c>
      <c r="AL891" t="s">
        <v>2121</v>
      </c>
      <c r="AN891" t="s">
        <v>3419</v>
      </c>
    </row>
    <row r="892" spans="1:40">
      <c r="A892" s="1" t="s">
        <v>928</v>
      </c>
      <c r="B892" t="s">
        <v>2001</v>
      </c>
      <c r="C892" t="s">
        <v>1998</v>
      </c>
      <c r="D892" t="s">
        <v>2063</v>
      </c>
      <c r="E892" t="s">
        <v>2112</v>
      </c>
      <c r="F892" t="s">
        <v>2114</v>
      </c>
      <c r="G892" t="s">
        <v>2213</v>
      </c>
      <c r="H892">
        <v>10458</v>
      </c>
      <c r="I892" t="s">
        <v>2229</v>
      </c>
      <c r="J892">
        <v>4</v>
      </c>
      <c r="K892">
        <v>1</v>
      </c>
      <c r="L892" t="s">
        <v>2260</v>
      </c>
      <c r="M892" t="s">
        <v>2677</v>
      </c>
      <c r="P892" t="s">
        <v>2886</v>
      </c>
      <c r="Q892" t="s">
        <v>2113</v>
      </c>
      <c r="R892" t="s">
        <v>3259</v>
      </c>
      <c r="S892" t="s">
        <v>3267</v>
      </c>
      <c r="X892" t="s">
        <v>3354</v>
      </c>
      <c r="Y892" t="s">
        <v>2678</v>
      </c>
      <c r="Z892" t="s">
        <v>3380</v>
      </c>
      <c r="AA892" t="s">
        <v>3406</v>
      </c>
      <c r="AB892" t="s">
        <v>3415</v>
      </c>
      <c r="AC892">
        <f>HYPERLINK("https://lsnyc.legalserver.org/matter/dynamic-profile/view/1891970","19-1891970")</f>
        <v>0</v>
      </c>
      <c r="AD892" t="s">
        <v>3446</v>
      </c>
      <c r="AE892" t="s">
        <v>3465</v>
      </c>
      <c r="AF892" t="s">
        <v>4201</v>
      </c>
      <c r="AG892" t="s">
        <v>3380</v>
      </c>
      <c r="AH892" t="s">
        <v>4906</v>
      </c>
      <c r="AK892" t="s">
        <v>4911</v>
      </c>
      <c r="AL892" t="s">
        <v>2114</v>
      </c>
      <c r="AN892" t="s">
        <v>3415</v>
      </c>
    </row>
    <row r="893" spans="1:40">
      <c r="A893" s="1" t="s">
        <v>929</v>
      </c>
      <c r="B893" t="s">
        <v>2001</v>
      </c>
      <c r="C893" t="s">
        <v>2000</v>
      </c>
      <c r="D893" t="s">
        <v>2079</v>
      </c>
      <c r="E893" t="s">
        <v>2111</v>
      </c>
      <c r="F893" t="s">
        <v>2120</v>
      </c>
      <c r="G893" t="s">
        <v>2211</v>
      </c>
      <c r="H893">
        <v>10024</v>
      </c>
      <c r="I893" t="s">
        <v>2230</v>
      </c>
      <c r="J893">
        <v>1</v>
      </c>
      <c r="K893">
        <v>0</v>
      </c>
      <c r="L893" t="s">
        <v>2333</v>
      </c>
      <c r="M893" t="s">
        <v>2677</v>
      </c>
      <c r="P893" t="s">
        <v>2886</v>
      </c>
      <c r="Q893" t="s">
        <v>2113</v>
      </c>
      <c r="R893" t="s">
        <v>3261</v>
      </c>
      <c r="S893" t="s">
        <v>3283</v>
      </c>
      <c r="X893" t="s">
        <v>3354</v>
      </c>
      <c r="Y893" t="s">
        <v>2678</v>
      </c>
      <c r="Z893" t="s">
        <v>3380</v>
      </c>
      <c r="AA893" t="s">
        <v>3408</v>
      </c>
      <c r="AB893" t="s">
        <v>3431</v>
      </c>
      <c r="AC893">
        <f>HYPERLINK("https://lsnyc.legalserver.org/matter/dynamic-profile/view/1891981","19-1891981")</f>
        <v>0</v>
      </c>
      <c r="AD893" t="s">
        <v>3442</v>
      </c>
      <c r="AE893" t="s">
        <v>3476</v>
      </c>
      <c r="AF893" t="s">
        <v>4202</v>
      </c>
      <c r="AG893" t="s">
        <v>3380</v>
      </c>
      <c r="AH893" t="s">
        <v>3408</v>
      </c>
      <c r="AK893" t="s">
        <v>4911</v>
      </c>
      <c r="AL893" t="s">
        <v>2120</v>
      </c>
      <c r="AN893" t="s">
        <v>3431</v>
      </c>
    </row>
    <row r="894" spans="1:40">
      <c r="A894" s="1" t="s">
        <v>930</v>
      </c>
      <c r="B894" t="s">
        <v>1998</v>
      </c>
      <c r="C894" t="s">
        <v>2016</v>
      </c>
      <c r="D894" t="s">
        <v>2029</v>
      </c>
      <c r="E894" t="s">
        <v>2112</v>
      </c>
      <c r="F894" t="s">
        <v>2114</v>
      </c>
      <c r="G894" t="s">
        <v>2221</v>
      </c>
      <c r="H894">
        <v>11001</v>
      </c>
      <c r="I894" t="s">
        <v>2229</v>
      </c>
      <c r="J894">
        <v>2</v>
      </c>
      <c r="K894">
        <v>1</v>
      </c>
      <c r="L894" t="s">
        <v>2384</v>
      </c>
      <c r="M894" t="s">
        <v>2677</v>
      </c>
      <c r="P894" t="s">
        <v>2805</v>
      </c>
      <c r="Q894" t="s">
        <v>3255</v>
      </c>
      <c r="R894" t="s">
        <v>3259</v>
      </c>
      <c r="S894" t="s">
        <v>3264</v>
      </c>
      <c r="T894" t="s">
        <v>3294</v>
      </c>
      <c r="U894" t="s">
        <v>2790</v>
      </c>
      <c r="X894" t="s">
        <v>3354</v>
      </c>
      <c r="Y894" t="s">
        <v>2678</v>
      </c>
      <c r="Z894" t="s">
        <v>3357</v>
      </c>
      <c r="AA894" t="s">
        <v>3406</v>
      </c>
      <c r="AB894" t="s">
        <v>3412</v>
      </c>
      <c r="AC894">
        <f>HYPERLINK("https://lsnyc.legalserver.org/matter/dynamic-profile/view/1892025","19-1892025")</f>
        <v>0</v>
      </c>
      <c r="AD894" t="s">
        <v>3443</v>
      </c>
      <c r="AE894" t="s">
        <v>3471</v>
      </c>
      <c r="AF894" t="s">
        <v>4203</v>
      </c>
      <c r="AG894" t="s">
        <v>3357</v>
      </c>
      <c r="AH894" t="s">
        <v>4904</v>
      </c>
      <c r="AK894" t="s">
        <v>4911</v>
      </c>
      <c r="AL894" t="s">
        <v>2114</v>
      </c>
      <c r="AM894" t="s">
        <v>3294</v>
      </c>
      <c r="AN894" t="s">
        <v>3412</v>
      </c>
    </row>
    <row r="895" spans="1:40">
      <c r="A895" s="1" t="s">
        <v>931</v>
      </c>
      <c r="B895" t="s">
        <v>2001</v>
      </c>
      <c r="C895" t="s">
        <v>2000</v>
      </c>
      <c r="D895" t="s">
        <v>2072</v>
      </c>
      <c r="E895" t="s">
        <v>2111</v>
      </c>
      <c r="F895" t="s">
        <v>2117</v>
      </c>
      <c r="G895" t="s">
        <v>2213</v>
      </c>
      <c r="H895">
        <v>10454</v>
      </c>
      <c r="I895" t="s">
        <v>2229</v>
      </c>
      <c r="J895">
        <v>1</v>
      </c>
      <c r="K895">
        <v>0</v>
      </c>
      <c r="L895" t="s">
        <v>2260</v>
      </c>
      <c r="M895" t="s">
        <v>2677</v>
      </c>
      <c r="P895" t="s">
        <v>2886</v>
      </c>
      <c r="Q895" t="s">
        <v>2113</v>
      </c>
      <c r="R895" t="s">
        <v>3259</v>
      </c>
      <c r="S895" t="s">
        <v>3267</v>
      </c>
      <c r="X895" t="s">
        <v>3354</v>
      </c>
      <c r="Y895" t="s">
        <v>2678</v>
      </c>
      <c r="Z895" t="s">
        <v>3359</v>
      </c>
      <c r="AA895" t="s">
        <v>3406</v>
      </c>
      <c r="AB895" t="s">
        <v>3415</v>
      </c>
      <c r="AC895">
        <f>HYPERLINK("https://lsnyc.legalserver.org/matter/dynamic-profile/view/1892043","19-1892043")</f>
        <v>0</v>
      </c>
      <c r="AD895" t="s">
        <v>3446</v>
      </c>
      <c r="AE895" t="s">
        <v>3456</v>
      </c>
      <c r="AF895" t="s">
        <v>4111</v>
      </c>
      <c r="AG895" t="s">
        <v>3359</v>
      </c>
      <c r="AH895" t="s">
        <v>4906</v>
      </c>
      <c r="AK895" t="s">
        <v>4911</v>
      </c>
      <c r="AL895" t="s">
        <v>2117</v>
      </c>
      <c r="AN895" t="s">
        <v>3415</v>
      </c>
    </row>
    <row r="896" spans="1:40">
      <c r="A896" s="1" t="s">
        <v>932</v>
      </c>
      <c r="B896" t="s">
        <v>1998</v>
      </c>
      <c r="C896" t="s">
        <v>1998</v>
      </c>
      <c r="D896" t="s">
        <v>2086</v>
      </c>
      <c r="E896" t="s">
        <v>2111</v>
      </c>
      <c r="F896" t="s">
        <v>2122</v>
      </c>
      <c r="G896" t="s">
        <v>2212</v>
      </c>
      <c r="H896">
        <v>11419</v>
      </c>
      <c r="I896" t="s">
        <v>2230</v>
      </c>
      <c r="J896">
        <v>2</v>
      </c>
      <c r="K896">
        <v>0</v>
      </c>
      <c r="L896" t="s">
        <v>2306</v>
      </c>
      <c r="M896" t="s">
        <v>2677</v>
      </c>
      <c r="P896" t="s">
        <v>2887</v>
      </c>
      <c r="Q896" t="s">
        <v>2113</v>
      </c>
      <c r="R896" t="s">
        <v>3258</v>
      </c>
      <c r="S896" t="s">
        <v>3271</v>
      </c>
      <c r="X896" t="s">
        <v>3354</v>
      </c>
      <c r="Y896" t="s">
        <v>2678</v>
      </c>
      <c r="Z896" t="s">
        <v>3362</v>
      </c>
      <c r="AA896" t="s">
        <v>3406</v>
      </c>
      <c r="AB896" t="s">
        <v>3419</v>
      </c>
      <c r="AC896">
        <f>HYPERLINK("https://lsnyc.legalserver.org/matter/dynamic-profile/view/1891762","19-1891762")</f>
        <v>0</v>
      </c>
      <c r="AD896" t="s">
        <v>3443</v>
      </c>
      <c r="AE896" t="s">
        <v>3477</v>
      </c>
      <c r="AF896" t="s">
        <v>4204</v>
      </c>
      <c r="AG896" t="s">
        <v>3362</v>
      </c>
      <c r="AH896" t="s">
        <v>4904</v>
      </c>
      <c r="AL896" t="s">
        <v>2122</v>
      </c>
      <c r="AN896" t="s">
        <v>3419</v>
      </c>
    </row>
    <row r="897" spans="1:41">
      <c r="A897" s="1" t="s">
        <v>933</v>
      </c>
      <c r="B897" t="s">
        <v>2000</v>
      </c>
      <c r="C897" t="s">
        <v>2000</v>
      </c>
      <c r="D897" t="s">
        <v>2047</v>
      </c>
      <c r="E897" t="s">
        <v>2111</v>
      </c>
      <c r="F897" t="s">
        <v>2124</v>
      </c>
      <c r="G897" t="s">
        <v>2214</v>
      </c>
      <c r="H897">
        <v>11219</v>
      </c>
      <c r="I897" t="s">
        <v>2230</v>
      </c>
      <c r="J897">
        <v>1</v>
      </c>
      <c r="K897">
        <v>0</v>
      </c>
      <c r="L897" t="s">
        <v>2260</v>
      </c>
      <c r="M897" t="s">
        <v>2677</v>
      </c>
      <c r="P897" t="s">
        <v>2887</v>
      </c>
      <c r="Q897" t="s">
        <v>2113</v>
      </c>
      <c r="R897" t="s">
        <v>3261</v>
      </c>
      <c r="S897" t="s">
        <v>3283</v>
      </c>
      <c r="T897" t="s">
        <v>3295</v>
      </c>
      <c r="U897" t="s">
        <v>2792</v>
      </c>
      <c r="V897" t="s">
        <v>3352</v>
      </c>
      <c r="X897" t="s">
        <v>3354</v>
      </c>
      <c r="Y897" t="s">
        <v>2678</v>
      </c>
      <c r="Z897" t="s">
        <v>3377</v>
      </c>
      <c r="AA897" t="s">
        <v>3408</v>
      </c>
      <c r="AB897" t="s">
        <v>3431</v>
      </c>
      <c r="AC897">
        <f>HYPERLINK("https://lsnyc.legalserver.org/matter/dynamic-profile/view/1891768","19-1891768")</f>
        <v>0</v>
      </c>
      <c r="AD897" t="s">
        <v>3446</v>
      </c>
      <c r="AE897" t="s">
        <v>3473</v>
      </c>
      <c r="AF897" t="s">
        <v>4205</v>
      </c>
      <c r="AG897" t="s">
        <v>3377</v>
      </c>
      <c r="AH897" t="s">
        <v>3408</v>
      </c>
      <c r="AK897" t="s">
        <v>4911</v>
      </c>
      <c r="AL897" t="s">
        <v>2124</v>
      </c>
      <c r="AM897" t="s">
        <v>3295</v>
      </c>
      <c r="AN897" t="s">
        <v>3431</v>
      </c>
      <c r="AO897" t="s">
        <v>3352</v>
      </c>
    </row>
    <row r="898" spans="1:41">
      <c r="A898" s="1" t="s">
        <v>934</v>
      </c>
      <c r="B898" t="s">
        <v>1998</v>
      </c>
      <c r="C898" t="s">
        <v>1998</v>
      </c>
      <c r="D898" t="s">
        <v>2032</v>
      </c>
      <c r="E898" t="s">
        <v>2112</v>
      </c>
      <c r="F898" t="s">
        <v>2122</v>
      </c>
      <c r="G898" t="s">
        <v>2212</v>
      </c>
      <c r="H898">
        <v>11419</v>
      </c>
      <c r="I898" t="s">
        <v>2230</v>
      </c>
      <c r="J898">
        <v>2</v>
      </c>
      <c r="K898">
        <v>0</v>
      </c>
      <c r="L898" t="s">
        <v>2306</v>
      </c>
      <c r="M898" t="s">
        <v>2677</v>
      </c>
      <c r="P898" t="s">
        <v>2887</v>
      </c>
      <c r="Q898" t="s">
        <v>2113</v>
      </c>
      <c r="R898" t="s">
        <v>3258</v>
      </c>
      <c r="S898" t="s">
        <v>3271</v>
      </c>
      <c r="X898" t="s">
        <v>3354</v>
      </c>
      <c r="Y898" t="s">
        <v>2678</v>
      </c>
      <c r="Z898" t="s">
        <v>3362</v>
      </c>
      <c r="AA898" t="s">
        <v>3406</v>
      </c>
      <c r="AB898" t="s">
        <v>3419</v>
      </c>
      <c r="AC898">
        <f>HYPERLINK("https://lsnyc.legalserver.org/matter/dynamic-profile/view/1891770","19-1891770")</f>
        <v>0</v>
      </c>
      <c r="AD898" t="s">
        <v>3443</v>
      </c>
      <c r="AE898" t="s">
        <v>3477</v>
      </c>
      <c r="AF898" t="s">
        <v>4206</v>
      </c>
      <c r="AG898" t="s">
        <v>3362</v>
      </c>
      <c r="AH898" t="s">
        <v>4904</v>
      </c>
      <c r="AL898" t="s">
        <v>2122</v>
      </c>
      <c r="AN898" t="s">
        <v>3419</v>
      </c>
    </row>
    <row r="899" spans="1:41">
      <c r="A899" s="1" t="s">
        <v>935</v>
      </c>
      <c r="B899" t="s">
        <v>2009</v>
      </c>
      <c r="C899" t="s">
        <v>2001</v>
      </c>
      <c r="D899" t="s">
        <v>2056</v>
      </c>
      <c r="E899" t="s">
        <v>2112</v>
      </c>
      <c r="F899" t="s">
        <v>2131</v>
      </c>
      <c r="G899" t="s">
        <v>2224</v>
      </c>
      <c r="H899">
        <v>10467</v>
      </c>
      <c r="I899" t="s">
        <v>2229</v>
      </c>
      <c r="J899">
        <v>4</v>
      </c>
      <c r="K899">
        <v>1</v>
      </c>
      <c r="L899" t="s">
        <v>2297</v>
      </c>
      <c r="M899" t="s">
        <v>2677</v>
      </c>
      <c r="P899" t="s">
        <v>2730</v>
      </c>
      <c r="Q899" t="s">
        <v>3257</v>
      </c>
      <c r="R899" t="s">
        <v>3259</v>
      </c>
      <c r="S899" t="s">
        <v>3268</v>
      </c>
      <c r="T899" t="s">
        <v>3294</v>
      </c>
      <c r="U899" t="s">
        <v>2764</v>
      </c>
      <c r="V899" t="s">
        <v>3352</v>
      </c>
      <c r="X899" t="s">
        <v>3354</v>
      </c>
      <c r="Y899" t="s">
        <v>2678</v>
      </c>
      <c r="Z899" t="s">
        <v>3368</v>
      </c>
      <c r="AA899" t="s">
        <v>3406</v>
      </c>
      <c r="AB899" t="s">
        <v>3416</v>
      </c>
      <c r="AC899">
        <f>HYPERLINK("https://lsnyc.legalserver.org/matter/dynamic-profile/view/1891695","19-1891695")</f>
        <v>0</v>
      </c>
      <c r="AD899" t="s">
        <v>3444</v>
      </c>
      <c r="AE899" t="s">
        <v>3451</v>
      </c>
      <c r="AF899" t="s">
        <v>4207</v>
      </c>
      <c r="AG899" t="s">
        <v>3368</v>
      </c>
      <c r="AH899" t="s">
        <v>4904</v>
      </c>
      <c r="AL899" t="s">
        <v>2131</v>
      </c>
      <c r="AM899" t="s">
        <v>3294</v>
      </c>
      <c r="AN899" t="s">
        <v>3416</v>
      </c>
      <c r="AO899" t="s">
        <v>3352</v>
      </c>
    </row>
    <row r="900" spans="1:41">
      <c r="A900" s="1" t="s">
        <v>936</v>
      </c>
      <c r="B900" t="s">
        <v>2000</v>
      </c>
      <c r="C900" t="s">
        <v>2000</v>
      </c>
      <c r="D900" t="s">
        <v>2040</v>
      </c>
      <c r="E900" t="s">
        <v>2112</v>
      </c>
      <c r="F900" t="s">
        <v>2131</v>
      </c>
      <c r="G900" t="s">
        <v>2224</v>
      </c>
      <c r="H900">
        <v>10467</v>
      </c>
      <c r="I900" t="s">
        <v>2229</v>
      </c>
      <c r="J900">
        <v>4</v>
      </c>
      <c r="K900">
        <v>1</v>
      </c>
      <c r="L900" t="s">
        <v>2297</v>
      </c>
      <c r="M900" t="s">
        <v>2677</v>
      </c>
      <c r="P900" t="s">
        <v>2730</v>
      </c>
      <c r="Q900" t="s">
        <v>3257</v>
      </c>
      <c r="R900" t="s">
        <v>3259</v>
      </c>
      <c r="S900" t="s">
        <v>3268</v>
      </c>
      <c r="V900" t="s">
        <v>3352</v>
      </c>
      <c r="X900" t="s">
        <v>3354</v>
      </c>
      <c r="Y900" t="s">
        <v>2678</v>
      </c>
      <c r="Z900" t="s">
        <v>3368</v>
      </c>
      <c r="AA900" t="s">
        <v>3406</v>
      </c>
      <c r="AB900" t="s">
        <v>3416</v>
      </c>
      <c r="AC900">
        <f>HYPERLINK("https://lsnyc.legalserver.org/matter/dynamic-profile/view/1891701","19-1891701")</f>
        <v>0</v>
      </c>
      <c r="AD900" t="s">
        <v>3444</v>
      </c>
      <c r="AE900" t="s">
        <v>3451</v>
      </c>
      <c r="AF900" t="s">
        <v>4208</v>
      </c>
      <c r="AG900" t="s">
        <v>3368</v>
      </c>
      <c r="AH900" t="s">
        <v>4904</v>
      </c>
      <c r="AL900" t="s">
        <v>2131</v>
      </c>
      <c r="AN900" t="s">
        <v>3416</v>
      </c>
      <c r="AO900" t="s">
        <v>3352</v>
      </c>
    </row>
    <row r="901" spans="1:41">
      <c r="A901" s="1" t="s">
        <v>937</v>
      </c>
      <c r="B901" t="s">
        <v>2000</v>
      </c>
      <c r="C901" t="s">
        <v>1998</v>
      </c>
      <c r="D901" t="s">
        <v>2088</v>
      </c>
      <c r="E901" t="s">
        <v>2112</v>
      </c>
      <c r="F901" t="s">
        <v>2131</v>
      </c>
      <c r="G901" t="s">
        <v>2224</v>
      </c>
      <c r="H901">
        <v>10467</v>
      </c>
      <c r="I901" t="s">
        <v>2229</v>
      </c>
      <c r="J901">
        <v>4</v>
      </c>
      <c r="K901">
        <v>1</v>
      </c>
      <c r="L901" t="s">
        <v>2297</v>
      </c>
      <c r="M901" t="s">
        <v>2677</v>
      </c>
      <c r="P901" t="s">
        <v>2730</v>
      </c>
      <c r="Q901" t="s">
        <v>3255</v>
      </c>
      <c r="R901" t="s">
        <v>3259</v>
      </c>
      <c r="S901" t="s">
        <v>3268</v>
      </c>
      <c r="V901" t="s">
        <v>3352</v>
      </c>
      <c r="X901" t="s">
        <v>3354</v>
      </c>
      <c r="Y901" t="s">
        <v>2678</v>
      </c>
      <c r="Z901" t="s">
        <v>3368</v>
      </c>
      <c r="AA901" t="s">
        <v>3406</v>
      </c>
      <c r="AB901" t="s">
        <v>3416</v>
      </c>
      <c r="AC901">
        <f>HYPERLINK("https://lsnyc.legalserver.org/matter/dynamic-profile/view/1891704","19-1891704")</f>
        <v>0</v>
      </c>
      <c r="AD901" t="s">
        <v>3444</v>
      </c>
      <c r="AE901" t="s">
        <v>3451</v>
      </c>
      <c r="AF901" t="s">
        <v>4209</v>
      </c>
      <c r="AG901" t="s">
        <v>3368</v>
      </c>
      <c r="AH901" t="s">
        <v>4904</v>
      </c>
      <c r="AL901" t="s">
        <v>2131</v>
      </c>
      <c r="AN901" t="s">
        <v>3416</v>
      </c>
      <c r="AO901" t="s">
        <v>3352</v>
      </c>
    </row>
    <row r="902" spans="1:41">
      <c r="A902" s="1" t="s">
        <v>938</v>
      </c>
      <c r="B902" t="s">
        <v>2017</v>
      </c>
      <c r="C902" t="s">
        <v>2000</v>
      </c>
      <c r="D902" t="s">
        <v>2052</v>
      </c>
      <c r="E902" t="s">
        <v>2111</v>
      </c>
      <c r="F902" t="s">
        <v>2115</v>
      </c>
      <c r="G902" t="s">
        <v>2214</v>
      </c>
      <c r="H902">
        <v>11214</v>
      </c>
      <c r="I902" t="s">
        <v>2229</v>
      </c>
      <c r="J902">
        <v>4</v>
      </c>
      <c r="K902">
        <v>2</v>
      </c>
      <c r="L902" t="s">
        <v>2272</v>
      </c>
      <c r="M902" t="s">
        <v>2677</v>
      </c>
      <c r="P902" t="s">
        <v>2888</v>
      </c>
      <c r="Q902" t="s">
        <v>2113</v>
      </c>
      <c r="R902" t="s">
        <v>3259</v>
      </c>
      <c r="S902" t="s">
        <v>3264</v>
      </c>
      <c r="T902" t="s">
        <v>3294</v>
      </c>
      <c r="U902" t="s">
        <v>2879</v>
      </c>
      <c r="X902" t="s">
        <v>3354</v>
      </c>
      <c r="Y902" t="s">
        <v>2678</v>
      </c>
      <c r="Z902" t="s">
        <v>3397</v>
      </c>
      <c r="AA902" t="s">
        <v>3406</v>
      </c>
      <c r="AB902" t="s">
        <v>3412</v>
      </c>
      <c r="AC902">
        <f>HYPERLINK("https://lsnyc.legalserver.org/matter/dynamic-profile/view/1891721","19-1891721")</f>
        <v>0</v>
      </c>
      <c r="AD902" t="s">
        <v>3446</v>
      </c>
      <c r="AE902" t="s">
        <v>3456</v>
      </c>
      <c r="AF902" t="s">
        <v>4210</v>
      </c>
      <c r="AG902" t="s">
        <v>3397</v>
      </c>
      <c r="AH902" t="s">
        <v>4904</v>
      </c>
      <c r="AK902" t="s">
        <v>4911</v>
      </c>
      <c r="AL902" t="s">
        <v>2115</v>
      </c>
      <c r="AM902" t="s">
        <v>3294</v>
      </c>
      <c r="AN902" t="s">
        <v>3412</v>
      </c>
    </row>
    <row r="903" spans="1:41">
      <c r="A903" s="1" t="s">
        <v>939</v>
      </c>
      <c r="B903" t="s">
        <v>2017</v>
      </c>
      <c r="C903" t="s">
        <v>2000</v>
      </c>
      <c r="D903" t="s">
        <v>2052</v>
      </c>
      <c r="E903" t="s">
        <v>2111</v>
      </c>
      <c r="F903" t="s">
        <v>2115</v>
      </c>
      <c r="G903" t="s">
        <v>2214</v>
      </c>
      <c r="H903">
        <v>11214</v>
      </c>
      <c r="I903" t="s">
        <v>2229</v>
      </c>
      <c r="J903">
        <v>4</v>
      </c>
      <c r="K903">
        <v>2</v>
      </c>
      <c r="L903" t="s">
        <v>2272</v>
      </c>
      <c r="M903" t="s">
        <v>2677</v>
      </c>
      <c r="P903" t="s">
        <v>2788</v>
      </c>
      <c r="Q903" t="s">
        <v>2113</v>
      </c>
      <c r="R903" t="s">
        <v>3259</v>
      </c>
      <c r="S903" t="s">
        <v>3276</v>
      </c>
      <c r="T903" t="s">
        <v>3294</v>
      </c>
      <c r="U903" t="s">
        <v>2879</v>
      </c>
      <c r="X903" t="s">
        <v>3354</v>
      </c>
      <c r="Y903" t="s">
        <v>2678</v>
      </c>
      <c r="Z903" t="s">
        <v>3373</v>
      </c>
      <c r="AA903" t="s">
        <v>3406</v>
      </c>
      <c r="AB903" t="s">
        <v>3424</v>
      </c>
      <c r="AC903">
        <f>HYPERLINK("https://lsnyc.legalserver.org/matter/dynamic-profile/view/1891722","19-1891722")</f>
        <v>0</v>
      </c>
      <c r="AD903" t="s">
        <v>3446</v>
      </c>
      <c r="AE903" t="s">
        <v>3456</v>
      </c>
      <c r="AF903" t="s">
        <v>4210</v>
      </c>
      <c r="AG903" t="s">
        <v>3373</v>
      </c>
      <c r="AH903" t="s">
        <v>4904</v>
      </c>
      <c r="AL903" t="s">
        <v>2115</v>
      </c>
      <c r="AM903" t="s">
        <v>3294</v>
      </c>
      <c r="AN903" t="s">
        <v>3424</v>
      </c>
    </row>
    <row r="904" spans="1:41">
      <c r="A904" s="1" t="s">
        <v>940</v>
      </c>
      <c r="B904" t="s">
        <v>2004</v>
      </c>
      <c r="C904" t="s">
        <v>2016</v>
      </c>
      <c r="D904" t="s">
        <v>2038</v>
      </c>
      <c r="E904" t="s">
        <v>2112</v>
      </c>
      <c r="F904" t="s">
        <v>2115</v>
      </c>
      <c r="G904" t="s">
        <v>2214</v>
      </c>
      <c r="H904">
        <v>11214</v>
      </c>
      <c r="I904" t="s">
        <v>2229</v>
      </c>
      <c r="J904">
        <v>4</v>
      </c>
      <c r="K904">
        <v>2</v>
      </c>
      <c r="L904" t="s">
        <v>2272</v>
      </c>
      <c r="M904" t="s">
        <v>2677</v>
      </c>
      <c r="P904" t="s">
        <v>2888</v>
      </c>
      <c r="Q904" t="s">
        <v>2113</v>
      </c>
      <c r="R904" t="s">
        <v>3259</v>
      </c>
      <c r="S904" t="s">
        <v>3264</v>
      </c>
      <c r="T904" t="s">
        <v>3294</v>
      </c>
      <c r="U904" t="s">
        <v>2879</v>
      </c>
      <c r="X904" t="s">
        <v>3354</v>
      </c>
      <c r="Y904" t="s">
        <v>2678</v>
      </c>
      <c r="Z904" t="s">
        <v>3357</v>
      </c>
      <c r="AA904" t="s">
        <v>3406</v>
      </c>
      <c r="AB904" t="s">
        <v>3412</v>
      </c>
      <c r="AC904">
        <f>HYPERLINK("https://lsnyc.legalserver.org/matter/dynamic-profile/view/1891723","19-1891723")</f>
        <v>0</v>
      </c>
      <c r="AD904" t="s">
        <v>3446</v>
      </c>
      <c r="AE904" t="s">
        <v>3456</v>
      </c>
      <c r="AF904" t="s">
        <v>4211</v>
      </c>
      <c r="AG904" t="s">
        <v>3357</v>
      </c>
      <c r="AH904" t="s">
        <v>4904</v>
      </c>
      <c r="AL904" t="s">
        <v>2115</v>
      </c>
      <c r="AM904" t="s">
        <v>3294</v>
      </c>
      <c r="AN904" t="s">
        <v>3412</v>
      </c>
    </row>
    <row r="905" spans="1:41">
      <c r="A905" s="1" t="s">
        <v>941</v>
      </c>
      <c r="B905" t="s">
        <v>2004</v>
      </c>
      <c r="C905" t="s">
        <v>2016</v>
      </c>
      <c r="D905" t="s">
        <v>2038</v>
      </c>
      <c r="E905" t="s">
        <v>2112</v>
      </c>
      <c r="F905" t="s">
        <v>2115</v>
      </c>
      <c r="G905" t="s">
        <v>2214</v>
      </c>
      <c r="H905">
        <v>11214</v>
      </c>
      <c r="I905" t="s">
        <v>2229</v>
      </c>
      <c r="J905">
        <v>4</v>
      </c>
      <c r="K905">
        <v>2</v>
      </c>
      <c r="L905" t="s">
        <v>2272</v>
      </c>
      <c r="M905" t="s">
        <v>2677</v>
      </c>
      <c r="P905" t="s">
        <v>2888</v>
      </c>
      <c r="Q905" t="s">
        <v>2113</v>
      </c>
      <c r="R905" t="s">
        <v>3259</v>
      </c>
      <c r="S905" t="s">
        <v>3276</v>
      </c>
      <c r="T905" t="s">
        <v>3294</v>
      </c>
      <c r="U905" t="s">
        <v>2879</v>
      </c>
      <c r="X905" t="s">
        <v>3354</v>
      </c>
      <c r="Y905" t="s">
        <v>2678</v>
      </c>
      <c r="Z905" t="s">
        <v>3373</v>
      </c>
      <c r="AA905" t="s">
        <v>3406</v>
      </c>
      <c r="AB905" t="s">
        <v>3424</v>
      </c>
      <c r="AC905">
        <f>HYPERLINK("https://lsnyc.legalserver.org/matter/dynamic-profile/view/1891724","19-1891724")</f>
        <v>0</v>
      </c>
      <c r="AD905" t="s">
        <v>3446</v>
      </c>
      <c r="AE905" t="s">
        <v>3456</v>
      </c>
      <c r="AF905" t="s">
        <v>4211</v>
      </c>
      <c r="AG905" t="s">
        <v>3373</v>
      </c>
      <c r="AH905" t="s">
        <v>4904</v>
      </c>
      <c r="AK905" t="s">
        <v>4911</v>
      </c>
      <c r="AL905" t="s">
        <v>2115</v>
      </c>
      <c r="AM905" t="s">
        <v>3294</v>
      </c>
      <c r="AN905" t="s">
        <v>3424</v>
      </c>
    </row>
    <row r="906" spans="1:41">
      <c r="A906" s="1" t="s">
        <v>942</v>
      </c>
      <c r="B906" t="s">
        <v>2010</v>
      </c>
      <c r="C906" t="s">
        <v>2012</v>
      </c>
      <c r="D906" t="s">
        <v>2053</v>
      </c>
      <c r="E906" t="s">
        <v>2111</v>
      </c>
      <c r="F906" t="s">
        <v>2115</v>
      </c>
      <c r="G906" t="s">
        <v>2214</v>
      </c>
      <c r="H906">
        <v>11214</v>
      </c>
      <c r="I906" t="s">
        <v>2229</v>
      </c>
      <c r="J906">
        <v>4</v>
      </c>
      <c r="K906">
        <v>2</v>
      </c>
      <c r="L906" t="s">
        <v>2272</v>
      </c>
      <c r="M906" t="s">
        <v>2677</v>
      </c>
      <c r="P906" t="s">
        <v>2888</v>
      </c>
      <c r="Q906" t="s">
        <v>2113</v>
      </c>
      <c r="R906" t="s">
        <v>3259</v>
      </c>
      <c r="S906" t="s">
        <v>3264</v>
      </c>
      <c r="T906" t="s">
        <v>3294</v>
      </c>
      <c r="U906" t="s">
        <v>2879</v>
      </c>
      <c r="X906" t="s">
        <v>3354</v>
      </c>
      <c r="Y906" t="s">
        <v>2678</v>
      </c>
      <c r="Z906" t="s">
        <v>3397</v>
      </c>
      <c r="AA906" t="s">
        <v>3406</v>
      </c>
      <c r="AB906" t="s">
        <v>3412</v>
      </c>
      <c r="AC906">
        <f>HYPERLINK("https://lsnyc.legalserver.org/matter/dynamic-profile/view/1891725","19-1891725")</f>
        <v>0</v>
      </c>
      <c r="AD906" t="s">
        <v>3446</v>
      </c>
      <c r="AE906" t="s">
        <v>3456</v>
      </c>
      <c r="AF906" t="s">
        <v>4212</v>
      </c>
      <c r="AG906" t="s">
        <v>3397</v>
      </c>
      <c r="AH906" t="s">
        <v>4904</v>
      </c>
      <c r="AK906" t="s">
        <v>4911</v>
      </c>
      <c r="AL906" t="s">
        <v>2115</v>
      </c>
      <c r="AM906" t="s">
        <v>3294</v>
      </c>
      <c r="AN906" t="s">
        <v>3412</v>
      </c>
    </row>
    <row r="907" spans="1:41">
      <c r="A907" s="1" t="s">
        <v>943</v>
      </c>
      <c r="B907" t="s">
        <v>2010</v>
      </c>
      <c r="C907" t="s">
        <v>2012</v>
      </c>
      <c r="D907" t="s">
        <v>2053</v>
      </c>
      <c r="E907" t="s">
        <v>2111</v>
      </c>
      <c r="F907" t="s">
        <v>2115</v>
      </c>
      <c r="G907" t="s">
        <v>2214</v>
      </c>
      <c r="H907">
        <v>11214</v>
      </c>
      <c r="I907" t="s">
        <v>2229</v>
      </c>
      <c r="J907">
        <v>4</v>
      </c>
      <c r="K907">
        <v>2</v>
      </c>
      <c r="L907" t="s">
        <v>2272</v>
      </c>
      <c r="M907" t="s">
        <v>2677</v>
      </c>
      <c r="P907" t="s">
        <v>2888</v>
      </c>
      <c r="Q907" t="s">
        <v>2113</v>
      </c>
      <c r="R907" t="s">
        <v>3259</v>
      </c>
      <c r="S907" t="s">
        <v>3276</v>
      </c>
      <c r="T907" t="s">
        <v>3294</v>
      </c>
      <c r="U907" t="s">
        <v>2879</v>
      </c>
      <c r="X907" t="s">
        <v>3354</v>
      </c>
      <c r="Y907" t="s">
        <v>2678</v>
      </c>
      <c r="Z907" t="s">
        <v>3373</v>
      </c>
      <c r="AA907" t="s">
        <v>3406</v>
      </c>
      <c r="AB907" t="s">
        <v>3424</v>
      </c>
      <c r="AC907">
        <f>HYPERLINK("https://lsnyc.legalserver.org/matter/dynamic-profile/view/1891726","19-1891726")</f>
        <v>0</v>
      </c>
      <c r="AD907" t="s">
        <v>3446</v>
      </c>
      <c r="AE907" t="s">
        <v>3456</v>
      </c>
      <c r="AF907" t="s">
        <v>4212</v>
      </c>
      <c r="AG907" t="s">
        <v>3373</v>
      </c>
      <c r="AH907" t="s">
        <v>4904</v>
      </c>
      <c r="AK907" t="s">
        <v>4911</v>
      </c>
      <c r="AL907" t="s">
        <v>2115</v>
      </c>
      <c r="AM907" t="s">
        <v>3294</v>
      </c>
      <c r="AN907" t="s">
        <v>3424</v>
      </c>
    </row>
    <row r="908" spans="1:41">
      <c r="A908" s="1" t="s">
        <v>944</v>
      </c>
      <c r="B908" t="s">
        <v>1998</v>
      </c>
      <c r="C908" t="s">
        <v>2017</v>
      </c>
      <c r="D908" t="s">
        <v>2074</v>
      </c>
      <c r="E908" t="s">
        <v>2112</v>
      </c>
      <c r="F908" t="s">
        <v>2123</v>
      </c>
      <c r="G908" t="s">
        <v>2213</v>
      </c>
      <c r="H908">
        <v>10453</v>
      </c>
      <c r="I908" t="s">
        <v>2229</v>
      </c>
      <c r="J908">
        <v>2</v>
      </c>
      <c r="K908">
        <v>0</v>
      </c>
      <c r="L908" t="s">
        <v>2260</v>
      </c>
      <c r="M908" t="s">
        <v>2677</v>
      </c>
      <c r="P908" t="s">
        <v>2889</v>
      </c>
      <c r="Q908" t="s">
        <v>2113</v>
      </c>
      <c r="R908" t="s">
        <v>3259</v>
      </c>
      <c r="S908" t="s">
        <v>3268</v>
      </c>
      <c r="X908" t="s">
        <v>3354</v>
      </c>
      <c r="Y908" t="s">
        <v>2678</v>
      </c>
      <c r="Z908" t="s">
        <v>3368</v>
      </c>
      <c r="AA908" t="s">
        <v>3406</v>
      </c>
      <c r="AB908" t="s">
        <v>3416</v>
      </c>
      <c r="AC908">
        <f>HYPERLINK("https://lsnyc.legalserver.org/matter/dynamic-profile/view/1891428","19-1891428")</f>
        <v>0</v>
      </c>
      <c r="AD908" t="s">
        <v>3444</v>
      </c>
      <c r="AE908" t="s">
        <v>3466</v>
      </c>
      <c r="AF908" t="s">
        <v>3579</v>
      </c>
      <c r="AG908" t="s">
        <v>3368</v>
      </c>
      <c r="AH908" t="s">
        <v>4904</v>
      </c>
      <c r="AK908" t="s">
        <v>4911</v>
      </c>
      <c r="AL908" t="s">
        <v>2123</v>
      </c>
      <c r="AN908" t="s">
        <v>3416</v>
      </c>
    </row>
    <row r="909" spans="1:41">
      <c r="A909" s="1" t="s">
        <v>945</v>
      </c>
      <c r="B909" t="s">
        <v>1998</v>
      </c>
      <c r="C909" t="s">
        <v>2001</v>
      </c>
      <c r="D909" t="s">
        <v>2074</v>
      </c>
      <c r="E909" t="s">
        <v>2112</v>
      </c>
      <c r="F909" t="s">
        <v>2122</v>
      </c>
      <c r="G909" t="s">
        <v>2213</v>
      </c>
      <c r="H909">
        <v>10467</v>
      </c>
      <c r="J909">
        <v>4</v>
      </c>
      <c r="K909">
        <v>0</v>
      </c>
      <c r="L909" t="s">
        <v>2394</v>
      </c>
      <c r="M909" t="s">
        <v>2677</v>
      </c>
      <c r="P909" t="s">
        <v>2889</v>
      </c>
      <c r="Q909" t="s">
        <v>2113</v>
      </c>
      <c r="R909" t="s">
        <v>3259</v>
      </c>
      <c r="S909" t="s">
        <v>3270</v>
      </c>
      <c r="X909" t="s">
        <v>3354</v>
      </c>
      <c r="Y909" t="s">
        <v>2677</v>
      </c>
      <c r="Z909" t="s">
        <v>3388</v>
      </c>
      <c r="AA909" t="s">
        <v>3406</v>
      </c>
      <c r="AB909" t="s">
        <v>3418</v>
      </c>
      <c r="AC909">
        <f>HYPERLINK("https://lsnyc.legalserver.org/matter/dynamic-profile/view/1891429","19-1891429")</f>
        <v>0</v>
      </c>
      <c r="AD909" t="s">
        <v>3445</v>
      </c>
      <c r="AE909" t="s">
        <v>3455</v>
      </c>
      <c r="AF909" t="s">
        <v>4213</v>
      </c>
      <c r="AG909" t="s">
        <v>3388</v>
      </c>
      <c r="AH909" t="s">
        <v>4904</v>
      </c>
      <c r="AL909" t="s">
        <v>2122</v>
      </c>
      <c r="AN909" t="s">
        <v>3418</v>
      </c>
    </row>
    <row r="910" spans="1:41">
      <c r="A910" s="1" t="s">
        <v>946</v>
      </c>
      <c r="B910" t="s">
        <v>1998</v>
      </c>
      <c r="C910" t="s">
        <v>2001</v>
      </c>
      <c r="D910" t="s">
        <v>2074</v>
      </c>
      <c r="E910" t="s">
        <v>2112</v>
      </c>
      <c r="F910" t="s">
        <v>2122</v>
      </c>
      <c r="G910" t="s">
        <v>2213</v>
      </c>
      <c r="H910">
        <v>10467</v>
      </c>
      <c r="J910">
        <v>4</v>
      </c>
      <c r="K910">
        <v>0</v>
      </c>
      <c r="L910" t="s">
        <v>2394</v>
      </c>
      <c r="M910" t="s">
        <v>2677</v>
      </c>
      <c r="P910" t="s">
        <v>2889</v>
      </c>
      <c r="Q910" t="s">
        <v>2113</v>
      </c>
      <c r="R910" t="s">
        <v>3259</v>
      </c>
      <c r="S910" t="s">
        <v>3270</v>
      </c>
      <c r="X910" t="s">
        <v>3354</v>
      </c>
      <c r="Y910" t="s">
        <v>2677</v>
      </c>
      <c r="Z910" t="s">
        <v>3377</v>
      </c>
      <c r="AA910" t="s">
        <v>3406</v>
      </c>
      <c r="AB910" t="s">
        <v>3418</v>
      </c>
      <c r="AC910">
        <f>HYPERLINK("https://lsnyc.legalserver.org/matter/dynamic-profile/view/1891437","19-1891437")</f>
        <v>0</v>
      </c>
      <c r="AD910" t="s">
        <v>3445</v>
      </c>
      <c r="AE910" t="s">
        <v>3455</v>
      </c>
      <c r="AF910" t="s">
        <v>4213</v>
      </c>
      <c r="AG910" t="s">
        <v>3377</v>
      </c>
      <c r="AH910" t="s">
        <v>4904</v>
      </c>
      <c r="AK910" t="s">
        <v>4911</v>
      </c>
      <c r="AL910" t="s">
        <v>2122</v>
      </c>
      <c r="AN910" t="s">
        <v>3418</v>
      </c>
    </row>
    <row r="911" spans="1:41">
      <c r="A911" s="1" t="s">
        <v>947</v>
      </c>
      <c r="B911" t="s">
        <v>2000</v>
      </c>
      <c r="C911" t="s">
        <v>2001</v>
      </c>
      <c r="D911" t="s">
        <v>2057</v>
      </c>
      <c r="E911" t="s">
        <v>2112</v>
      </c>
      <c r="F911" t="s">
        <v>2116</v>
      </c>
      <c r="G911" t="s">
        <v>2213</v>
      </c>
      <c r="H911">
        <v>10467</v>
      </c>
      <c r="I911" t="s">
        <v>2229</v>
      </c>
      <c r="J911">
        <v>3</v>
      </c>
      <c r="K911">
        <v>2</v>
      </c>
      <c r="L911" t="s">
        <v>2478</v>
      </c>
      <c r="M911" t="s">
        <v>2677</v>
      </c>
      <c r="P911" t="s">
        <v>2889</v>
      </c>
      <c r="Q911" t="s">
        <v>2113</v>
      </c>
      <c r="R911" t="s">
        <v>3258</v>
      </c>
      <c r="S911" t="s">
        <v>3262</v>
      </c>
      <c r="X911" t="s">
        <v>3354</v>
      </c>
      <c r="Y911" t="s">
        <v>2677</v>
      </c>
      <c r="Z911" t="s">
        <v>3355</v>
      </c>
      <c r="AA911" t="s">
        <v>3406</v>
      </c>
      <c r="AB911" t="s">
        <v>3410</v>
      </c>
      <c r="AC911">
        <f>HYPERLINK("https://lsnyc.legalserver.org/matter/dynamic-profile/view/1891450","19-1891450")</f>
        <v>0</v>
      </c>
      <c r="AD911" t="s">
        <v>3445</v>
      </c>
      <c r="AE911" t="s">
        <v>3455</v>
      </c>
      <c r="AF911" t="s">
        <v>4214</v>
      </c>
      <c r="AG911" t="s">
        <v>3355</v>
      </c>
      <c r="AH911" t="s">
        <v>4904</v>
      </c>
      <c r="AK911" t="s">
        <v>4911</v>
      </c>
      <c r="AL911" t="s">
        <v>2116</v>
      </c>
      <c r="AN911" t="s">
        <v>3410</v>
      </c>
    </row>
    <row r="912" spans="1:41">
      <c r="A912" s="1" t="s">
        <v>948</v>
      </c>
      <c r="B912" t="s">
        <v>2012</v>
      </c>
      <c r="C912" t="s">
        <v>1998</v>
      </c>
      <c r="D912" t="s">
        <v>2081</v>
      </c>
      <c r="E912" t="s">
        <v>2112</v>
      </c>
      <c r="F912" t="s">
        <v>2120</v>
      </c>
      <c r="G912" t="s">
        <v>2213</v>
      </c>
      <c r="H912">
        <v>10467</v>
      </c>
      <c r="J912">
        <v>4</v>
      </c>
      <c r="K912">
        <v>2</v>
      </c>
      <c r="L912" t="s">
        <v>2262</v>
      </c>
      <c r="M912" t="s">
        <v>2677</v>
      </c>
      <c r="P912" t="s">
        <v>2889</v>
      </c>
      <c r="Q912" t="s">
        <v>2113</v>
      </c>
      <c r="R912" t="s">
        <v>3258</v>
      </c>
      <c r="S912" t="s">
        <v>3269</v>
      </c>
      <c r="X912" t="s">
        <v>3354</v>
      </c>
      <c r="Y912" t="s">
        <v>2677</v>
      </c>
      <c r="Z912" t="s">
        <v>3361</v>
      </c>
      <c r="AA912" t="s">
        <v>3406</v>
      </c>
      <c r="AB912" t="s">
        <v>3417</v>
      </c>
      <c r="AC912">
        <f>HYPERLINK("https://lsnyc.legalserver.org/matter/dynamic-profile/view/1891474","19-1891474")</f>
        <v>0</v>
      </c>
      <c r="AD912" t="s">
        <v>3445</v>
      </c>
      <c r="AE912" t="s">
        <v>3455</v>
      </c>
      <c r="AF912" t="s">
        <v>4215</v>
      </c>
      <c r="AG912" t="s">
        <v>3361</v>
      </c>
      <c r="AH912" t="s">
        <v>4904</v>
      </c>
      <c r="AK912" t="s">
        <v>4911</v>
      </c>
      <c r="AL912" t="s">
        <v>2120</v>
      </c>
      <c r="AN912" t="s">
        <v>3417</v>
      </c>
    </row>
    <row r="913" spans="1:41">
      <c r="A913" s="1" t="s">
        <v>949</v>
      </c>
      <c r="B913" t="s">
        <v>1998</v>
      </c>
      <c r="C913" t="s">
        <v>2000</v>
      </c>
      <c r="D913" t="s">
        <v>2076</v>
      </c>
      <c r="E913" t="s">
        <v>2111</v>
      </c>
      <c r="F913" t="s">
        <v>2129</v>
      </c>
      <c r="G913" t="s">
        <v>2211</v>
      </c>
      <c r="H913">
        <v>10039</v>
      </c>
      <c r="I913" t="s">
        <v>2230</v>
      </c>
      <c r="J913">
        <v>1</v>
      </c>
      <c r="K913">
        <v>0</v>
      </c>
      <c r="L913" t="s">
        <v>2260</v>
      </c>
      <c r="M913" t="s">
        <v>2677</v>
      </c>
      <c r="P913" t="s">
        <v>2889</v>
      </c>
      <c r="Q913" t="s">
        <v>2113</v>
      </c>
      <c r="R913" t="s">
        <v>3258</v>
      </c>
      <c r="S913" t="s">
        <v>3271</v>
      </c>
      <c r="V913" t="s">
        <v>3352</v>
      </c>
      <c r="X913" t="s">
        <v>3354</v>
      </c>
      <c r="Y913" t="s">
        <v>2677</v>
      </c>
      <c r="Z913" t="s">
        <v>3362</v>
      </c>
      <c r="AA913" t="s">
        <v>3406</v>
      </c>
      <c r="AB913" t="s">
        <v>3419</v>
      </c>
      <c r="AC913">
        <f>HYPERLINK("https://lsnyc.legalserver.org/matter/dynamic-profile/view/1891543","19-1891543")</f>
        <v>0</v>
      </c>
      <c r="AD913" t="s">
        <v>3445</v>
      </c>
      <c r="AE913" t="s">
        <v>3452</v>
      </c>
      <c r="AF913" t="s">
        <v>3891</v>
      </c>
      <c r="AG913" t="s">
        <v>3362</v>
      </c>
      <c r="AH913" t="s">
        <v>4904</v>
      </c>
      <c r="AK913" t="s">
        <v>4911</v>
      </c>
      <c r="AL913" t="s">
        <v>2129</v>
      </c>
      <c r="AN913" t="s">
        <v>3419</v>
      </c>
      <c r="AO913" t="s">
        <v>3352</v>
      </c>
    </row>
    <row r="914" spans="1:41">
      <c r="A914" s="1" t="s">
        <v>950</v>
      </c>
      <c r="B914" t="s">
        <v>2002</v>
      </c>
      <c r="C914" t="s">
        <v>2016</v>
      </c>
      <c r="D914" t="s">
        <v>2041</v>
      </c>
      <c r="E914" t="s">
        <v>2112</v>
      </c>
      <c r="F914" t="s">
        <v>2123</v>
      </c>
      <c r="G914" t="s">
        <v>2211</v>
      </c>
      <c r="H914">
        <v>10009</v>
      </c>
      <c r="J914">
        <v>3</v>
      </c>
      <c r="K914">
        <v>0</v>
      </c>
      <c r="L914" t="s">
        <v>2422</v>
      </c>
      <c r="M914" t="s">
        <v>2677</v>
      </c>
      <c r="P914" t="s">
        <v>2890</v>
      </c>
      <c r="Q914" t="s">
        <v>2113</v>
      </c>
      <c r="R914" t="s">
        <v>3258</v>
      </c>
      <c r="S914" t="s">
        <v>3286</v>
      </c>
      <c r="T914" t="s">
        <v>3294</v>
      </c>
      <c r="U914" t="s">
        <v>2901</v>
      </c>
      <c r="X914" t="s">
        <v>3354</v>
      </c>
      <c r="Y914" t="s">
        <v>2677</v>
      </c>
      <c r="Z914" t="s">
        <v>3388</v>
      </c>
      <c r="AA914" t="s">
        <v>3406</v>
      </c>
      <c r="AB914" t="s">
        <v>3434</v>
      </c>
      <c r="AC914">
        <f>HYPERLINK("https://lsnyc.legalserver.org/matter/dynamic-profile/view/1891380","19-1891380")</f>
        <v>0</v>
      </c>
      <c r="AD914" t="s">
        <v>3445</v>
      </c>
      <c r="AE914" t="s">
        <v>3452</v>
      </c>
      <c r="AF914" t="s">
        <v>4216</v>
      </c>
      <c r="AG914" t="s">
        <v>3388</v>
      </c>
      <c r="AH914" t="s">
        <v>4904</v>
      </c>
      <c r="AK914" t="s">
        <v>4911</v>
      </c>
      <c r="AL914" t="s">
        <v>2123</v>
      </c>
      <c r="AM914" t="s">
        <v>3294</v>
      </c>
      <c r="AN914" t="s">
        <v>3434</v>
      </c>
    </row>
    <row r="915" spans="1:41">
      <c r="A915" s="1" t="s">
        <v>951</v>
      </c>
      <c r="B915" t="s">
        <v>1998</v>
      </c>
      <c r="C915" t="s">
        <v>2001</v>
      </c>
      <c r="D915" t="s">
        <v>2084</v>
      </c>
      <c r="E915" t="s">
        <v>2112</v>
      </c>
      <c r="F915" t="s">
        <v>2165</v>
      </c>
      <c r="G915" t="s">
        <v>2214</v>
      </c>
      <c r="H915">
        <v>11233</v>
      </c>
      <c r="I915" t="s">
        <v>2230</v>
      </c>
      <c r="J915">
        <v>5</v>
      </c>
      <c r="K915">
        <v>3</v>
      </c>
      <c r="L915" t="s">
        <v>2479</v>
      </c>
      <c r="M915" t="s">
        <v>2678</v>
      </c>
      <c r="P915" t="s">
        <v>2891</v>
      </c>
      <c r="Q915" t="s">
        <v>3255</v>
      </c>
      <c r="R915" t="s">
        <v>3258</v>
      </c>
      <c r="S915" t="s">
        <v>3271</v>
      </c>
      <c r="T915" t="s">
        <v>3294</v>
      </c>
      <c r="U915" t="s">
        <v>2824</v>
      </c>
      <c r="V915" t="s">
        <v>3352</v>
      </c>
      <c r="X915" t="s">
        <v>3354</v>
      </c>
      <c r="Y915" t="s">
        <v>2678</v>
      </c>
      <c r="Z915" t="s">
        <v>3362</v>
      </c>
      <c r="AA915" t="s">
        <v>3406</v>
      </c>
      <c r="AB915" t="s">
        <v>3419</v>
      </c>
      <c r="AC915">
        <f>HYPERLINK("https://lsnyc.legalserver.org/matter/dynamic-profile/view/1891169","19-1891169")</f>
        <v>0</v>
      </c>
      <c r="AD915" t="s">
        <v>3446</v>
      </c>
      <c r="AE915" t="s">
        <v>3473</v>
      </c>
      <c r="AF915" t="s">
        <v>4217</v>
      </c>
      <c r="AG915" t="s">
        <v>3362</v>
      </c>
      <c r="AH915" t="s">
        <v>4904</v>
      </c>
      <c r="AJ915" t="s">
        <v>4910</v>
      </c>
      <c r="AL915" t="s">
        <v>2165</v>
      </c>
      <c r="AM915" t="s">
        <v>3294</v>
      </c>
      <c r="AN915" t="s">
        <v>3419</v>
      </c>
      <c r="AO915" t="s">
        <v>3352</v>
      </c>
    </row>
    <row r="916" spans="1:41">
      <c r="A916" s="1" t="s">
        <v>952</v>
      </c>
      <c r="B916" t="s">
        <v>2014</v>
      </c>
      <c r="C916" t="s">
        <v>2000</v>
      </c>
      <c r="D916" t="s">
        <v>2076</v>
      </c>
      <c r="E916" t="s">
        <v>2112</v>
      </c>
      <c r="F916" t="s">
        <v>2123</v>
      </c>
      <c r="G916" t="s">
        <v>2214</v>
      </c>
      <c r="H916">
        <v>11204</v>
      </c>
      <c r="I916" t="s">
        <v>2229</v>
      </c>
      <c r="J916">
        <v>2</v>
      </c>
      <c r="K916">
        <v>1</v>
      </c>
      <c r="L916" t="s">
        <v>2480</v>
      </c>
      <c r="M916" t="s">
        <v>2677</v>
      </c>
      <c r="P916" t="s">
        <v>2759</v>
      </c>
      <c r="Q916" t="s">
        <v>2113</v>
      </c>
      <c r="R916" t="s">
        <v>3258</v>
      </c>
      <c r="S916" t="s">
        <v>3289</v>
      </c>
      <c r="V916" t="s">
        <v>3352</v>
      </c>
      <c r="X916" t="s">
        <v>3354</v>
      </c>
      <c r="Y916" t="s">
        <v>2678</v>
      </c>
      <c r="Z916" t="s">
        <v>3390</v>
      </c>
      <c r="AA916" t="s">
        <v>3406</v>
      </c>
      <c r="AB916" t="s">
        <v>3437</v>
      </c>
      <c r="AC916">
        <f>HYPERLINK("https://lsnyc.legalserver.org/matter/dynamic-profile/view/1891187","19-1891187")</f>
        <v>0</v>
      </c>
      <c r="AD916" t="s">
        <v>3442</v>
      </c>
      <c r="AE916" t="s">
        <v>3460</v>
      </c>
      <c r="AF916" t="s">
        <v>4218</v>
      </c>
      <c r="AG916" t="s">
        <v>3390</v>
      </c>
      <c r="AH916" t="s">
        <v>4905</v>
      </c>
      <c r="AL916" t="s">
        <v>2123</v>
      </c>
      <c r="AN916" t="s">
        <v>3437</v>
      </c>
      <c r="AO916" t="s">
        <v>3352</v>
      </c>
    </row>
    <row r="917" spans="1:41">
      <c r="A917" s="1" t="s">
        <v>953</v>
      </c>
      <c r="B917" t="s">
        <v>2016</v>
      </c>
      <c r="C917" t="s">
        <v>2016</v>
      </c>
      <c r="D917" t="s">
        <v>2080</v>
      </c>
      <c r="E917" t="s">
        <v>2111</v>
      </c>
      <c r="F917" t="s">
        <v>2116</v>
      </c>
      <c r="G917" t="s">
        <v>2212</v>
      </c>
      <c r="H917">
        <v>11435</v>
      </c>
      <c r="I917" t="s">
        <v>2229</v>
      </c>
      <c r="J917">
        <v>1</v>
      </c>
      <c r="K917">
        <v>0</v>
      </c>
      <c r="L917" t="s">
        <v>2294</v>
      </c>
      <c r="M917" t="s">
        <v>2678</v>
      </c>
      <c r="P917" t="s">
        <v>2727</v>
      </c>
      <c r="Q917" t="s">
        <v>3257</v>
      </c>
      <c r="R917" t="s">
        <v>3261</v>
      </c>
      <c r="S917" t="s">
        <v>3283</v>
      </c>
      <c r="T917" t="s">
        <v>3295</v>
      </c>
      <c r="U917" t="s">
        <v>2727</v>
      </c>
      <c r="V917" t="s">
        <v>3353</v>
      </c>
      <c r="X917" t="s">
        <v>3354</v>
      </c>
      <c r="Y917" t="s">
        <v>2678</v>
      </c>
      <c r="Z917" t="s">
        <v>3359</v>
      </c>
      <c r="AA917" t="s">
        <v>3408</v>
      </c>
      <c r="AB917" t="s">
        <v>3431</v>
      </c>
      <c r="AC917">
        <f>HYPERLINK("https://lsnyc.legalserver.org/matter/dynamic-profile/view/1891012","19-1891012")</f>
        <v>0</v>
      </c>
      <c r="AD917" t="s">
        <v>3443</v>
      </c>
      <c r="AE917" t="s">
        <v>3450</v>
      </c>
      <c r="AF917" t="s">
        <v>4219</v>
      </c>
      <c r="AG917" t="s">
        <v>3359</v>
      </c>
      <c r="AH917" t="s">
        <v>3408</v>
      </c>
      <c r="AL917" t="s">
        <v>2116</v>
      </c>
      <c r="AM917" t="s">
        <v>3295</v>
      </c>
      <c r="AN917" t="s">
        <v>3431</v>
      </c>
      <c r="AO917" t="s">
        <v>3353</v>
      </c>
    </row>
    <row r="918" spans="1:41">
      <c r="A918" s="1" t="s">
        <v>954</v>
      </c>
      <c r="B918" t="s">
        <v>2001</v>
      </c>
      <c r="C918" t="s">
        <v>2005</v>
      </c>
      <c r="D918" t="s">
        <v>2057</v>
      </c>
      <c r="E918" t="s">
        <v>2111</v>
      </c>
      <c r="F918" t="s">
        <v>2129</v>
      </c>
      <c r="G918" t="s">
        <v>2214</v>
      </c>
      <c r="H918">
        <v>11233</v>
      </c>
      <c r="I918" t="s">
        <v>2232</v>
      </c>
      <c r="J918">
        <v>2</v>
      </c>
      <c r="K918">
        <v>0</v>
      </c>
      <c r="L918" t="s">
        <v>2331</v>
      </c>
      <c r="M918" t="s">
        <v>2677</v>
      </c>
      <c r="P918" t="s">
        <v>2892</v>
      </c>
      <c r="Q918" t="s">
        <v>2113</v>
      </c>
      <c r="R918" t="s">
        <v>3259</v>
      </c>
      <c r="S918" t="s">
        <v>3268</v>
      </c>
      <c r="X918" t="s">
        <v>3354</v>
      </c>
      <c r="Y918" t="s">
        <v>2677</v>
      </c>
      <c r="Z918" t="s">
        <v>3368</v>
      </c>
      <c r="AA918" t="s">
        <v>3406</v>
      </c>
      <c r="AB918" t="s">
        <v>3416</v>
      </c>
      <c r="AC918">
        <f>HYPERLINK("https://lsnyc.legalserver.org/matter/dynamic-profile/view/1891129","19-1891129")</f>
        <v>0</v>
      </c>
      <c r="AD918" t="s">
        <v>3445</v>
      </c>
      <c r="AE918" t="s">
        <v>3455</v>
      </c>
      <c r="AF918" t="s">
        <v>4220</v>
      </c>
      <c r="AG918" t="s">
        <v>3368</v>
      </c>
      <c r="AH918" t="s">
        <v>4904</v>
      </c>
      <c r="AK918" t="s">
        <v>4911</v>
      </c>
      <c r="AL918" t="s">
        <v>2129</v>
      </c>
      <c r="AN918" t="s">
        <v>3416</v>
      </c>
    </row>
    <row r="919" spans="1:41">
      <c r="A919" s="1" t="s">
        <v>955</v>
      </c>
      <c r="B919" t="s">
        <v>2018</v>
      </c>
      <c r="C919" t="s">
        <v>2017</v>
      </c>
      <c r="D919" t="s">
        <v>2057</v>
      </c>
      <c r="E919" t="s">
        <v>2111</v>
      </c>
      <c r="F919" t="s">
        <v>2129</v>
      </c>
      <c r="G919" t="s">
        <v>2214</v>
      </c>
      <c r="H919">
        <v>11233</v>
      </c>
      <c r="I919" t="s">
        <v>2232</v>
      </c>
      <c r="J919">
        <v>2</v>
      </c>
      <c r="K919">
        <v>0</v>
      </c>
      <c r="L919" t="s">
        <v>2331</v>
      </c>
      <c r="M919" t="s">
        <v>2677</v>
      </c>
      <c r="P919" t="s">
        <v>2892</v>
      </c>
      <c r="Q919" t="s">
        <v>2113</v>
      </c>
      <c r="R919" t="s">
        <v>3259</v>
      </c>
      <c r="S919" t="s">
        <v>3268</v>
      </c>
      <c r="X919" t="s">
        <v>3354</v>
      </c>
      <c r="Y919" t="s">
        <v>2677</v>
      </c>
      <c r="Z919" t="s">
        <v>3368</v>
      </c>
      <c r="AA919" t="s">
        <v>3406</v>
      </c>
      <c r="AB919" t="s">
        <v>3416</v>
      </c>
      <c r="AC919">
        <f>HYPERLINK("https://lsnyc.legalserver.org/matter/dynamic-profile/view/1891130","19-1891130")</f>
        <v>0</v>
      </c>
      <c r="AD919" t="s">
        <v>3445</v>
      </c>
      <c r="AE919" t="s">
        <v>3455</v>
      </c>
      <c r="AF919" t="s">
        <v>4221</v>
      </c>
      <c r="AG919" t="s">
        <v>3368</v>
      </c>
      <c r="AH919" t="s">
        <v>4904</v>
      </c>
      <c r="AK919" t="s">
        <v>4911</v>
      </c>
      <c r="AL919" t="s">
        <v>2129</v>
      </c>
      <c r="AN919" t="s">
        <v>3416</v>
      </c>
    </row>
    <row r="920" spans="1:41">
      <c r="A920" s="1" t="s">
        <v>956</v>
      </c>
      <c r="B920" t="s">
        <v>1998</v>
      </c>
      <c r="C920" t="s">
        <v>2002</v>
      </c>
      <c r="D920" t="s">
        <v>2039</v>
      </c>
      <c r="E920" t="s">
        <v>2111</v>
      </c>
      <c r="F920" t="s">
        <v>2145</v>
      </c>
      <c r="G920" t="s">
        <v>2211</v>
      </c>
      <c r="H920">
        <v>10027</v>
      </c>
      <c r="I920" t="s">
        <v>2230</v>
      </c>
      <c r="J920">
        <v>1</v>
      </c>
      <c r="K920">
        <v>0</v>
      </c>
      <c r="L920" t="s">
        <v>2481</v>
      </c>
      <c r="M920" t="s">
        <v>2677</v>
      </c>
      <c r="P920" t="s">
        <v>2893</v>
      </c>
      <c r="Q920" t="s">
        <v>2113</v>
      </c>
      <c r="R920" t="s">
        <v>3261</v>
      </c>
      <c r="S920" t="s">
        <v>3283</v>
      </c>
      <c r="X920" t="s">
        <v>3354</v>
      </c>
      <c r="Y920" t="s">
        <v>2678</v>
      </c>
      <c r="Z920" t="s">
        <v>3362</v>
      </c>
      <c r="AA920" t="s">
        <v>3409</v>
      </c>
      <c r="AB920" t="s">
        <v>3431</v>
      </c>
      <c r="AC920">
        <f>HYPERLINK("https://lsnyc.legalserver.org/matter/dynamic-profile/view/1890859","19-1890859")</f>
        <v>0</v>
      </c>
      <c r="AD920" t="s">
        <v>3442</v>
      </c>
      <c r="AE920" t="s">
        <v>3470</v>
      </c>
      <c r="AF920" t="s">
        <v>4222</v>
      </c>
      <c r="AG920" t="s">
        <v>3362</v>
      </c>
      <c r="AH920" t="s">
        <v>3409</v>
      </c>
      <c r="AK920" t="s">
        <v>4911</v>
      </c>
      <c r="AL920" t="s">
        <v>2145</v>
      </c>
      <c r="AN920" t="s">
        <v>3431</v>
      </c>
    </row>
    <row r="921" spans="1:41">
      <c r="A921" s="1" t="s">
        <v>957</v>
      </c>
      <c r="B921" t="s">
        <v>2001</v>
      </c>
      <c r="C921" t="s">
        <v>2001</v>
      </c>
      <c r="D921" t="s">
        <v>2047</v>
      </c>
      <c r="E921" t="s">
        <v>2111</v>
      </c>
      <c r="F921" t="s">
        <v>2121</v>
      </c>
      <c r="G921" t="s">
        <v>2212</v>
      </c>
      <c r="H921">
        <v>11373</v>
      </c>
      <c r="I921" t="s">
        <v>2229</v>
      </c>
      <c r="J921">
        <v>1</v>
      </c>
      <c r="K921">
        <v>0</v>
      </c>
      <c r="L921" t="s">
        <v>2260</v>
      </c>
      <c r="M921" t="s">
        <v>2677</v>
      </c>
      <c r="P921" t="s">
        <v>2788</v>
      </c>
      <c r="Q921" t="s">
        <v>3257</v>
      </c>
      <c r="R921" t="s">
        <v>3259</v>
      </c>
      <c r="S921" t="s">
        <v>3267</v>
      </c>
      <c r="T921" t="s">
        <v>3294</v>
      </c>
      <c r="U921" t="s">
        <v>2788</v>
      </c>
      <c r="X921" t="s">
        <v>3354</v>
      </c>
      <c r="Y921" t="s">
        <v>2678</v>
      </c>
      <c r="Z921" t="s">
        <v>3380</v>
      </c>
      <c r="AA921" t="s">
        <v>3406</v>
      </c>
      <c r="AB921" t="s">
        <v>3415</v>
      </c>
      <c r="AC921">
        <f>HYPERLINK("https://lsnyc.legalserver.org/matter/dynamic-profile/view/1890873","19-1890873")</f>
        <v>0</v>
      </c>
      <c r="AD921" t="s">
        <v>3443</v>
      </c>
      <c r="AE921" t="s">
        <v>3472</v>
      </c>
      <c r="AF921" t="s">
        <v>3638</v>
      </c>
      <c r="AG921" t="s">
        <v>3380</v>
      </c>
      <c r="AH921" t="s">
        <v>4906</v>
      </c>
      <c r="AL921" t="s">
        <v>2121</v>
      </c>
      <c r="AM921" t="s">
        <v>3294</v>
      </c>
      <c r="AN921" t="s">
        <v>3415</v>
      </c>
    </row>
    <row r="922" spans="1:41">
      <c r="A922" s="1" t="s">
        <v>958</v>
      </c>
      <c r="B922" t="s">
        <v>2001</v>
      </c>
      <c r="C922" t="s">
        <v>2009</v>
      </c>
      <c r="D922" t="s">
        <v>2031</v>
      </c>
      <c r="E922" t="s">
        <v>2111</v>
      </c>
      <c r="F922" t="s">
        <v>2135</v>
      </c>
      <c r="G922" t="s">
        <v>2216</v>
      </c>
      <c r="H922">
        <v>10301</v>
      </c>
      <c r="I922" t="s">
        <v>2229</v>
      </c>
      <c r="J922">
        <v>3</v>
      </c>
      <c r="K922">
        <v>1</v>
      </c>
      <c r="L922" t="s">
        <v>2420</v>
      </c>
      <c r="M922" t="s">
        <v>2677</v>
      </c>
      <c r="P922" t="s">
        <v>2893</v>
      </c>
      <c r="Q922" t="s">
        <v>2113</v>
      </c>
      <c r="R922" t="s">
        <v>3258</v>
      </c>
      <c r="S922" t="s">
        <v>3273</v>
      </c>
      <c r="T922" t="s">
        <v>3294</v>
      </c>
      <c r="U922" t="s">
        <v>2879</v>
      </c>
      <c r="X922" t="s">
        <v>3354</v>
      </c>
      <c r="Y922" t="s">
        <v>2678</v>
      </c>
      <c r="Z922" t="s">
        <v>3370</v>
      </c>
      <c r="AA922" t="s">
        <v>3406</v>
      </c>
      <c r="AB922" t="s">
        <v>3421</v>
      </c>
      <c r="AC922">
        <f>HYPERLINK("https://lsnyc.legalserver.org/matter/dynamic-profile/view/1891337","19-1891337")</f>
        <v>0</v>
      </c>
      <c r="AD922" t="s">
        <v>3447</v>
      </c>
      <c r="AE922" t="s">
        <v>3459</v>
      </c>
      <c r="AF922" t="s">
        <v>4223</v>
      </c>
      <c r="AG922" t="s">
        <v>3370</v>
      </c>
      <c r="AH922" t="s">
        <v>4904</v>
      </c>
      <c r="AK922" t="s">
        <v>4911</v>
      </c>
      <c r="AL922" t="s">
        <v>2135</v>
      </c>
      <c r="AM922" t="s">
        <v>3294</v>
      </c>
      <c r="AN922" t="s">
        <v>3421</v>
      </c>
    </row>
    <row r="923" spans="1:41">
      <c r="A923" s="1" t="s">
        <v>959</v>
      </c>
      <c r="B923" t="s">
        <v>1998</v>
      </c>
      <c r="C923" t="s">
        <v>2016</v>
      </c>
      <c r="D923" t="s">
        <v>2072</v>
      </c>
      <c r="E923" t="s">
        <v>2112</v>
      </c>
      <c r="F923" t="s">
        <v>2135</v>
      </c>
      <c r="G923" t="s">
        <v>2212</v>
      </c>
      <c r="H923">
        <v>11373</v>
      </c>
      <c r="I923" t="s">
        <v>2229</v>
      </c>
      <c r="J923">
        <v>1</v>
      </c>
      <c r="K923">
        <v>0</v>
      </c>
      <c r="L923" t="s">
        <v>2264</v>
      </c>
      <c r="M923" t="s">
        <v>2677</v>
      </c>
      <c r="P923" t="s">
        <v>2757</v>
      </c>
      <c r="Q923" t="s">
        <v>3255</v>
      </c>
      <c r="R923" t="s">
        <v>3258</v>
      </c>
      <c r="S923" t="s">
        <v>3269</v>
      </c>
      <c r="T923" t="s">
        <v>3294</v>
      </c>
      <c r="U923" t="s">
        <v>2757</v>
      </c>
      <c r="X923" t="s">
        <v>3354</v>
      </c>
      <c r="Y923" t="s">
        <v>2678</v>
      </c>
      <c r="Z923" t="s">
        <v>3361</v>
      </c>
      <c r="AA923" t="s">
        <v>3406</v>
      </c>
      <c r="AB923" t="s">
        <v>3417</v>
      </c>
      <c r="AC923">
        <f>HYPERLINK("https://lsnyc.legalserver.org/matter/dynamic-profile/view/1904593","19-1904593")</f>
        <v>0</v>
      </c>
      <c r="AD923" t="s">
        <v>3443</v>
      </c>
      <c r="AE923" t="s">
        <v>3471</v>
      </c>
      <c r="AF923" t="s">
        <v>4224</v>
      </c>
      <c r="AG923" t="s">
        <v>3361</v>
      </c>
      <c r="AH923" t="s">
        <v>4904</v>
      </c>
      <c r="AL923" t="s">
        <v>2135</v>
      </c>
      <c r="AM923" t="s">
        <v>3294</v>
      </c>
      <c r="AN923" t="s">
        <v>3417</v>
      </c>
    </row>
    <row r="924" spans="1:41">
      <c r="A924" s="1" t="s">
        <v>960</v>
      </c>
      <c r="B924" t="s">
        <v>1998</v>
      </c>
      <c r="C924" t="s">
        <v>2009</v>
      </c>
      <c r="D924" t="s">
        <v>2063</v>
      </c>
      <c r="E924" t="s">
        <v>2111</v>
      </c>
      <c r="F924" t="s">
        <v>2129</v>
      </c>
      <c r="G924" t="s">
        <v>2216</v>
      </c>
      <c r="H924">
        <v>10303</v>
      </c>
      <c r="I924" t="s">
        <v>2230</v>
      </c>
      <c r="J924">
        <v>1</v>
      </c>
      <c r="K924">
        <v>0</v>
      </c>
      <c r="L924" t="s">
        <v>2260</v>
      </c>
      <c r="M924" t="s">
        <v>2677</v>
      </c>
      <c r="P924" t="s">
        <v>2894</v>
      </c>
      <c r="Q924" t="s">
        <v>2113</v>
      </c>
      <c r="R924" t="s">
        <v>3259</v>
      </c>
      <c r="S924" t="s">
        <v>3267</v>
      </c>
      <c r="T924" t="s">
        <v>3294</v>
      </c>
      <c r="U924" t="s">
        <v>2881</v>
      </c>
      <c r="X924" t="s">
        <v>3354</v>
      </c>
      <c r="Y924" t="s">
        <v>2678</v>
      </c>
      <c r="Z924" t="s">
        <v>3380</v>
      </c>
      <c r="AA924" t="s">
        <v>3406</v>
      </c>
      <c r="AB924" t="s">
        <v>3415</v>
      </c>
      <c r="AC924">
        <f>HYPERLINK("https://lsnyc.legalserver.org/matter/dynamic-profile/view/1886911","19-1886911")</f>
        <v>0</v>
      </c>
      <c r="AD924" t="s">
        <v>3447</v>
      </c>
      <c r="AE924" t="s">
        <v>3459</v>
      </c>
      <c r="AF924" t="s">
        <v>4225</v>
      </c>
      <c r="AG924" t="s">
        <v>3380</v>
      </c>
      <c r="AH924" t="s">
        <v>4906</v>
      </c>
      <c r="AK924" t="s">
        <v>4911</v>
      </c>
      <c r="AL924" t="s">
        <v>2129</v>
      </c>
      <c r="AM924" t="s">
        <v>3294</v>
      </c>
      <c r="AN924" t="s">
        <v>3415</v>
      </c>
    </row>
    <row r="925" spans="1:41">
      <c r="A925" s="1" t="s">
        <v>961</v>
      </c>
      <c r="B925" t="s">
        <v>1998</v>
      </c>
      <c r="C925" t="s">
        <v>2000</v>
      </c>
      <c r="D925" t="s">
        <v>2069</v>
      </c>
      <c r="E925" t="s">
        <v>2111</v>
      </c>
      <c r="F925" t="s">
        <v>2117</v>
      </c>
      <c r="G925" t="s">
        <v>2212</v>
      </c>
      <c r="H925">
        <v>11429</v>
      </c>
      <c r="I925" t="s">
        <v>2229</v>
      </c>
      <c r="J925">
        <v>3</v>
      </c>
      <c r="K925">
        <v>1</v>
      </c>
      <c r="L925" t="s">
        <v>2294</v>
      </c>
      <c r="M925" t="s">
        <v>2677</v>
      </c>
      <c r="P925" t="s">
        <v>2749</v>
      </c>
      <c r="Q925" t="s">
        <v>2113</v>
      </c>
      <c r="R925" t="s">
        <v>3259</v>
      </c>
      <c r="S925" t="s">
        <v>3267</v>
      </c>
      <c r="T925" t="s">
        <v>3294</v>
      </c>
      <c r="V925" t="s">
        <v>3353</v>
      </c>
      <c r="X925" t="s">
        <v>3354</v>
      </c>
      <c r="Y925" t="s">
        <v>2678</v>
      </c>
      <c r="Z925" t="s">
        <v>3359</v>
      </c>
      <c r="AA925" t="s">
        <v>3406</v>
      </c>
      <c r="AB925" t="s">
        <v>3415</v>
      </c>
      <c r="AC925">
        <f>HYPERLINK("https://lsnyc.legalserver.org/matter/dynamic-profile/view/1891342","19-1891342")</f>
        <v>0</v>
      </c>
      <c r="AD925" t="s">
        <v>3443</v>
      </c>
      <c r="AE925" t="s">
        <v>3450</v>
      </c>
      <c r="AF925" t="s">
        <v>4017</v>
      </c>
      <c r="AG925" t="s">
        <v>3359</v>
      </c>
      <c r="AH925" t="s">
        <v>4906</v>
      </c>
      <c r="AL925" t="s">
        <v>2117</v>
      </c>
      <c r="AM925" t="s">
        <v>3294</v>
      </c>
      <c r="AN925" t="s">
        <v>3415</v>
      </c>
      <c r="AO925" t="s">
        <v>3353</v>
      </c>
    </row>
    <row r="926" spans="1:41">
      <c r="A926" s="1" t="s">
        <v>962</v>
      </c>
      <c r="B926" t="s">
        <v>1998</v>
      </c>
      <c r="C926" t="s">
        <v>2009</v>
      </c>
      <c r="D926" t="s">
        <v>2081</v>
      </c>
      <c r="E926" t="s">
        <v>2111</v>
      </c>
      <c r="F926" t="s">
        <v>2125</v>
      </c>
      <c r="G926" t="s">
        <v>2213</v>
      </c>
      <c r="H926">
        <v>10460</v>
      </c>
      <c r="I926" t="s">
        <v>2230</v>
      </c>
      <c r="J926">
        <v>1</v>
      </c>
      <c r="K926">
        <v>0</v>
      </c>
      <c r="L926" t="s">
        <v>2306</v>
      </c>
      <c r="M926" t="s">
        <v>2678</v>
      </c>
      <c r="P926" t="s">
        <v>2756</v>
      </c>
      <c r="Q926" t="s">
        <v>2113</v>
      </c>
      <c r="R926" t="s">
        <v>3259</v>
      </c>
      <c r="S926" t="s">
        <v>3267</v>
      </c>
      <c r="V926" t="s">
        <v>3352</v>
      </c>
      <c r="X926" t="s">
        <v>3354</v>
      </c>
      <c r="Y926" t="s">
        <v>2678</v>
      </c>
      <c r="Z926" t="s">
        <v>3380</v>
      </c>
      <c r="AA926" t="s">
        <v>3406</v>
      </c>
      <c r="AB926" t="s">
        <v>3415</v>
      </c>
      <c r="AC926">
        <f>HYPERLINK("https://lsnyc.legalserver.org/matter/dynamic-profile/view/1890422","19-1890422")</f>
        <v>0</v>
      </c>
      <c r="AD926" t="s">
        <v>3444</v>
      </c>
      <c r="AE926" t="s">
        <v>3451</v>
      </c>
      <c r="AF926" t="s">
        <v>4226</v>
      </c>
      <c r="AG926" t="s">
        <v>3380</v>
      </c>
      <c r="AH926" t="s">
        <v>4906</v>
      </c>
      <c r="AI926" t="s">
        <v>4909</v>
      </c>
      <c r="AJ926" t="s">
        <v>4910</v>
      </c>
      <c r="AL926" t="s">
        <v>2125</v>
      </c>
      <c r="AN926" t="s">
        <v>3415</v>
      </c>
      <c r="AO926" t="s">
        <v>3352</v>
      </c>
    </row>
    <row r="927" spans="1:41">
      <c r="A927" s="1" t="s">
        <v>963</v>
      </c>
      <c r="B927" t="s">
        <v>2001</v>
      </c>
      <c r="C927" t="s">
        <v>2001</v>
      </c>
      <c r="D927" t="s">
        <v>2048</v>
      </c>
      <c r="E927" t="s">
        <v>2111</v>
      </c>
      <c r="F927" t="s">
        <v>2131</v>
      </c>
      <c r="G927" t="s">
        <v>2211</v>
      </c>
      <c r="H927">
        <v>10032</v>
      </c>
      <c r="I927" t="s">
        <v>2229</v>
      </c>
      <c r="J927">
        <v>1</v>
      </c>
      <c r="K927">
        <v>0</v>
      </c>
      <c r="L927" t="s">
        <v>2260</v>
      </c>
      <c r="M927" t="s">
        <v>2677</v>
      </c>
      <c r="P927" t="s">
        <v>2761</v>
      </c>
      <c r="Q927" t="s">
        <v>2113</v>
      </c>
      <c r="R927" t="s">
        <v>3259</v>
      </c>
      <c r="S927" t="s">
        <v>3267</v>
      </c>
      <c r="T927" t="s">
        <v>3294</v>
      </c>
      <c r="U927" t="s">
        <v>2818</v>
      </c>
      <c r="X927" t="s">
        <v>3354</v>
      </c>
      <c r="Y927" t="s">
        <v>2678</v>
      </c>
      <c r="Z927" t="s">
        <v>3380</v>
      </c>
      <c r="AA927" t="s">
        <v>3406</v>
      </c>
      <c r="AB927" t="s">
        <v>3415</v>
      </c>
      <c r="AC927">
        <f>HYPERLINK("https://lsnyc.legalserver.org/matter/dynamic-profile/view/1890450","19-1890450")</f>
        <v>0</v>
      </c>
      <c r="AD927" t="s">
        <v>3442</v>
      </c>
      <c r="AE927" t="s">
        <v>3470</v>
      </c>
      <c r="AF927" t="s">
        <v>3992</v>
      </c>
      <c r="AG927" t="s">
        <v>3380</v>
      </c>
      <c r="AH927" t="s">
        <v>4906</v>
      </c>
      <c r="AL927" t="s">
        <v>2131</v>
      </c>
      <c r="AM927" t="s">
        <v>3294</v>
      </c>
      <c r="AN927" t="s">
        <v>3415</v>
      </c>
    </row>
    <row r="928" spans="1:41">
      <c r="A928" s="1" t="s">
        <v>964</v>
      </c>
      <c r="B928" t="s">
        <v>2001</v>
      </c>
      <c r="C928" t="s">
        <v>2004</v>
      </c>
      <c r="D928" t="s">
        <v>2036</v>
      </c>
      <c r="E928" t="s">
        <v>2112</v>
      </c>
      <c r="F928" t="s">
        <v>2117</v>
      </c>
      <c r="G928" t="s">
        <v>2212</v>
      </c>
      <c r="H928">
        <v>11433</v>
      </c>
      <c r="I928" t="s">
        <v>2229</v>
      </c>
      <c r="J928">
        <v>3</v>
      </c>
      <c r="K928">
        <v>2</v>
      </c>
      <c r="L928" t="s">
        <v>2306</v>
      </c>
      <c r="M928" t="s">
        <v>2677</v>
      </c>
      <c r="P928" t="s">
        <v>2757</v>
      </c>
      <c r="Q928" t="s">
        <v>3255</v>
      </c>
      <c r="R928" t="s">
        <v>3259</v>
      </c>
      <c r="S928" t="s">
        <v>3267</v>
      </c>
      <c r="X928" t="s">
        <v>3354</v>
      </c>
      <c r="Y928" t="s">
        <v>2678</v>
      </c>
      <c r="Z928" t="s">
        <v>3359</v>
      </c>
      <c r="AA928" t="s">
        <v>3406</v>
      </c>
      <c r="AB928" t="s">
        <v>3415</v>
      </c>
      <c r="AC928">
        <f>HYPERLINK("https://lsnyc.legalserver.org/matter/dynamic-profile/view/1890469","19-1890469")</f>
        <v>0</v>
      </c>
      <c r="AD928" t="s">
        <v>3443</v>
      </c>
      <c r="AE928" t="s">
        <v>3449</v>
      </c>
      <c r="AF928" t="s">
        <v>4227</v>
      </c>
      <c r="AG928" t="s">
        <v>3359</v>
      </c>
      <c r="AH928" t="s">
        <v>4906</v>
      </c>
      <c r="AL928" t="s">
        <v>2117</v>
      </c>
      <c r="AN928" t="s">
        <v>3415</v>
      </c>
    </row>
    <row r="929" spans="1:40">
      <c r="A929" s="1" t="s">
        <v>965</v>
      </c>
      <c r="B929" t="s">
        <v>2004</v>
      </c>
      <c r="C929" t="s">
        <v>1998</v>
      </c>
      <c r="D929" t="s">
        <v>2069</v>
      </c>
      <c r="E929" t="s">
        <v>2112</v>
      </c>
      <c r="F929" t="s">
        <v>2121</v>
      </c>
      <c r="G929" t="s">
        <v>2212</v>
      </c>
      <c r="H929">
        <v>11356</v>
      </c>
      <c r="I929" t="s">
        <v>2229</v>
      </c>
      <c r="J929">
        <v>3</v>
      </c>
      <c r="K929">
        <v>0</v>
      </c>
      <c r="L929" t="s">
        <v>2283</v>
      </c>
      <c r="M929" t="s">
        <v>2677</v>
      </c>
      <c r="P929" t="s">
        <v>2760</v>
      </c>
      <c r="Q929" t="s">
        <v>3255</v>
      </c>
      <c r="R929" t="s">
        <v>3259</v>
      </c>
      <c r="S929" t="s">
        <v>3267</v>
      </c>
      <c r="X929" t="s">
        <v>3354</v>
      </c>
      <c r="Y929" t="s">
        <v>2678</v>
      </c>
      <c r="Z929" t="s">
        <v>3359</v>
      </c>
      <c r="AA929" t="s">
        <v>3406</v>
      </c>
      <c r="AB929" t="s">
        <v>3415</v>
      </c>
      <c r="AC929">
        <f>HYPERLINK("https://lsnyc.legalserver.org/matter/dynamic-profile/view/1889452","19-1889452")</f>
        <v>0</v>
      </c>
      <c r="AD929" t="s">
        <v>3443</v>
      </c>
      <c r="AE929" t="s">
        <v>3457</v>
      </c>
      <c r="AF929" t="s">
        <v>4162</v>
      </c>
      <c r="AG929" t="s">
        <v>3359</v>
      </c>
      <c r="AH929" t="s">
        <v>4906</v>
      </c>
      <c r="AL929" t="s">
        <v>2121</v>
      </c>
      <c r="AN929" t="s">
        <v>3415</v>
      </c>
    </row>
    <row r="930" spans="1:40">
      <c r="A930" s="1" t="s">
        <v>966</v>
      </c>
      <c r="B930" t="s">
        <v>2012</v>
      </c>
      <c r="C930" t="s">
        <v>1998</v>
      </c>
      <c r="D930" t="s">
        <v>2060</v>
      </c>
      <c r="E930" t="s">
        <v>2111</v>
      </c>
      <c r="F930" t="s">
        <v>2158</v>
      </c>
      <c r="G930" t="s">
        <v>2214</v>
      </c>
      <c r="H930">
        <v>11229</v>
      </c>
      <c r="J930">
        <v>1</v>
      </c>
      <c r="K930">
        <v>0</v>
      </c>
      <c r="L930" t="s">
        <v>2260</v>
      </c>
      <c r="M930" t="s">
        <v>2677</v>
      </c>
      <c r="P930" t="s">
        <v>2895</v>
      </c>
      <c r="Q930" t="s">
        <v>3257</v>
      </c>
      <c r="R930" t="s">
        <v>3259</v>
      </c>
      <c r="S930" t="s">
        <v>3267</v>
      </c>
      <c r="X930" t="s">
        <v>3354</v>
      </c>
      <c r="Y930" t="s">
        <v>2678</v>
      </c>
      <c r="Z930" t="s">
        <v>3359</v>
      </c>
      <c r="AA930" t="s">
        <v>3406</v>
      </c>
      <c r="AB930" t="s">
        <v>3415</v>
      </c>
      <c r="AC930">
        <f>HYPERLINK("https://lsnyc.legalserver.org/matter/dynamic-profile/view/1890224","19-1890224")</f>
        <v>0</v>
      </c>
      <c r="AD930" t="s">
        <v>3446</v>
      </c>
      <c r="AE930" t="s">
        <v>3454</v>
      </c>
      <c r="AF930" t="s">
        <v>4228</v>
      </c>
      <c r="AG930" t="s">
        <v>3359</v>
      </c>
      <c r="AH930" t="s">
        <v>4906</v>
      </c>
      <c r="AK930" t="s">
        <v>4911</v>
      </c>
      <c r="AL930" t="s">
        <v>2158</v>
      </c>
      <c r="AN930" t="s">
        <v>3415</v>
      </c>
    </row>
    <row r="931" spans="1:40">
      <c r="A931" s="1" t="s">
        <v>967</v>
      </c>
      <c r="B931" t="s">
        <v>2009</v>
      </c>
      <c r="C931" t="s">
        <v>2016</v>
      </c>
      <c r="D931" t="s">
        <v>2048</v>
      </c>
      <c r="E931" t="s">
        <v>2112</v>
      </c>
      <c r="F931" t="s">
        <v>2117</v>
      </c>
      <c r="G931" t="s">
        <v>2213</v>
      </c>
      <c r="H931">
        <v>10460</v>
      </c>
      <c r="I931" t="s">
        <v>2229</v>
      </c>
      <c r="J931">
        <v>2</v>
      </c>
      <c r="K931">
        <v>1</v>
      </c>
      <c r="L931" t="s">
        <v>2260</v>
      </c>
      <c r="M931" t="s">
        <v>2677</v>
      </c>
      <c r="P931" t="s">
        <v>2895</v>
      </c>
      <c r="Q931" t="s">
        <v>2113</v>
      </c>
      <c r="R931" t="s">
        <v>3259</v>
      </c>
      <c r="S931" t="s">
        <v>3267</v>
      </c>
      <c r="X931" t="s">
        <v>3354</v>
      </c>
      <c r="Y931" t="s">
        <v>2678</v>
      </c>
      <c r="Z931" t="s">
        <v>3380</v>
      </c>
      <c r="AA931" t="s">
        <v>3406</v>
      </c>
      <c r="AB931" t="s">
        <v>3415</v>
      </c>
      <c r="AC931">
        <f>HYPERLINK("https://lsnyc.legalserver.org/matter/dynamic-profile/view/1890244","19-1890244")</f>
        <v>0</v>
      </c>
      <c r="AD931" t="s">
        <v>3444</v>
      </c>
      <c r="AE931" t="s">
        <v>3466</v>
      </c>
      <c r="AF931" t="s">
        <v>4229</v>
      </c>
      <c r="AG931" t="s">
        <v>3380</v>
      </c>
      <c r="AH931" t="s">
        <v>4906</v>
      </c>
      <c r="AK931" t="s">
        <v>4911</v>
      </c>
      <c r="AL931" t="s">
        <v>2117</v>
      </c>
      <c r="AN931" t="s">
        <v>3415</v>
      </c>
    </row>
    <row r="932" spans="1:40">
      <c r="A932" s="1" t="s">
        <v>968</v>
      </c>
      <c r="B932" t="s">
        <v>2009</v>
      </c>
      <c r="C932" t="s">
        <v>2016</v>
      </c>
      <c r="D932" t="s">
        <v>2048</v>
      </c>
      <c r="E932" t="s">
        <v>2112</v>
      </c>
      <c r="F932" t="s">
        <v>2117</v>
      </c>
      <c r="G932" t="s">
        <v>2213</v>
      </c>
      <c r="H932">
        <v>10460</v>
      </c>
      <c r="I932" t="s">
        <v>2229</v>
      </c>
      <c r="J932">
        <v>2</v>
      </c>
      <c r="K932">
        <v>1</v>
      </c>
      <c r="L932" t="s">
        <v>2260</v>
      </c>
      <c r="M932" t="s">
        <v>2677</v>
      </c>
      <c r="P932" t="s">
        <v>2895</v>
      </c>
      <c r="Q932" t="s">
        <v>3255</v>
      </c>
      <c r="R932" t="s">
        <v>3259</v>
      </c>
      <c r="S932" t="s">
        <v>3288</v>
      </c>
      <c r="X932" t="s">
        <v>3354</v>
      </c>
      <c r="Y932" t="s">
        <v>2678</v>
      </c>
      <c r="Z932" t="s">
        <v>3389</v>
      </c>
      <c r="AA932" t="s">
        <v>3406</v>
      </c>
      <c r="AB932" t="s">
        <v>3436</v>
      </c>
      <c r="AC932">
        <f>HYPERLINK("https://lsnyc.legalserver.org/matter/dynamic-profile/view/1890248","19-1890248")</f>
        <v>0</v>
      </c>
      <c r="AD932" t="s">
        <v>3444</v>
      </c>
      <c r="AE932" t="s">
        <v>3466</v>
      </c>
      <c r="AF932" t="s">
        <v>4229</v>
      </c>
      <c r="AG932" t="s">
        <v>3389</v>
      </c>
      <c r="AH932" t="s">
        <v>4905</v>
      </c>
      <c r="AK932" t="s">
        <v>4911</v>
      </c>
      <c r="AL932" t="s">
        <v>2117</v>
      </c>
      <c r="AN932" t="s">
        <v>3436</v>
      </c>
    </row>
    <row r="933" spans="1:40">
      <c r="A933" s="1" t="s">
        <v>969</v>
      </c>
      <c r="B933" t="s">
        <v>1998</v>
      </c>
      <c r="C933" t="s">
        <v>2001</v>
      </c>
      <c r="D933" t="s">
        <v>2026</v>
      </c>
      <c r="E933" t="s">
        <v>2112</v>
      </c>
      <c r="F933" t="s">
        <v>2117</v>
      </c>
      <c r="G933" t="s">
        <v>2213</v>
      </c>
      <c r="H933">
        <v>10460</v>
      </c>
      <c r="I933" t="s">
        <v>2229</v>
      </c>
      <c r="J933">
        <v>2</v>
      </c>
      <c r="K933">
        <v>1</v>
      </c>
      <c r="L933" t="s">
        <v>2260</v>
      </c>
      <c r="M933" t="s">
        <v>2677</v>
      </c>
      <c r="P933" t="s">
        <v>2895</v>
      </c>
      <c r="Q933" t="s">
        <v>3255</v>
      </c>
      <c r="R933" t="s">
        <v>3259</v>
      </c>
      <c r="S933" t="s">
        <v>3267</v>
      </c>
      <c r="X933" t="s">
        <v>3354</v>
      </c>
      <c r="Y933" t="s">
        <v>2678</v>
      </c>
      <c r="Z933" t="s">
        <v>3380</v>
      </c>
      <c r="AA933" t="s">
        <v>3406</v>
      </c>
      <c r="AB933" t="s">
        <v>3415</v>
      </c>
      <c r="AC933">
        <f>HYPERLINK("https://lsnyc.legalserver.org/matter/dynamic-profile/view/1890321","19-1890321")</f>
        <v>0</v>
      </c>
      <c r="AD933" t="s">
        <v>3444</v>
      </c>
      <c r="AE933" t="s">
        <v>3466</v>
      </c>
      <c r="AF933" t="s">
        <v>3660</v>
      </c>
      <c r="AG933" t="s">
        <v>3380</v>
      </c>
      <c r="AH933" t="s">
        <v>4906</v>
      </c>
      <c r="AK933" t="s">
        <v>4911</v>
      </c>
      <c r="AL933" t="s">
        <v>2117</v>
      </c>
      <c r="AN933" t="s">
        <v>3415</v>
      </c>
    </row>
    <row r="934" spans="1:40">
      <c r="A934" s="1" t="s">
        <v>970</v>
      </c>
      <c r="B934" t="s">
        <v>1998</v>
      </c>
      <c r="C934" t="s">
        <v>2001</v>
      </c>
      <c r="D934" t="s">
        <v>2026</v>
      </c>
      <c r="E934" t="s">
        <v>2112</v>
      </c>
      <c r="F934" t="s">
        <v>2117</v>
      </c>
      <c r="G934" t="s">
        <v>2213</v>
      </c>
      <c r="H934">
        <v>10460</v>
      </c>
      <c r="I934" t="s">
        <v>2229</v>
      </c>
      <c r="J934">
        <v>2</v>
      </c>
      <c r="K934">
        <v>1</v>
      </c>
      <c r="L934" t="s">
        <v>2260</v>
      </c>
      <c r="M934" t="s">
        <v>2677</v>
      </c>
      <c r="P934" t="s">
        <v>2895</v>
      </c>
      <c r="Q934" t="s">
        <v>3255</v>
      </c>
      <c r="R934" t="s">
        <v>3259</v>
      </c>
      <c r="S934" t="s">
        <v>3272</v>
      </c>
      <c r="X934" t="s">
        <v>3354</v>
      </c>
      <c r="Y934" t="s">
        <v>2678</v>
      </c>
      <c r="Z934" t="s">
        <v>3364</v>
      </c>
      <c r="AA934" t="s">
        <v>3406</v>
      </c>
      <c r="AB934" t="s">
        <v>3420</v>
      </c>
      <c r="AC934">
        <f>HYPERLINK("https://lsnyc.legalserver.org/matter/dynamic-profile/view/1890326","19-1890326")</f>
        <v>0</v>
      </c>
      <c r="AD934" t="s">
        <v>3444</v>
      </c>
      <c r="AE934" t="s">
        <v>3466</v>
      </c>
      <c r="AF934" t="s">
        <v>3660</v>
      </c>
      <c r="AG934" t="s">
        <v>3364</v>
      </c>
      <c r="AH934" t="s">
        <v>4904</v>
      </c>
      <c r="AK934" t="s">
        <v>4911</v>
      </c>
      <c r="AL934" t="s">
        <v>2117</v>
      </c>
      <c r="AN934" t="s">
        <v>3420</v>
      </c>
    </row>
    <row r="935" spans="1:40">
      <c r="A935" s="1" t="s">
        <v>971</v>
      </c>
      <c r="B935" t="s">
        <v>1998</v>
      </c>
      <c r="C935" t="s">
        <v>2007</v>
      </c>
      <c r="D935" t="s">
        <v>2077</v>
      </c>
      <c r="E935" t="s">
        <v>2111</v>
      </c>
      <c r="F935" t="s">
        <v>2123</v>
      </c>
      <c r="G935" t="s">
        <v>2214</v>
      </c>
      <c r="H935">
        <v>11208</v>
      </c>
      <c r="I935" t="s">
        <v>2229</v>
      </c>
      <c r="J935">
        <v>5</v>
      </c>
      <c r="K935">
        <v>3</v>
      </c>
      <c r="L935" t="s">
        <v>2285</v>
      </c>
      <c r="M935" t="s">
        <v>2677</v>
      </c>
      <c r="P935" t="s">
        <v>2896</v>
      </c>
      <c r="Q935" t="s">
        <v>2113</v>
      </c>
      <c r="R935" t="s">
        <v>3259</v>
      </c>
      <c r="S935" t="s">
        <v>3270</v>
      </c>
      <c r="X935" t="s">
        <v>3354</v>
      </c>
      <c r="Y935" t="s">
        <v>2678</v>
      </c>
      <c r="Z935" t="s">
        <v>3359</v>
      </c>
      <c r="AA935" t="s">
        <v>3406</v>
      </c>
      <c r="AB935" t="s">
        <v>3418</v>
      </c>
      <c r="AC935">
        <f>HYPERLINK("https://lsnyc.legalserver.org/matter/dynamic-profile/view/1890110","19-1890110")</f>
        <v>0</v>
      </c>
      <c r="AD935" t="s">
        <v>3446</v>
      </c>
      <c r="AE935" t="s">
        <v>3481</v>
      </c>
      <c r="AF935" t="s">
        <v>4230</v>
      </c>
      <c r="AG935" t="s">
        <v>3359</v>
      </c>
      <c r="AH935" t="s">
        <v>4906</v>
      </c>
      <c r="AK935" t="s">
        <v>4911</v>
      </c>
      <c r="AL935" t="s">
        <v>2123</v>
      </c>
      <c r="AN935" t="s">
        <v>3418</v>
      </c>
    </row>
    <row r="936" spans="1:40">
      <c r="A936" s="1" t="s">
        <v>972</v>
      </c>
      <c r="B936" t="s">
        <v>2010</v>
      </c>
      <c r="C936" t="s">
        <v>2000</v>
      </c>
      <c r="D936" t="s">
        <v>2065</v>
      </c>
      <c r="E936" t="s">
        <v>2111</v>
      </c>
      <c r="G936" t="s">
        <v>2213</v>
      </c>
      <c r="H936">
        <v>10469</v>
      </c>
      <c r="I936" t="s">
        <v>2230</v>
      </c>
      <c r="J936">
        <v>3</v>
      </c>
      <c r="K936">
        <v>2</v>
      </c>
      <c r="L936" t="s">
        <v>2275</v>
      </c>
      <c r="M936" t="s">
        <v>2677</v>
      </c>
      <c r="P936" t="s">
        <v>2896</v>
      </c>
      <c r="Q936" t="s">
        <v>3255</v>
      </c>
      <c r="R936" t="s">
        <v>3259</v>
      </c>
      <c r="S936" t="s">
        <v>3272</v>
      </c>
      <c r="X936" t="s">
        <v>3354</v>
      </c>
      <c r="Y936" t="s">
        <v>2678</v>
      </c>
      <c r="Z936" t="s">
        <v>3364</v>
      </c>
      <c r="AA936" t="s">
        <v>3406</v>
      </c>
      <c r="AB936" t="s">
        <v>3420</v>
      </c>
      <c r="AC936">
        <f>HYPERLINK("https://lsnyc.legalserver.org/matter/dynamic-profile/view/1890126","19-1890126")</f>
        <v>0</v>
      </c>
      <c r="AD936" t="s">
        <v>3444</v>
      </c>
      <c r="AE936" t="s">
        <v>3464</v>
      </c>
      <c r="AF936" t="s">
        <v>4231</v>
      </c>
      <c r="AG936" t="s">
        <v>3364</v>
      </c>
      <c r="AH936" t="s">
        <v>4905</v>
      </c>
      <c r="AN936" t="s">
        <v>3420</v>
      </c>
    </row>
    <row r="937" spans="1:40">
      <c r="A937" s="1" t="s">
        <v>973</v>
      </c>
      <c r="B937" t="s">
        <v>2010</v>
      </c>
      <c r="C937" t="s">
        <v>2000</v>
      </c>
      <c r="D937" t="s">
        <v>2064</v>
      </c>
      <c r="E937" t="s">
        <v>2112</v>
      </c>
      <c r="G937" t="s">
        <v>2213</v>
      </c>
      <c r="H937">
        <v>10469</v>
      </c>
      <c r="I937" t="s">
        <v>2230</v>
      </c>
      <c r="J937">
        <v>3</v>
      </c>
      <c r="K937">
        <v>2</v>
      </c>
      <c r="L937" t="s">
        <v>2275</v>
      </c>
      <c r="M937" t="s">
        <v>2677</v>
      </c>
      <c r="P937" t="s">
        <v>2896</v>
      </c>
      <c r="Q937" t="s">
        <v>3255</v>
      </c>
      <c r="R937" t="s">
        <v>3259</v>
      </c>
      <c r="S937" t="s">
        <v>3272</v>
      </c>
      <c r="X937" t="s">
        <v>3354</v>
      </c>
      <c r="Y937" t="s">
        <v>2678</v>
      </c>
      <c r="Z937" t="s">
        <v>3364</v>
      </c>
      <c r="AA937" t="s">
        <v>3406</v>
      </c>
      <c r="AB937" t="s">
        <v>3420</v>
      </c>
      <c r="AC937">
        <f>HYPERLINK("https://lsnyc.legalserver.org/matter/dynamic-profile/view/1890129","19-1890129")</f>
        <v>0</v>
      </c>
      <c r="AD937" t="s">
        <v>3444</v>
      </c>
      <c r="AE937" t="s">
        <v>3464</v>
      </c>
      <c r="AF937" t="s">
        <v>4232</v>
      </c>
      <c r="AG937" t="s">
        <v>3364</v>
      </c>
      <c r="AH937" t="s">
        <v>4905</v>
      </c>
      <c r="AN937" t="s">
        <v>3420</v>
      </c>
    </row>
    <row r="938" spans="1:40">
      <c r="A938" s="1" t="s">
        <v>974</v>
      </c>
      <c r="B938" t="s">
        <v>1998</v>
      </c>
      <c r="C938" t="s">
        <v>2002</v>
      </c>
      <c r="D938" t="s">
        <v>2039</v>
      </c>
      <c r="E938" t="s">
        <v>2111</v>
      </c>
      <c r="F938" t="s">
        <v>2145</v>
      </c>
      <c r="G938" t="s">
        <v>2211</v>
      </c>
      <c r="H938">
        <v>10027</v>
      </c>
      <c r="I938" t="s">
        <v>2230</v>
      </c>
      <c r="J938">
        <v>1</v>
      </c>
      <c r="K938">
        <v>0</v>
      </c>
      <c r="L938" t="s">
        <v>2481</v>
      </c>
      <c r="M938" t="s">
        <v>2677</v>
      </c>
      <c r="P938" t="s">
        <v>2896</v>
      </c>
      <c r="Q938" t="s">
        <v>2113</v>
      </c>
      <c r="R938" t="s">
        <v>3258</v>
      </c>
      <c r="S938" t="s">
        <v>3279</v>
      </c>
      <c r="T938" t="s">
        <v>3294</v>
      </c>
      <c r="U938" t="s">
        <v>2885</v>
      </c>
      <c r="X938" t="s">
        <v>3354</v>
      </c>
      <c r="Y938" t="s">
        <v>2678</v>
      </c>
      <c r="Z938" t="s">
        <v>3377</v>
      </c>
      <c r="AA938" t="s">
        <v>3406</v>
      </c>
      <c r="AB938" t="s">
        <v>3427</v>
      </c>
      <c r="AC938">
        <f>HYPERLINK("https://lsnyc.legalserver.org/matter/dynamic-profile/view/1890149","19-1890149")</f>
        <v>0</v>
      </c>
      <c r="AD938" t="s">
        <v>3442</v>
      </c>
      <c r="AE938" t="s">
        <v>3470</v>
      </c>
      <c r="AF938" t="s">
        <v>4222</v>
      </c>
      <c r="AG938" t="s">
        <v>3377</v>
      </c>
      <c r="AH938" t="s">
        <v>4904</v>
      </c>
      <c r="AK938" t="s">
        <v>4911</v>
      </c>
      <c r="AL938" t="s">
        <v>2145</v>
      </c>
      <c r="AM938" t="s">
        <v>3294</v>
      </c>
      <c r="AN938" t="s">
        <v>3427</v>
      </c>
    </row>
    <row r="939" spans="1:40">
      <c r="A939" s="1" t="s">
        <v>975</v>
      </c>
      <c r="B939" t="s">
        <v>2002</v>
      </c>
      <c r="C939" t="s">
        <v>2016</v>
      </c>
      <c r="D939" t="s">
        <v>2039</v>
      </c>
      <c r="E939" t="s">
        <v>2112</v>
      </c>
      <c r="F939" t="s">
        <v>2135</v>
      </c>
      <c r="G939" t="s">
        <v>2212</v>
      </c>
      <c r="H939">
        <v>11385</v>
      </c>
      <c r="I939" t="s">
        <v>2229</v>
      </c>
      <c r="J939">
        <v>5</v>
      </c>
      <c r="K939">
        <v>1</v>
      </c>
      <c r="L939" t="s">
        <v>2482</v>
      </c>
      <c r="M939" t="s">
        <v>2677</v>
      </c>
      <c r="P939" t="s">
        <v>2896</v>
      </c>
      <c r="Q939" t="s">
        <v>2113</v>
      </c>
      <c r="R939" t="s">
        <v>3258</v>
      </c>
      <c r="S939" t="s">
        <v>3279</v>
      </c>
      <c r="T939" t="s">
        <v>3294</v>
      </c>
      <c r="U939" t="s">
        <v>2875</v>
      </c>
      <c r="X939" t="s">
        <v>3354</v>
      </c>
      <c r="Y939" t="s">
        <v>2678</v>
      </c>
      <c r="Z939" t="s">
        <v>3377</v>
      </c>
      <c r="AA939" t="s">
        <v>3406</v>
      </c>
      <c r="AB939" t="s">
        <v>3427</v>
      </c>
      <c r="AC939">
        <f>HYPERLINK("https://lsnyc.legalserver.org/matter/dynamic-profile/view/1890316","19-1890316")</f>
        <v>0</v>
      </c>
      <c r="AD939" t="s">
        <v>3442</v>
      </c>
      <c r="AE939" t="s">
        <v>3470</v>
      </c>
      <c r="AF939" t="s">
        <v>4233</v>
      </c>
      <c r="AG939" t="s">
        <v>3377</v>
      </c>
      <c r="AH939" t="s">
        <v>4904</v>
      </c>
      <c r="AK939" t="s">
        <v>4911</v>
      </c>
      <c r="AL939" t="s">
        <v>2135</v>
      </c>
      <c r="AM939" t="s">
        <v>3294</v>
      </c>
      <c r="AN939" t="s">
        <v>3427</v>
      </c>
    </row>
    <row r="940" spans="1:40">
      <c r="A940" s="1" t="s">
        <v>976</v>
      </c>
      <c r="B940" t="s">
        <v>1998</v>
      </c>
      <c r="C940" t="s">
        <v>2000</v>
      </c>
      <c r="D940" t="s">
        <v>2084</v>
      </c>
      <c r="E940" t="s">
        <v>2112</v>
      </c>
      <c r="F940" t="s">
        <v>2115</v>
      </c>
      <c r="G940" t="s">
        <v>2213</v>
      </c>
      <c r="H940">
        <v>10454</v>
      </c>
      <c r="I940" t="s">
        <v>2229</v>
      </c>
      <c r="J940">
        <v>3</v>
      </c>
      <c r="K940">
        <v>1</v>
      </c>
      <c r="L940" t="s">
        <v>2297</v>
      </c>
      <c r="M940" t="s">
        <v>2677</v>
      </c>
      <c r="P940" t="s">
        <v>2897</v>
      </c>
      <c r="Q940" t="s">
        <v>2113</v>
      </c>
      <c r="R940" t="s">
        <v>3259</v>
      </c>
      <c r="S940" t="s">
        <v>3267</v>
      </c>
      <c r="X940" t="s">
        <v>3354</v>
      </c>
      <c r="Y940" t="s">
        <v>2678</v>
      </c>
      <c r="Z940" t="s">
        <v>3359</v>
      </c>
      <c r="AA940" t="s">
        <v>3406</v>
      </c>
      <c r="AB940" t="s">
        <v>3415</v>
      </c>
      <c r="AC940">
        <f>HYPERLINK("https://lsnyc.legalserver.org/matter/dynamic-profile/view/1889880","19-1889880")</f>
        <v>0</v>
      </c>
      <c r="AD940" t="s">
        <v>3444</v>
      </c>
      <c r="AE940" t="s">
        <v>3466</v>
      </c>
      <c r="AF940" t="s">
        <v>3867</v>
      </c>
      <c r="AG940" t="s">
        <v>3359</v>
      </c>
      <c r="AH940" t="s">
        <v>4906</v>
      </c>
      <c r="AK940" t="s">
        <v>4911</v>
      </c>
      <c r="AL940" t="s">
        <v>2115</v>
      </c>
      <c r="AN940" t="s">
        <v>3415</v>
      </c>
    </row>
    <row r="941" spans="1:40">
      <c r="A941" s="1" t="s">
        <v>977</v>
      </c>
      <c r="B941" t="s">
        <v>1998</v>
      </c>
      <c r="C941" t="s">
        <v>1998</v>
      </c>
      <c r="D941" t="s">
        <v>2072</v>
      </c>
      <c r="E941" t="s">
        <v>2112</v>
      </c>
      <c r="F941" t="s">
        <v>2114</v>
      </c>
      <c r="G941" t="s">
        <v>2212</v>
      </c>
      <c r="H941">
        <v>11418</v>
      </c>
      <c r="I941" t="s">
        <v>2229</v>
      </c>
      <c r="J941">
        <v>2</v>
      </c>
      <c r="K941">
        <v>1</v>
      </c>
      <c r="L941" t="s">
        <v>2285</v>
      </c>
      <c r="M941" t="s">
        <v>2677</v>
      </c>
      <c r="P941" t="s">
        <v>2897</v>
      </c>
      <c r="Q941" t="s">
        <v>2113</v>
      </c>
      <c r="R941" t="s">
        <v>3259</v>
      </c>
      <c r="S941" t="s">
        <v>3267</v>
      </c>
      <c r="X941" t="s">
        <v>3354</v>
      </c>
      <c r="Y941" t="s">
        <v>2678</v>
      </c>
      <c r="Z941" t="s">
        <v>3380</v>
      </c>
      <c r="AA941" t="s">
        <v>3406</v>
      </c>
      <c r="AB941" t="s">
        <v>3415</v>
      </c>
      <c r="AC941">
        <f>HYPERLINK("https://lsnyc.legalserver.org/matter/dynamic-profile/view/1889888","19-1889888")</f>
        <v>0</v>
      </c>
      <c r="AD941" t="s">
        <v>3443</v>
      </c>
      <c r="AE941" t="s">
        <v>3472</v>
      </c>
      <c r="AF941" t="s">
        <v>3997</v>
      </c>
      <c r="AG941" t="s">
        <v>3380</v>
      </c>
      <c r="AH941" t="s">
        <v>4906</v>
      </c>
      <c r="AK941" t="s">
        <v>4911</v>
      </c>
      <c r="AL941" t="s">
        <v>2114</v>
      </c>
      <c r="AN941" t="s">
        <v>3415</v>
      </c>
    </row>
    <row r="942" spans="1:40">
      <c r="A942" s="1" t="s">
        <v>978</v>
      </c>
      <c r="B942" t="s">
        <v>1998</v>
      </c>
      <c r="C942" t="s">
        <v>2000</v>
      </c>
      <c r="D942" t="s">
        <v>2084</v>
      </c>
      <c r="E942" t="s">
        <v>2112</v>
      </c>
      <c r="F942" t="s">
        <v>2115</v>
      </c>
      <c r="G942" t="s">
        <v>2213</v>
      </c>
      <c r="H942">
        <v>10454</v>
      </c>
      <c r="I942" t="s">
        <v>2229</v>
      </c>
      <c r="J942">
        <v>3</v>
      </c>
      <c r="K942">
        <v>1</v>
      </c>
      <c r="L942" t="s">
        <v>2297</v>
      </c>
      <c r="M942" t="s">
        <v>2677</v>
      </c>
      <c r="P942" t="s">
        <v>2897</v>
      </c>
      <c r="Q942" t="s">
        <v>2113</v>
      </c>
      <c r="R942" t="s">
        <v>3259</v>
      </c>
      <c r="S942" t="s">
        <v>3288</v>
      </c>
      <c r="X942" t="s">
        <v>3354</v>
      </c>
      <c r="Y942" t="s">
        <v>2678</v>
      </c>
      <c r="Z942" t="s">
        <v>3389</v>
      </c>
      <c r="AA942" t="s">
        <v>3406</v>
      </c>
      <c r="AB942" t="s">
        <v>3436</v>
      </c>
      <c r="AC942">
        <f>HYPERLINK("https://lsnyc.legalserver.org/matter/dynamic-profile/view/1889890","19-1889890")</f>
        <v>0</v>
      </c>
      <c r="AD942" t="s">
        <v>3444</v>
      </c>
      <c r="AE942" t="s">
        <v>3466</v>
      </c>
      <c r="AF942" t="s">
        <v>3867</v>
      </c>
      <c r="AG942" t="s">
        <v>3389</v>
      </c>
      <c r="AH942" t="s">
        <v>4905</v>
      </c>
      <c r="AL942" t="s">
        <v>2115</v>
      </c>
      <c r="AN942" t="s">
        <v>3436</v>
      </c>
    </row>
    <row r="943" spans="1:40">
      <c r="A943" s="1" t="s">
        <v>979</v>
      </c>
      <c r="B943" t="s">
        <v>1998</v>
      </c>
      <c r="C943" t="s">
        <v>1998</v>
      </c>
      <c r="D943" t="s">
        <v>2054</v>
      </c>
      <c r="E943" t="s">
        <v>2112</v>
      </c>
      <c r="F943" t="s">
        <v>2114</v>
      </c>
      <c r="G943" t="s">
        <v>2212</v>
      </c>
      <c r="H943">
        <v>11418</v>
      </c>
      <c r="I943" t="s">
        <v>2229</v>
      </c>
      <c r="J943">
        <v>2</v>
      </c>
      <c r="K943">
        <v>1</v>
      </c>
      <c r="L943" t="s">
        <v>2285</v>
      </c>
      <c r="M943" t="s">
        <v>2677</v>
      </c>
      <c r="P943" t="s">
        <v>2897</v>
      </c>
      <c r="Q943" t="s">
        <v>2113</v>
      </c>
      <c r="R943" t="s">
        <v>3259</v>
      </c>
      <c r="S943" t="s">
        <v>3272</v>
      </c>
      <c r="X943" t="s">
        <v>3354</v>
      </c>
      <c r="Y943" t="s">
        <v>2678</v>
      </c>
      <c r="Z943" t="s">
        <v>3364</v>
      </c>
      <c r="AA943" t="s">
        <v>3406</v>
      </c>
      <c r="AB943" t="s">
        <v>3420</v>
      </c>
      <c r="AC943">
        <f>HYPERLINK("https://lsnyc.legalserver.org/matter/dynamic-profile/view/1889938","19-1889938")</f>
        <v>0</v>
      </c>
      <c r="AD943" t="s">
        <v>3443</v>
      </c>
      <c r="AE943" t="s">
        <v>3472</v>
      </c>
      <c r="AF943" t="s">
        <v>3998</v>
      </c>
      <c r="AG943" t="s">
        <v>3364</v>
      </c>
      <c r="AH943" t="s">
        <v>4904</v>
      </c>
      <c r="AK943" t="s">
        <v>4911</v>
      </c>
      <c r="AL943" t="s">
        <v>2114</v>
      </c>
      <c r="AN943" t="s">
        <v>3420</v>
      </c>
    </row>
    <row r="944" spans="1:40">
      <c r="A944" s="1" t="s">
        <v>980</v>
      </c>
      <c r="B944" t="s">
        <v>2000</v>
      </c>
      <c r="C944" t="s">
        <v>2016</v>
      </c>
      <c r="D944" t="s">
        <v>2026</v>
      </c>
      <c r="E944" t="s">
        <v>2111</v>
      </c>
      <c r="F944" t="s">
        <v>2115</v>
      </c>
      <c r="G944" t="s">
        <v>2213</v>
      </c>
      <c r="H944">
        <v>10454</v>
      </c>
      <c r="I944" t="s">
        <v>2229</v>
      </c>
      <c r="J944">
        <v>3</v>
      </c>
      <c r="K944">
        <v>1</v>
      </c>
      <c r="L944" t="s">
        <v>2297</v>
      </c>
      <c r="M944" t="s">
        <v>2677</v>
      </c>
      <c r="P944" t="s">
        <v>2897</v>
      </c>
      <c r="Q944" t="s">
        <v>3255</v>
      </c>
      <c r="R944" t="s">
        <v>3259</v>
      </c>
      <c r="S944" t="s">
        <v>3267</v>
      </c>
      <c r="X944" t="s">
        <v>3354</v>
      </c>
      <c r="Y944" t="s">
        <v>2678</v>
      </c>
      <c r="Z944" t="s">
        <v>3380</v>
      </c>
      <c r="AA944" t="s">
        <v>3406</v>
      </c>
      <c r="AB944" t="s">
        <v>3415</v>
      </c>
      <c r="AC944">
        <f>HYPERLINK("https://lsnyc.legalserver.org/matter/dynamic-profile/view/1889947","19-1889947")</f>
        <v>0</v>
      </c>
      <c r="AD944" t="s">
        <v>3444</v>
      </c>
      <c r="AE944" t="s">
        <v>3466</v>
      </c>
      <c r="AF944" t="s">
        <v>4234</v>
      </c>
      <c r="AG944" t="s">
        <v>3380</v>
      </c>
      <c r="AH944" t="s">
        <v>4906</v>
      </c>
      <c r="AK944" t="s">
        <v>4911</v>
      </c>
      <c r="AL944" t="s">
        <v>2115</v>
      </c>
      <c r="AN944" t="s">
        <v>3415</v>
      </c>
    </row>
    <row r="945" spans="1:41">
      <c r="A945" s="1" t="s">
        <v>981</v>
      </c>
      <c r="B945" t="s">
        <v>2000</v>
      </c>
      <c r="C945" t="s">
        <v>2016</v>
      </c>
      <c r="D945" t="s">
        <v>2026</v>
      </c>
      <c r="E945" t="s">
        <v>2111</v>
      </c>
      <c r="F945" t="s">
        <v>2115</v>
      </c>
      <c r="G945" t="s">
        <v>2213</v>
      </c>
      <c r="H945">
        <v>10454</v>
      </c>
      <c r="I945" t="s">
        <v>2229</v>
      </c>
      <c r="J945">
        <v>3</v>
      </c>
      <c r="K945">
        <v>1</v>
      </c>
      <c r="L945" t="s">
        <v>2297</v>
      </c>
      <c r="M945" t="s">
        <v>2677</v>
      </c>
      <c r="P945" t="s">
        <v>2897</v>
      </c>
      <c r="Q945" t="s">
        <v>2113</v>
      </c>
      <c r="R945" t="s">
        <v>3259</v>
      </c>
      <c r="S945" t="s">
        <v>3272</v>
      </c>
      <c r="X945" t="s">
        <v>3354</v>
      </c>
      <c r="Y945" t="s">
        <v>2678</v>
      </c>
      <c r="Z945" t="s">
        <v>3364</v>
      </c>
      <c r="AA945" t="s">
        <v>3406</v>
      </c>
      <c r="AB945" t="s">
        <v>3420</v>
      </c>
      <c r="AC945">
        <f>HYPERLINK("https://lsnyc.legalserver.org/matter/dynamic-profile/view/1889953","19-1889953")</f>
        <v>0</v>
      </c>
      <c r="AD945" t="s">
        <v>3444</v>
      </c>
      <c r="AE945" t="s">
        <v>3466</v>
      </c>
      <c r="AF945" t="s">
        <v>4234</v>
      </c>
      <c r="AG945" t="s">
        <v>3364</v>
      </c>
      <c r="AH945" t="s">
        <v>4904</v>
      </c>
      <c r="AK945" t="s">
        <v>4911</v>
      </c>
      <c r="AL945" t="s">
        <v>2115</v>
      </c>
      <c r="AN945" t="s">
        <v>3420</v>
      </c>
    </row>
    <row r="946" spans="1:41">
      <c r="A946" s="1" t="s">
        <v>982</v>
      </c>
      <c r="B946" t="s">
        <v>2000</v>
      </c>
      <c r="C946" t="s">
        <v>2016</v>
      </c>
      <c r="D946" t="s">
        <v>2026</v>
      </c>
      <c r="E946" t="s">
        <v>2111</v>
      </c>
      <c r="F946" t="s">
        <v>2115</v>
      </c>
      <c r="G946" t="s">
        <v>2213</v>
      </c>
      <c r="H946">
        <v>10454</v>
      </c>
      <c r="I946" t="s">
        <v>2229</v>
      </c>
      <c r="J946">
        <v>3</v>
      </c>
      <c r="K946">
        <v>1</v>
      </c>
      <c r="L946" t="s">
        <v>2297</v>
      </c>
      <c r="M946" t="s">
        <v>2677</v>
      </c>
      <c r="P946" t="s">
        <v>2897</v>
      </c>
      <c r="Q946" t="s">
        <v>2113</v>
      </c>
      <c r="R946" t="s">
        <v>3259</v>
      </c>
      <c r="S946" t="s">
        <v>3267</v>
      </c>
      <c r="X946" t="s">
        <v>3354</v>
      </c>
      <c r="Y946" t="s">
        <v>2678</v>
      </c>
      <c r="Z946" t="s">
        <v>3359</v>
      </c>
      <c r="AA946" t="s">
        <v>3406</v>
      </c>
      <c r="AB946" t="s">
        <v>3415</v>
      </c>
      <c r="AC946">
        <f>HYPERLINK("https://lsnyc.legalserver.org/matter/dynamic-profile/view/1889961","19-1889961")</f>
        <v>0</v>
      </c>
      <c r="AD946" t="s">
        <v>3444</v>
      </c>
      <c r="AE946" t="s">
        <v>3466</v>
      </c>
      <c r="AF946" t="s">
        <v>4234</v>
      </c>
      <c r="AG946" t="s">
        <v>3359</v>
      </c>
      <c r="AH946" t="s">
        <v>4906</v>
      </c>
      <c r="AK946" t="s">
        <v>4911</v>
      </c>
      <c r="AL946" t="s">
        <v>2115</v>
      </c>
      <c r="AN946" t="s">
        <v>3415</v>
      </c>
    </row>
    <row r="947" spans="1:41">
      <c r="A947" s="1" t="s">
        <v>983</v>
      </c>
      <c r="B947" t="s">
        <v>2001</v>
      </c>
      <c r="C947" t="s">
        <v>1998</v>
      </c>
      <c r="D947" t="s">
        <v>2069</v>
      </c>
      <c r="E947" t="s">
        <v>2112</v>
      </c>
      <c r="F947" t="s">
        <v>2121</v>
      </c>
      <c r="G947" t="s">
        <v>2212</v>
      </c>
      <c r="H947">
        <v>11377</v>
      </c>
      <c r="I947" t="s">
        <v>2230</v>
      </c>
      <c r="J947">
        <v>2</v>
      </c>
      <c r="K947">
        <v>1</v>
      </c>
      <c r="L947" t="s">
        <v>2260</v>
      </c>
      <c r="M947" t="s">
        <v>2677</v>
      </c>
      <c r="P947" t="s">
        <v>2744</v>
      </c>
      <c r="Q947" t="s">
        <v>2113</v>
      </c>
      <c r="R947" t="s">
        <v>3258</v>
      </c>
      <c r="S947" t="s">
        <v>3271</v>
      </c>
      <c r="T947" t="s">
        <v>3294</v>
      </c>
      <c r="U947" t="s">
        <v>2743</v>
      </c>
      <c r="X947" t="s">
        <v>3354</v>
      </c>
      <c r="Y947" t="s">
        <v>2678</v>
      </c>
      <c r="Z947" t="s">
        <v>3369</v>
      </c>
      <c r="AA947" t="s">
        <v>3406</v>
      </c>
      <c r="AB947" t="s">
        <v>3419</v>
      </c>
      <c r="AC947">
        <f>HYPERLINK("https://lsnyc.legalserver.org/matter/dynamic-profile/view/1889975","19-1889975")</f>
        <v>0</v>
      </c>
      <c r="AD947" t="s">
        <v>3442</v>
      </c>
      <c r="AE947" t="s">
        <v>3470</v>
      </c>
      <c r="AF947" t="s">
        <v>4235</v>
      </c>
      <c r="AG947" t="s">
        <v>3369</v>
      </c>
      <c r="AH947" t="s">
        <v>4904</v>
      </c>
      <c r="AL947" t="s">
        <v>2121</v>
      </c>
      <c r="AM947" t="s">
        <v>3294</v>
      </c>
      <c r="AN947" t="s">
        <v>3419</v>
      </c>
    </row>
    <row r="948" spans="1:41">
      <c r="A948" s="1" t="s">
        <v>984</v>
      </c>
      <c r="B948" t="s">
        <v>1998</v>
      </c>
      <c r="C948" t="s">
        <v>2002</v>
      </c>
      <c r="D948" t="s">
        <v>2099</v>
      </c>
      <c r="E948" t="s">
        <v>2112</v>
      </c>
      <c r="F948" t="s">
        <v>2188</v>
      </c>
      <c r="G948" t="s">
        <v>2212</v>
      </c>
      <c r="H948">
        <v>11433</v>
      </c>
      <c r="J948">
        <v>2</v>
      </c>
      <c r="K948">
        <v>0</v>
      </c>
      <c r="L948" t="s">
        <v>2316</v>
      </c>
      <c r="M948" t="s">
        <v>2677</v>
      </c>
      <c r="P948" t="s">
        <v>2897</v>
      </c>
      <c r="Q948" t="s">
        <v>3255</v>
      </c>
      <c r="R948" t="s">
        <v>3258</v>
      </c>
      <c r="S948" t="s">
        <v>3262</v>
      </c>
      <c r="T948" t="s">
        <v>3296</v>
      </c>
      <c r="U948" t="s">
        <v>3311</v>
      </c>
      <c r="X948" t="s">
        <v>3354</v>
      </c>
      <c r="Y948" t="s">
        <v>2678</v>
      </c>
      <c r="Z948" t="s">
        <v>3355</v>
      </c>
      <c r="AA948" t="s">
        <v>3406</v>
      </c>
      <c r="AB948" t="s">
        <v>3410</v>
      </c>
      <c r="AC948">
        <f>HYPERLINK("https://lsnyc.legalserver.org/matter/dynamic-profile/view/1889976","19-1889976")</f>
        <v>0</v>
      </c>
      <c r="AD948" t="s">
        <v>3443</v>
      </c>
      <c r="AE948" t="s">
        <v>3449</v>
      </c>
      <c r="AF948" t="s">
        <v>4236</v>
      </c>
      <c r="AG948" t="s">
        <v>3355</v>
      </c>
      <c r="AH948" t="s">
        <v>4904</v>
      </c>
      <c r="AK948" t="s">
        <v>4911</v>
      </c>
      <c r="AL948" t="s">
        <v>2188</v>
      </c>
      <c r="AM948" t="s">
        <v>3296</v>
      </c>
      <c r="AN948" t="s">
        <v>3410</v>
      </c>
    </row>
    <row r="949" spans="1:41">
      <c r="A949" s="1" t="s">
        <v>985</v>
      </c>
      <c r="B949" t="s">
        <v>2018</v>
      </c>
      <c r="C949" t="s">
        <v>1998</v>
      </c>
      <c r="D949" t="s">
        <v>2084</v>
      </c>
      <c r="E949" t="s">
        <v>2111</v>
      </c>
      <c r="F949" t="s">
        <v>2116</v>
      </c>
      <c r="G949" t="s">
        <v>2213</v>
      </c>
      <c r="H949">
        <v>10454</v>
      </c>
      <c r="I949" t="s">
        <v>2229</v>
      </c>
      <c r="J949">
        <v>5</v>
      </c>
      <c r="K949">
        <v>3</v>
      </c>
      <c r="L949" t="s">
        <v>2294</v>
      </c>
      <c r="M949" t="s">
        <v>2677</v>
      </c>
      <c r="P949" t="s">
        <v>2842</v>
      </c>
      <c r="Q949" t="s">
        <v>2113</v>
      </c>
      <c r="R949" t="s">
        <v>3259</v>
      </c>
      <c r="S949" t="s">
        <v>3267</v>
      </c>
      <c r="V949" t="s">
        <v>3352</v>
      </c>
      <c r="X949" t="s">
        <v>3354</v>
      </c>
      <c r="Y949" t="s">
        <v>2678</v>
      </c>
      <c r="Z949" t="s">
        <v>3380</v>
      </c>
      <c r="AA949" t="s">
        <v>3406</v>
      </c>
      <c r="AB949" t="s">
        <v>3415</v>
      </c>
      <c r="AC949">
        <f>HYPERLINK("https://lsnyc.legalserver.org/matter/dynamic-profile/view/1889988","19-1889988")</f>
        <v>0</v>
      </c>
      <c r="AD949" t="s">
        <v>3444</v>
      </c>
      <c r="AE949" t="s">
        <v>3451</v>
      </c>
      <c r="AF949" t="s">
        <v>4237</v>
      </c>
      <c r="AG949" t="s">
        <v>3380</v>
      </c>
      <c r="AH949" t="s">
        <v>4906</v>
      </c>
      <c r="AK949" t="s">
        <v>4911</v>
      </c>
      <c r="AL949" t="s">
        <v>2116</v>
      </c>
      <c r="AN949" t="s">
        <v>3415</v>
      </c>
      <c r="AO949" t="s">
        <v>3352</v>
      </c>
    </row>
    <row r="950" spans="1:41">
      <c r="A950" s="1" t="s">
        <v>986</v>
      </c>
      <c r="B950" t="s">
        <v>2016</v>
      </c>
      <c r="C950" t="s">
        <v>1998</v>
      </c>
      <c r="D950" t="s">
        <v>2049</v>
      </c>
      <c r="E950" t="s">
        <v>2112</v>
      </c>
      <c r="F950" t="s">
        <v>2123</v>
      </c>
      <c r="G950" t="s">
        <v>2217</v>
      </c>
      <c r="H950">
        <v>11701</v>
      </c>
      <c r="J950">
        <v>4</v>
      </c>
      <c r="K950">
        <v>2</v>
      </c>
      <c r="L950" t="s">
        <v>2260</v>
      </c>
      <c r="M950" t="s">
        <v>2677</v>
      </c>
      <c r="P950" t="s">
        <v>2897</v>
      </c>
      <c r="Q950" t="s">
        <v>3255</v>
      </c>
      <c r="R950" t="s">
        <v>3258</v>
      </c>
      <c r="S950" t="s">
        <v>3262</v>
      </c>
      <c r="T950" t="s">
        <v>3294</v>
      </c>
      <c r="U950" t="s">
        <v>2736</v>
      </c>
      <c r="V950" t="s">
        <v>3352</v>
      </c>
      <c r="X950" t="s">
        <v>3354</v>
      </c>
      <c r="Y950" t="s">
        <v>2678</v>
      </c>
      <c r="Z950" t="s">
        <v>3355</v>
      </c>
      <c r="AA950" t="s">
        <v>3406</v>
      </c>
      <c r="AB950" t="s">
        <v>3410</v>
      </c>
      <c r="AC950">
        <f>HYPERLINK("https://lsnyc.legalserver.org/matter/dynamic-profile/view/1889990","19-1889990")</f>
        <v>0</v>
      </c>
      <c r="AD950" t="s">
        <v>3446</v>
      </c>
      <c r="AE950" t="s">
        <v>3473</v>
      </c>
      <c r="AF950" t="s">
        <v>4238</v>
      </c>
      <c r="AG950" t="s">
        <v>3355</v>
      </c>
      <c r="AH950" t="s">
        <v>4904</v>
      </c>
      <c r="AK950" t="s">
        <v>4911</v>
      </c>
      <c r="AL950" t="s">
        <v>2123</v>
      </c>
      <c r="AM950" t="s">
        <v>3294</v>
      </c>
      <c r="AN950" t="s">
        <v>3410</v>
      </c>
      <c r="AO950" t="s">
        <v>3352</v>
      </c>
    </row>
    <row r="951" spans="1:41">
      <c r="A951" s="1" t="s">
        <v>987</v>
      </c>
      <c r="B951" t="s">
        <v>2012</v>
      </c>
      <c r="C951" t="s">
        <v>2000</v>
      </c>
      <c r="D951" t="s">
        <v>2050</v>
      </c>
      <c r="E951" t="s">
        <v>2111</v>
      </c>
      <c r="F951" t="s">
        <v>2131</v>
      </c>
      <c r="G951" t="s">
        <v>2224</v>
      </c>
      <c r="H951">
        <v>10467</v>
      </c>
      <c r="I951" t="s">
        <v>2229</v>
      </c>
      <c r="J951">
        <v>4</v>
      </c>
      <c r="K951">
        <v>1</v>
      </c>
      <c r="L951" t="s">
        <v>2429</v>
      </c>
      <c r="M951" t="s">
        <v>2677</v>
      </c>
      <c r="P951" t="s">
        <v>2730</v>
      </c>
      <c r="Q951" t="s">
        <v>2113</v>
      </c>
      <c r="R951" t="s">
        <v>3259</v>
      </c>
      <c r="S951" t="s">
        <v>3268</v>
      </c>
      <c r="T951" t="s">
        <v>3294</v>
      </c>
      <c r="U951" t="s">
        <v>2762</v>
      </c>
      <c r="X951" t="s">
        <v>3354</v>
      </c>
      <c r="Y951" t="s">
        <v>2678</v>
      </c>
      <c r="Z951" t="s">
        <v>3368</v>
      </c>
      <c r="AA951" t="s">
        <v>3406</v>
      </c>
      <c r="AB951" t="s">
        <v>3416</v>
      </c>
      <c r="AC951">
        <f>HYPERLINK("https://lsnyc.legalserver.org/matter/dynamic-profile/view/1890000","19-1890000")</f>
        <v>0</v>
      </c>
      <c r="AD951" t="s">
        <v>3444</v>
      </c>
      <c r="AE951" t="s">
        <v>3451</v>
      </c>
      <c r="AF951" t="s">
        <v>4239</v>
      </c>
      <c r="AG951" t="s">
        <v>3368</v>
      </c>
      <c r="AH951" t="s">
        <v>4904</v>
      </c>
      <c r="AL951" t="s">
        <v>2131</v>
      </c>
      <c r="AM951" t="s">
        <v>3294</v>
      </c>
      <c r="AN951" t="s">
        <v>3416</v>
      </c>
    </row>
    <row r="952" spans="1:41">
      <c r="A952" s="1" t="s">
        <v>988</v>
      </c>
      <c r="B952" t="s">
        <v>1998</v>
      </c>
      <c r="C952" t="s">
        <v>2000</v>
      </c>
      <c r="D952" t="s">
        <v>2036</v>
      </c>
      <c r="E952" t="s">
        <v>2111</v>
      </c>
      <c r="F952" t="s">
        <v>2115</v>
      </c>
      <c r="G952" t="s">
        <v>2213</v>
      </c>
      <c r="H952">
        <v>10456</v>
      </c>
      <c r="I952" t="s">
        <v>2229</v>
      </c>
      <c r="J952">
        <v>1</v>
      </c>
      <c r="K952">
        <v>0</v>
      </c>
      <c r="L952" t="s">
        <v>2285</v>
      </c>
      <c r="M952" t="s">
        <v>2677</v>
      </c>
      <c r="P952" t="s">
        <v>2897</v>
      </c>
      <c r="Q952" t="s">
        <v>2113</v>
      </c>
      <c r="R952" t="s">
        <v>3259</v>
      </c>
      <c r="S952" t="s">
        <v>3272</v>
      </c>
      <c r="X952" t="s">
        <v>3354</v>
      </c>
      <c r="Y952" t="s">
        <v>2678</v>
      </c>
      <c r="Z952" t="s">
        <v>3364</v>
      </c>
      <c r="AA952" t="s">
        <v>3406</v>
      </c>
      <c r="AB952" t="s">
        <v>3420</v>
      </c>
      <c r="AC952">
        <f>HYPERLINK("https://lsnyc.legalserver.org/matter/dynamic-profile/view/1890046","19-1890046")</f>
        <v>0</v>
      </c>
      <c r="AD952" t="s">
        <v>3444</v>
      </c>
      <c r="AE952" t="s">
        <v>3466</v>
      </c>
      <c r="AF952" t="s">
        <v>3894</v>
      </c>
      <c r="AG952" t="s">
        <v>3364</v>
      </c>
      <c r="AH952" t="s">
        <v>4904</v>
      </c>
      <c r="AK952" t="s">
        <v>4911</v>
      </c>
      <c r="AL952" t="s">
        <v>2115</v>
      </c>
      <c r="AN952" t="s">
        <v>3420</v>
      </c>
    </row>
    <row r="953" spans="1:41">
      <c r="A953" s="1" t="s">
        <v>989</v>
      </c>
      <c r="B953" t="s">
        <v>2002</v>
      </c>
      <c r="C953" t="s">
        <v>2016</v>
      </c>
      <c r="D953" t="s">
        <v>2037</v>
      </c>
      <c r="E953" t="s">
        <v>2111</v>
      </c>
      <c r="F953" t="s">
        <v>2117</v>
      </c>
      <c r="G953" t="s">
        <v>2214</v>
      </c>
      <c r="H953">
        <v>11220</v>
      </c>
      <c r="I953" t="s">
        <v>2229</v>
      </c>
      <c r="J953">
        <v>2</v>
      </c>
      <c r="K953">
        <v>1</v>
      </c>
      <c r="L953" t="s">
        <v>2260</v>
      </c>
      <c r="M953" t="s">
        <v>2677</v>
      </c>
      <c r="P953" t="s">
        <v>2897</v>
      </c>
      <c r="Q953" t="s">
        <v>3257</v>
      </c>
      <c r="R953" t="s">
        <v>3259</v>
      </c>
      <c r="S953" t="s">
        <v>3267</v>
      </c>
      <c r="T953" t="s">
        <v>3294</v>
      </c>
      <c r="X953" t="s">
        <v>3354</v>
      </c>
      <c r="Y953" t="s">
        <v>2678</v>
      </c>
      <c r="Z953" t="s">
        <v>3359</v>
      </c>
      <c r="AA953" t="s">
        <v>3406</v>
      </c>
      <c r="AB953" t="s">
        <v>3415</v>
      </c>
      <c r="AC953">
        <f>HYPERLINK("https://lsnyc.legalserver.org/matter/dynamic-profile/view/1890058","19-1890058")</f>
        <v>0</v>
      </c>
      <c r="AD953" t="s">
        <v>3446</v>
      </c>
      <c r="AE953" t="s">
        <v>3481</v>
      </c>
      <c r="AF953" t="s">
        <v>3961</v>
      </c>
      <c r="AG953" t="s">
        <v>3359</v>
      </c>
      <c r="AH953" t="s">
        <v>4906</v>
      </c>
      <c r="AK953" t="s">
        <v>4911</v>
      </c>
      <c r="AL953" t="s">
        <v>2117</v>
      </c>
      <c r="AM953" t="s">
        <v>3294</v>
      </c>
      <c r="AN953" t="s">
        <v>3415</v>
      </c>
    </row>
    <row r="954" spans="1:41">
      <c r="A954" s="1" t="s">
        <v>990</v>
      </c>
      <c r="B954" t="s">
        <v>2005</v>
      </c>
      <c r="C954" t="s">
        <v>2016</v>
      </c>
      <c r="D954" t="s">
        <v>2038</v>
      </c>
      <c r="E954" t="s">
        <v>2112</v>
      </c>
      <c r="F954" t="s">
        <v>2125</v>
      </c>
      <c r="G954" t="s">
        <v>2216</v>
      </c>
      <c r="H954">
        <v>10304</v>
      </c>
      <c r="J954">
        <v>3</v>
      </c>
      <c r="K954">
        <v>0</v>
      </c>
      <c r="L954" t="s">
        <v>2377</v>
      </c>
      <c r="M954" t="s">
        <v>2677</v>
      </c>
      <c r="P954" t="s">
        <v>2898</v>
      </c>
      <c r="Q954" t="s">
        <v>2113</v>
      </c>
      <c r="R954" t="s">
        <v>3259</v>
      </c>
      <c r="S954" t="s">
        <v>3270</v>
      </c>
      <c r="X954" t="s">
        <v>3354</v>
      </c>
      <c r="Y954" t="s">
        <v>2677</v>
      </c>
      <c r="Z954" t="s">
        <v>3388</v>
      </c>
      <c r="AA954" t="s">
        <v>3406</v>
      </c>
      <c r="AB954" t="s">
        <v>3418</v>
      </c>
      <c r="AC954">
        <f>HYPERLINK("https://lsnyc.legalserver.org/matter/dynamic-profile/view/1889747","19-1889747")</f>
        <v>0</v>
      </c>
      <c r="AD954" t="s">
        <v>3445</v>
      </c>
      <c r="AE954" t="s">
        <v>3455</v>
      </c>
      <c r="AF954" t="s">
        <v>4240</v>
      </c>
      <c r="AG954" t="s">
        <v>3388</v>
      </c>
      <c r="AH954" t="s">
        <v>4904</v>
      </c>
      <c r="AK954" t="s">
        <v>4911</v>
      </c>
      <c r="AL954" t="s">
        <v>2125</v>
      </c>
      <c r="AN954" t="s">
        <v>3418</v>
      </c>
    </row>
    <row r="955" spans="1:41">
      <c r="A955" s="1" t="s">
        <v>991</v>
      </c>
      <c r="B955" t="s">
        <v>2001</v>
      </c>
      <c r="C955" t="s">
        <v>2000</v>
      </c>
      <c r="D955" t="s">
        <v>2028</v>
      </c>
      <c r="E955" t="s">
        <v>2112</v>
      </c>
      <c r="F955" t="s">
        <v>2122</v>
      </c>
      <c r="G955" t="s">
        <v>2212</v>
      </c>
      <c r="H955">
        <v>11420</v>
      </c>
      <c r="I955" t="s">
        <v>2230</v>
      </c>
      <c r="J955">
        <v>1</v>
      </c>
      <c r="K955">
        <v>0</v>
      </c>
      <c r="L955" t="s">
        <v>2306</v>
      </c>
      <c r="M955" t="s">
        <v>2678</v>
      </c>
      <c r="P955" t="s">
        <v>2898</v>
      </c>
      <c r="Q955" t="s">
        <v>2113</v>
      </c>
      <c r="R955" t="s">
        <v>3258</v>
      </c>
      <c r="S955" t="s">
        <v>3279</v>
      </c>
      <c r="T955" t="s">
        <v>3294</v>
      </c>
      <c r="U955" t="s">
        <v>2874</v>
      </c>
      <c r="X955" t="s">
        <v>3354</v>
      </c>
      <c r="Y955" t="s">
        <v>2678</v>
      </c>
      <c r="Z955" t="s">
        <v>3377</v>
      </c>
      <c r="AA955" t="s">
        <v>3406</v>
      </c>
      <c r="AB955" t="s">
        <v>3427</v>
      </c>
      <c r="AC955">
        <f>HYPERLINK("https://lsnyc.legalserver.org/matter/dynamic-profile/view/1889757","19-1889757")</f>
        <v>0</v>
      </c>
      <c r="AD955" t="s">
        <v>3443</v>
      </c>
      <c r="AE955" t="s">
        <v>3482</v>
      </c>
      <c r="AF955" t="s">
        <v>4241</v>
      </c>
      <c r="AG955" t="s">
        <v>3377</v>
      </c>
      <c r="AH955" t="s">
        <v>4904</v>
      </c>
      <c r="AJ955" t="s">
        <v>4910</v>
      </c>
      <c r="AL955" t="s">
        <v>2122</v>
      </c>
      <c r="AM955" t="s">
        <v>3294</v>
      </c>
      <c r="AN955" t="s">
        <v>3427</v>
      </c>
    </row>
    <row r="956" spans="1:41">
      <c r="A956" s="1" t="s">
        <v>992</v>
      </c>
      <c r="B956" t="s">
        <v>1998</v>
      </c>
      <c r="C956" t="s">
        <v>2001</v>
      </c>
      <c r="D956" t="s">
        <v>2084</v>
      </c>
      <c r="E956" t="s">
        <v>2112</v>
      </c>
      <c r="F956" t="s">
        <v>2116</v>
      </c>
      <c r="G956" t="s">
        <v>2212</v>
      </c>
      <c r="H956">
        <v>11378</v>
      </c>
      <c r="I956" t="s">
        <v>2229</v>
      </c>
      <c r="J956">
        <v>6</v>
      </c>
      <c r="K956">
        <v>4</v>
      </c>
      <c r="L956" t="s">
        <v>2306</v>
      </c>
      <c r="M956" t="s">
        <v>2677</v>
      </c>
      <c r="P956" t="s">
        <v>2737</v>
      </c>
      <c r="Q956" t="s">
        <v>2113</v>
      </c>
      <c r="R956" t="s">
        <v>3258</v>
      </c>
      <c r="S956" t="s">
        <v>3262</v>
      </c>
      <c r="T956" t="s">
        <v>3294</v>
      </c>
      <c r="U956" t="s">
        <v>2882</v>
      </c>
      <c r="V956" t="s">
        <v>3352</v>
      </c>
      <c r="X956" t="s">
        <v>3354</v>
      </c>
      <c r="Y956" t="s">
        <v>2678</v>
      </c>
      <c r="Z956" t="s">
        <v>3355</v>
      </c>
      <c r="AA956" t="s">
        <v>3406</v>
      </c>
      <c r="AB956" t="s">
        <v>3410</v>
      </c>
      <c r="AC956">
        <f>HYPERLINK("https://lsnyc.legalserver.org/matter/dynamic-profile/view/1892513","19-1892513")</f>
        <v>0</v>
      </c>
      <c r="AD956" t="s">
        <v>3443</v>
      </c>
      <c r="AE956" t="s">
        <v>3450</v>
      </c>
      <c r="AF956" t="s">
        <v>4242</v>
      </c>
      <c r="AG956" t="s">
        <v>3355</v>
      </c>
      <c r="AH956" t="s">
        <v>4904</v>
      </c>
      <c r="AL956" t="s">
        <v>2116</v>
      </c>
      <c r="AM956" t="s">
        <v>3294</v>
      </c>
      <c r="AN956" t="s">
        <v>3410</v>
      </c>
      <c r="AO956" t="s">
        <v>3352</v>
      </c>
    </row>
    <row r="957" spans="1:41">
      <c r="A957" s="1" t="s">
        <v>993</v>
      </c>
      <c r="B957" t="s">
        <v>2005</v>
      </c>
      <c r="C957" t="s">
        <v>2000</v>
      </c>
      <c r="D957" t="s">
        <v>2055</v>
      </c>
      <c r="E957" t="s">
        <v>2111</v>
      </c>
      <c r="F957" t="s">
        <v>2136</v>
      </c>
      <c r="G957" t="s">
        <v>2214</v>
      </c>
      <c r="H957">
        <v>11206</v>
      </c>
      <c r="I957" t="s">
        <v>2230</v>
      </c>
      <c r="J957">
        <v>2</v>
      </c>
      <c r="K957">
        <v>0</v>
      </c>
      <c r="L957" t="s">
        <v>2286</v>
      </c>
      <c r="M957" t="s">
        <v>2677</v>
      </c>
      <c r="P957" t="s">
        <v>2899</v>
      </c>
      <c r="Q957" t="s">
        <v>2113</v>
      </c>
      <c r="R957" t="s">
        <v>3258</v>
      </c>
      <c r="S957" t="s">
        <v>3262</v>
      </c>
      <c r="T957" t="s">
        <v>3294</v>
      </c>
      <c r="U957" t="s">
        <v>2868</v>
      </c>
      <c r="V957" t="s">
        <v>3352</v>
      </c>
      <c r="X957" t="s">
        <v>3354</v>
      </c>
      <c r="Y957" t="s">
        <v>2678</v>
      </c>
      <c r="Z957" t="s">
        <v>3355</v>
      </c>
      <c r="AA957" t="s">
        <v>3406</v>
      </c>
      <c r="AB957" t="s">
        <v>3410</v>
      </c>
      <c r="AC957">
        <f>HYPERLINK("https://lsnyc.legalserver.org/matter/dynamic-profile/view/1889740","19-1889740")</f>
        <v>0</v>
      </c>
      <c r="AD957" t="s">
        <v>3446</v>
      </c>
      <c r="AE957" t="s">
        <v>3465</v>
      </c>
      <c r="AF957" t="s">
        <v>4243</v>
      </c>
      <c r="AG957" t="s">
        <v>3355</v>
      </c>
      <c r="AH957" t="s">
        <v>4904</v>
      </c>
      <c r="AK957" t="s">
        <v>4911</v>
      </c>
      <c r="AL957" t="s">
        <v>2136</v>
      </c>
      <c r="AM957" t="s">
        <v>3294</v>
      </c>
      <c r="AN957" t="s">
        <v>3410</v>
      </c>
      <c r="AO957" t="s">
        <v>3352</v>
      </c>
    </row>
    <row r="958" spans="1:41">
      <c r="A958" s="1" t="s">
        <v>994</v>
      </c>
      <c r="B958" t="s">
        <v>2015</v>
      </c>
      <c r="C958" t="s">
        <v>2016</v>
      </c>
      <c r="D958" t="s">
        <v>2044</v>
      </c>
      <c r="E958" t="s">
        <v>2112</v>
      </c>
      <c r="F958" t="s">
        <v>2138</v>
      </c>
      <c r="G958" t="s">
        <v>2216</v>
      </c>
      <c r="H958">
        <v>10301</v>
      </c>
      <c r="I958" t="s">
        <v>2230</v>
      </c>
      <c r="J958">
        <v>2</v>
      </c>
      <c r="K958">
        <v>0</v>
      </c>
      <c r="L958" t="s">
        <v>2483</v>
      </c>
      <c r="M958" t="s">
        <v>2677</v>
      </c>
      <c r="P958" t="s">
        <v>2900</v>
      </c>
      <c r="Q958" t="s">
        <v>3255</v>
      </c>
      <c r="R958" t="s">
        <v>3258</v>
      </c>
      <c r="S958" t="s">
        <v>3269</v>
      </c>
      <c r="X958" t="s">
        <v>3354</v>
      </c>
      <c r="Y958" t="s">
        <v>2678</v>
      </c>
      <c r="Z958" t="s">
        <v>3361</v>
      </c>
      <c r="AA958" t="s">
        <v>3406</v>
      </c>
      <c r="AB958" t="s">
        <v>3417</v>
      </c>
      <c r="AC958">
        <f>HYPERLINK("https://lsnyc.legalserver.org/matter/dynamic-profile/view/1889711","19-1889711")</f>
        <v>0</v>
      </c>
      <c r="AD958" t="s">
        <v>3447</v>
      </c>
      <c r="AE958" t="s">
        <v>3459</v>
      </c>
      <c r="AF958" t="s">
        <v>4244</v>
      </c>
      <c r="AG958" t="s">
        <v>3361</v>
      </c>
      <c r="AH958" t="s">
        <v>4904</v>
      </c>
      <c r="AK958" t="s">
        <v>4911</v>
      </c>
      <c r="AL958" t="s">
        <v>2138</v>
      </c>
      <c r="AN958" t="s">
        <v>3417</v>
      </c>
    </row>
    <row r="959" spans="1:41">
      <c r="A959" s="1" t="s">
        <v>995</v>
      </c>
      <c r="B959" t="s">
        <v>2005</v>
      </c>
      <c r="C959" t="s">
        <v>2000</v>
      </c>
      <c r="D959" t="s">
        <v>2055</v>
      </c>
      <c r="E959" t="s">
        <v>2111</v>
      </c>
      <c r="F959" t="s">
        <v>2136</v>
      </c>
      <c r="G959" t="s">
        <v>2214</v>
      </c>
      <c r="H959">
        <v>11206</v>
      </c>
      <c r="I959" t="s">
        <v>2230</v>
      </c>
      <c r="J959">
        <v>2</v>
      </c>
      <c r="K959">
        <v>0</v>
      </c>
      <c r="L959" t="s">
        <v>2286</v>
      </c>
      <c r="M959" t="s">
        <v>2677</v>
      </c>
      <c r="P959" t="s">
        <v>2729</v>
      </c>
      <c r="Q959" t="s">
        <v>2113</v>
      </c>
      <c r="R959" t="s">
        <v>3258</v>
      </c>
      <c r="S959" t="s">
        <v>3269</v>
      </c>
      <c r="T959" t="s">
        <v>3294</v>
      </c>
      <c r="U959" t="s">
        <v>2868</v>
      </c>
      <c r="X959" t="s">
        <v>3354</v>
      </c>
      <c r="Y959" t="s">
        <v>2678</v>
      </c>
      <c r="Z959" t="s">
        <v>3361</v>
      </c>
      <c r="AA959" t="s">
        <v>3406</v>
      </c>
      <c r="AB959" t="s">
        <v>3417</v>
      </c>
      <c r="AC959">
        <f>HYPERLINK("https://lsnyc.legalserver.org/matter/dynamic-profile/view/1889739","19-1889739")</f>
        <v>0</v>
      </c>
      <c r="AD959" t="s">
        <v>3446</v>
      </c>
      <c r="AE959" t="s">
        <v>3465</v>
      </c>
      <c r="AF959" t="s">
        <v>4243</v>
      </c>
      <c r="AG959" t="s">
        <v>3361</v>
      </c>
      <c r="AH959" t="s">
        <v>4904</v>
      </c>
      <c r="AL959" t="s">
        <v>2136</v>
      </c>
      <c r="AM959" t="s">
        <v>3294</v>
      </c>
      <c r="AN959" t="s">
        <v>3417</v>
      </c>
    </row>
    <row r="960" spans="1:41">
      <c r="A960" s="1" t="s">
        <v>996</v>
      </c>
      <c r="B960" t="s">
        <v>1998</v>
      </c>
      <c r="C960" t="s">
        <v>1998</v>
      </c>
      <c r="D960" t="s">
        <v>2051</v>
      </c>
      <c r="E960" t="s">
        <v>2112</v>
      </c>
      <c r="F960" t="s">
        <v>2116</v>
      </c>
      <c r="G960" t="s">
        <v>2212</v>
      </c>
      <c r="H960">
        <v>11419</v>
      </c>
      <c r="I960" t="s">
        <v>2229</v>
      </c>
      <c r="J960">
        <v>1</v>
      </c>
      <c r="K960">
        <v>0</v>
      </c>
      <c r="L960" t="s">
        <v>2260</v>
      </c>
      <c r="M960" t="s">
        <v>2677</v>
      </c>
      <c r="P960" t="s">
        <v>2753</v>
      </c>
      <c r="Q960" t="s">
        <v>2113</v>
      </c>
      <c r="R960" t="s">
        <v>3259</v>
      </c>
      <c r="S960" t="s">
        <v>3270</v>
      </c>
      <c r="X960" t="s">
        <v>3354</v>
      </c>
      <c r="Y960" t="s">
        <v>2678</v>
      </c>
      <c r="Z960" t="s">
        <v>3380</v>
      </c>
      <c r="AA960" t="s">
        <v>3406</v>
      </c>
      <c r="AB960" t="s">
        <v>3418</v>
      </c>
      <c r="AC960">
        <f>HYPERLINK("https://lsnyc.legalserver.org/matter/dynamic-profile/view/1889600","19-1889600")</f>
        <v>0</v>
      </c>
      <c r="AD960" t="s">
        <v>3443</v>
      </c>
      <c r="AE960" t="s">
        <v>3471</v>
      </c>
      <c r="AF960" t="s">
        <v>3775</v>
      </c>
      <c r="AG960" t="s">
        <v>3380</v>
      </c>
      <c r="AH960" t="s">
        <v>4906</v>
      </c>
      <c r="AL960" t="s">
        <v>2116</v>
      </c>
      <c r="AN960" t="s">
        <v>3418</v>
      </c>
    </row>
    <row r="961" spans="1:41">
      <c r="A961" s="1" t="s">
        <v>997</v>
      </c>
      <c r="B961" t="s">
        <v>2002</v>
      </c>
      <c r="C961" t="s">
        <v>1998</v>
      </c>
      <c r="D961" t="s">
        <v>2033</v>
      </c>
      <c r="E961" t="s">
        <v>2112</v>
      </c>
      <c r="F961" t="s">
        <v>2120</v>
      </c>
      <c r="G961" t="s">
        <v>2214</v>
      </c>
      <c r="H961">
        <v>11210</v>
      </c>
      <c r="J961">
        <v>1</v>
      </c>
      <c r="K961">
        <v>0</v>
      </c>
      <c r="L961" t="s">
        <v>2260</v>
      </c>
      <c r="M961" t="s">
        <v>2677</v>
      </c>
      <c r="P961" t="s">
        <v>2901</v>
      </c>
      <c r="Q961" t="s">
        <v>2113</v>
      </c>
      <c r="R961" t="s">
        <v>3258</v>
      </c>
      <c r="S961" t="s">
        <v>3286</v>
      </c>
      <c r="X961" t="s">
        <v>3354</v>
      </c>
      <c r="Y961" t="s">
        <v>2677</v>
      </c>
      <c r="Z961" t="s">
        <v>3388</v>
      </c>
      <c r="AA961" t="s">
        <v>3406</v>
      </c>
      <c r="AB961" t="s">
        <v>3434</v>
      </c>
      <c r="AC961">
        <f>HYPERLINK("https://lsnyc.legalserver.org/matter/dynamic-profile/view/1889433","19-1889433")</f>
        <v>0</v>
      </c>
      <c r="AD961" t="s">
        <v>3445</v>
      </c>
      <c r="AE961" t="s">
        <v>3455</v>
      </c>
      <c r="AF961" t="s">
        <v>4245</v>
      </c>
      <c r="AG961" t="s">
        <v>3388</v>
      </c>
      <c r="AH961" t="s">
        <v>4904</v>
      </c>
      <c r="AK961" t="s">
        <v>4911</v>
      </c>
      <c r="AL961" t="s">
        <v>2120</v>
      </c>
      <c r="AN961" t="s">
        <v>3434</v>
      </c>
    </row>
    <row r="962" spans="1:41">
      <c r="A962" s="1" t="s">
        <v>998</v>
      </c>
      <c r="B962" t="s">
        <v>2017</v>
      </c>
      <c r="C962" t="s">
        <v>2000</v>
      </c>
      <c r="D962" t="s">
        <v>2052</v>
      </c>
      <c r="E962" t="s">
        <v>2111</v>
      </c>
      <c r="F962" t="s">
        <v>2115</v>
      </c>
      <c r="G962" t="s">
        <v>2214</v>
      </c>
      <c r="H962">
        <v>11214</v>
      </c>
      <c r="I962" t="s">
        <v>2229</v>
      </c>
      <c r="J962">
        <v>4</v>
      </c>
      <c r="K962">
        <v>2</v>
      </c>
      <c r="L962" t="s">
        <v>2272</v>
      </c>
      <c r="M962" t="s">
        <v>2677</v>
      </c>
      <c r="P962" t="s">
        <v>2901</v>
      </c>
      <c r="Q962" t="s">
        <v>2113</v>
      </c>
      <c r="R962" t="s">
        <v>3259</v>
      </c>
      <c r="S962" t="s">
        <v>3267</v>
      </c>
      <c r="X962" t="s">
        <v>3354</v>
      </c>
      <c r="Y962" t="s">
        <v>2678</v>
      </c>
      <c r="Z962" t="s">
        <v>3359</v>
      </c>
      <c r="AA962" t="s">
        <v>3406</v>
      </c>
      <c r="AB962" t="s">
        <v>3415</v>
      </c>
      <c r="AC962">
        <f>HYPERLINK("https://lsnyc.legalserver.org/matter/dynamic-profile/view/1889473","19-1889473")</f>
        <v>0</v>
      </c>
      <c r="AD962" t="s">
        <v>3446</v>
      </c>
      <c r="AE962" t="s">
        <v>3456</v>
      </c>
      <c r="AF962" t="s">
        <v>4210</v>
      </c>
      <c r="AG962" t="s">
        <v>3359</v>
      </c>
      <c r="AH962" t="s">
        <v>4906</v>
      </c>
      <c r="AK962" t="s">
        <v>4911</v>
      </c>
      <c r="AL962" t="s">
        <v>2115</v>
      </c>
      <c r="AN962" t="s">
        <v>3415</v>
      </c>
    </row>
    <row r="963" spans="1:41">
      <c r="A963" s="1" t="s">
        <v>999</v>
      </c>
      <c r="B963" t="s">
        <v>2010</v>
      </c>
      <c r="C963" t="s">
        <v>2012</v>
      </c>
      <c r="D963" t="s">
        <v>2053</v>
      </c>
      <c r="E963" t="s">
        <v>2111</v>
      </c>
      <c r="F963" t="s">
        <v>2115</v>
      </c>
      <c r="G963" t="s">
        <v>2214</v>
      </c>
      <c r="H963">
        <v>11214</v>
      </c>
      <c r="I963" t="s">
        <v>2229</v>
      </c>
      <c r="J963">
        <v>4</v>
      </c>
      <c r="K963">
        <v>2</v>
      </c>
      <c r="L963" t="s">
        <v>2272</v>
      </c>
      <c r="M963" t="s">
        <v>2677</v>
      </c>
      <c r="P963" t="s">
        <v>2901</v>
      </c>
      <c r="Q963" t="s">
        <v>2113</v>
      </c>
      <c r="R963" t="s">
        <v>3259</v>
      </c>
      <c r="S963" t="s">
        <v>3267</v>
      </c>
      <c r="X963" t="s">
        <v>3354</v>
      </c>
      <c r="Y963" t="s">
        <v>2678</v>
      </c>
      <c r="Z963" t="s">
        <v>3359</v>
      </c>
      <c r="AA963" t="s">
        <v>3406</v>
      </c>
      <c r="AB963" t="s">
        <v>3415</v>
      </c>
      <c r="AC963">
        <f>HYPERLINK("https://lsnyc.legalserver.org/matter/dynamic-profile/view/1889475","19-1889475")</f>
        <v>0</v>
      </c>
      <c r="AD963" t="s">
        <v>3446</v>
      </c>
      <c r="AE963" t="s">
        <v>3456</v>
      </c>
      <c r="AF963" t="s">
        <v>4212</v>
      </c>
      <c r="AG963" t="s">
        <v>3359</v>
      </c>
      <c r="AH963" t="s">
        <v>4906</v>
      </c>
      <c r="AK963" t="s">
        <v>4911</v>
      </c>
      <c r="AL963" t="s">
        <v>2115</v>
      </c>
      <c r="AN963" t="s">
        <v>3415</v>
      </c>
    </row>
    <row r="964" spans="1:41">
      <c r="A964" s="1" t="s">
        <v>1000</v>
      </c>
      <c r="B964" t="s">
        <v>1998</v>
      </c>
      <c r="C964" t="s">
        <v>1998</v>
      </c>
      <c r="D964" t="s">
        <v>2093</v>
      </c>
      <c r="E964" t="s">
        <v>2112</v>
      </c>
      <c r="F964" t="s">
        <v>2115</v>
      </c>
      <c r="G964" t="s">
        <v>2212</v>
      </c>
      <c r="H964">
        <v>11368</v>
      </c>
      <c r="I964" t="s">
        <v>2229</v>
      </c>
      <c r="J964">
        <v>5</v>
      </c>
      <c r="K964">
        <v>4</v>
      </c>
      <c r="L964" t="s">
        <v>2256</v>
      </c>
      <c r="M964" t="s">
        <v>2677</v>
      </c>
      <c r="P964" t="s">
        <v>2901</v>
      </c>
      <c r="Q964" t="s">
        <v>3255</v>
      </c>
      <c r="R964" t="s">
        <v>3259</v>
      </c>
      <c r="S964" t="s">
        <v>3288</v>
      </c>
      <c r="X964" t="s">
        <v>3354</v>
      </c>
      <c r="Y964" t="s">
        <v>2678</v>
      </c>
      <c r="Z964" t="s">
        <v>3389</v>
      </c>
      <c r="AA964" t="s">
        <v>3406</v>
      </c>
      <c r="AB964" t="s">
        <v>3436</v>
      </c>
      <c r="AC964">
        <f>HYPERLINK("https://lsnyc.legalserver.org/matter/dynamic-profile/view/1889489","19-1889489")</f>
        <v>0</v>
      </c>
      <c r="AD964" t="s">
        <v>3443</v>
      </c>
      <c r="AE964" t="s">
        <v>3467</v>
      </c>
      <c r="AF964" t="s">
        <v>4246</v>
      </c>
      <c r="AG964" t="s">
        <v>3389</v>
      </c>
      <c r="AH964" t="s">
        <v>4905</v>
      </c>
      <c r="AI964" t="s">
        <v>4909</v>
      </c>
      <c r="AK964" t="s">
        <v>4911</v>
      </c>
      <c r="AL964" t="s">
        <v>2115</v>
      </c>
      <c r="AN964" t="s">
        <v>3436</v>
      </c>
    </row>
    <row r="965" spans="1:41">
      <c r="A965" s="1" t="s">
        <v>1001</v>
      </c>
      <c r="B965" t="s">
        <v>2004</v>
      </c>
      <c r="C965" t="s">
        <v>1998</v>
      </c>
      <c r="D965" t="s">
        <v>2084</v>
      </c>
      <c r="E965" t="s">
        <v>2111</v>
      </c>
      <c r="F965" t="s">
        <v>2133</v>
      </c>
      <c r="G965" t="s">
        <v>2216</v>
      </c>
      <c r="H965">
        <v>10314</v>
      </c>
      <c r="I965" t="s">
        <v>2233</v>
      </c>
      <c r="J965">
        <v>4</v>
      </c>
      <c r="K965">
        <v>2</v>
      </c>
      <c r="L965" t="s">
        <v>2260</v>
      </c>
      <c r="M965" t="s">
        <v>2677</v>
      </c>
      <c r="P965" t="s">
        <v>2902</v>
      </c>
      <c r="Q965" t="s">
        <v>2113</v>
      </c>
      <c r="R965" t="s">
        <v>3259</v>
      </c>
      <c r="S965" t="s">
        <v>3268</v>
      </c>
      <c r="T965" t="s">
        <v>3294</v>
      </c>
      <c r="U965" t="s">
        <v>2890</v>
      </c>
      <c r="X965" t="s">
        <v>3354</v>
      </c>
      <c r="Y965" t="s">
        <v>2678</v>
      </c>
      <c r="Z965" t="s">
        <v>3368</v>
      </c>
      <c r="AA965" t="s">
        <v>3406</v>
      </c>
      <c r="AB965" t="s">
        <v>3416</v>
      </c>
      <c r="AC965">
        <f>HYPERLINK("https://lsnyc.legalserver.org/matter/dynamic-profile/view/1889306","19-1889306")</f>
        <v>0</v>
      </c>
      <c r="AD965" t="s">
        <v>3447</v>
      </c>
      <c r="AE965" t="s">
        <v>3463</v>
      </c>
      <c r="AF965" t="s">
        <v>4247</v>
      </c>
      <c r="AG965" t="s">
        <v>3368</v>
      </c>
      <c r="AH965" t="s">
        <v>4904</v>
      </c>
      <c r="AK965" t="s">
        <v>4911</v>
      </c>
      <c r="AL965" t="s">
        <v>2133</v>
      </c>
      <c r="AM965" t="s">
        <v>3294</v>
      </c>
      <c r="AN965" t="s">
        <v>3416</v>
      </c>
    </row>
    <row r="966" spans="1:41">
      <c r="A966" s="1" t="s">
        <v>1002</v>
      </c>
      <c r="B966" t="s">
        <v>2001</v>
      </c>
      <c r="C966" t="s">
        <v>2012</v>
      </c>
      <c r="D966" t="s">
        <v>2036</v>
      </c>
      <c r="E966" t="s">
        <v>2112</v>
      </c>
      <c r="F966" t="s">
        <v>2117</v>
      </c>
      <c r="G966" t="s">
        <v>2221</v>
      </c>
      <c r="H966">
        <v>11550</v>
      </c>
      <c r="I966" t="s">
        <v>2229</v>
      </c>
      <c r="J966">
        <v>2</v>
      </c>
      <c r="K966">
        <v>1</v>
      </c>
      <c r="L966" t="s">
        <v>2262</v>
      </c>
      <c r="M966" t="s">
        <v>2677</v>
      </c>
      <c r="P966" t="s">
        <v>2801</v>
      </c>
      <c r="Q966" t="s">
        <v>2113</v>
      </c>
      <c r="R966" t="s">
        <v>3258</v>
      </c>
      <c r="S966" t="s">
        <v>3262</v>
      </c>
      <c r="T966" t="s">
        <v>3298</v>
      </c>
      <c r="U966" t="s">
        <v>2789</v>
      </c>
      <c r="X966" t="s">
        <v>3354</v>
      </c>
      <c r="Y966" t="s">
        <v>2678</v>
      </c>
      <c r="Z966" t="s">
        <v>3355</v>
      </c>
      <c r="AA966" t="s">
        <v>3406</v>
      </c>
      <c r="AB966" t="s">
        <v>3410</v>
      </c>
      <c r="AC966">
        <f>HYPERLINK("https://lsnyc.legalserver.org/matter/dynamic-profile/view/1889846","19-1889846")</f>
        <v>0</v>
      </c>
      <c r="AD966" t="s">
        <v>3443</v>
      </c>
      <c r="AE966" t="s">
        <v>3450</v>
      </c>
      <c r="AF966" t="s">
        <v>3887</v>
      </c>
      <c r="AG966" t="s">
        <v>3355</v>
      </c>
      <c r="AH966" t="s">
        <v>4904</v>
      </c>
      <c r="AL966" t="s">
        <v>2117</v>
      </c>
      <c r="AM966" t="s">
        <v>3298</v>
      </c>
      <c r="AN966" t="s">
        <v>3410</v>
      </c>
    </row>
    <row r="967" spans="1:41">
      <c r="A967" s="1" t="s">
        <v>1003</v>
      </c>
      <c r="B967" t="s">
        <v>2003</v>
      </c>
      <c r="C967" t="s">
        <v>2004</v>
      </c>
      <c r="D967" t="s">
        <v>2084</v>
      </c>
      <c r="E967" t="s">
        <v>2111</v>
      </c>
      <c r="F967" t="s">
        <v>2165</v>
      </c>
      <c r="G967" t="s">
        <v>2212</v>
      </c>
      <c r="H967">
        <v>11423</v>
      </c>
      <c r="I967" t="s">
        <v>2230</v>
      </c>
      <c r="J967">
        <v>4</v>
      </c>
      <c r="K967">
        <v>2</v>
      </c>
      <c r="L967" t="s">
        <v>2429</v>
      </c>
      <c r="M967" t="s">
        <v>2677</v>
      </c>
      <c r="P967" t="s">
        <v>2902</v>
      </c>
      <c r="Q967" t="s">
        <v>2113</v>
      </c>
      <c r="R967" t="s">
        <v>3259</v>
      </c>
      <c r="S967" t="s">
        <v>3270</v>
      </c>
      <c r="T967" t="s">
        <v>3294</v>
      </c>
      <c r="U967" t="s">
        <v>3312</v>
      </c>
      <c r="X967" t="s">
        <v>3354</v>
      </c>
      <c r="Y967" t="s">
        <v>2678</v>
      </c>
      <c r="Z967" t="s">
        <v>3380</v>
      </c>
      <c r="AA967" t="s">
        <v>3406</v>
      </c>
      <c r="AB967" t="s">
        <v>3418</v>
      </c>
      <c r="AC967">
        <f>HYPERLINK("https://lsnyc.legalserver.org/matter/dynamic-profile/view/1890662","19-1890662")</f>
        <v>0</v>
      </c>
      <c r="AD967" t="s">
        <v>3446</v>
      </c>
      <c r="AE967" t="s">
        <v>3456</v>
      </c>
      <c r="AF967" t="s">
        <v>4248</v>
      </c>
      <c r="AG967" t="s">
        <v>3380</v>
      </c>
      <c r="AH967" t="s">
        <v>4906</v>
      </c>
      <c r="AK967" t="s">
        <v>4911</v>
      </c>
      <c r="AL967" t="s">
        <v>2165</v>
      </c>
      <c r="AM967" t="s">
        <v>3294</v>
      </c>
      <c r="AN967" t="s">
        <v>3418</v>
      </c>
    </row>
    <row r="968" spans="1:41">
      <c r="A968" s="1" t="s">
        <v>1004</v>
      </c>
      <c r="B968" t="s">
        <v>2002</v>
      </c>
      <c r="C968" t="s">
        <v>2016</v>
      </c>
      <c r="D968" t="s">
        <v>2038</v>
      </c>
      <c r="E968" t="s">
        <v>2112</v>
      </c>
      <c r="F968" t="s">
        <v>2117</v>
      </c>
      <c r="G968" t="s">
        <v>2214</v>
      </c>
      <c r="H968">
        <v>11226</v>
      </c>
      <c r="I968" t="s">
        <v>2229</v>
      </c>
      <c r="J968">
        <v>4</v>
      </c>
      <c r="K968">
        <v>3</v>
      </c>
      <c r="L968" t="s">
        <v>2260</v>
      </c>
      <c r="M968" t="s">
        <v>2677</v>
      </c>
      <c r="P968" t="s">
        <v>2903</v>
      </c>
      <c r="Q968" t="s">
        <v>2113</v>
      </c>
      <c r="R968" t="s">
        <v>3259</v>
      </c>
      <c r="S968" t="s">
        <v>3267</v>
      </c>
      <c r="T968" t="s">
        <v>3295</v>
      </c>
      <c r="X968" t="s">
        <v>3354</v>
      </c>
      <c r="Y968" t="s">
        <v>2678</v>
      </c>
      <c r="Z968" t="s">
        <v>3380</v>
      </c>
      <c r="AA968" t="s">
        <v>3406</v>
      </c>
      <c r="AB968" t="s">
        <v>3415</v>
      </c>
      <c r="AC968">
        <f>HYPERLINK("https://lsnyc.legalserver.org/matter/dynamic-profile/view/1889176","19-1889176")</f>
        <v>0</v>
      </c>
      <c r="AD968" t="s">
        <v>3446</v>
      </c>
      <c r="AE968" t="s">
        <v>3481</v>
      </c>
      <c r="AF968" t="s">
        <v>4249</v>
      </c>
      <c r="AG968" t="s">
        <v>3380</v>
      </c>
      <c r="AH968" t="s">
        <v>4904</v>
      </c>
      <c r="AK968" t="s">
        <v>4911</v>
      </c>
      <c r="AL968" t="s">
        <v>2117</v>
      </c>
      <c r="AM968" t="s">
        <v>3295</v>
      </c>
      <c r="AN968" t="s">
        <v>3415</v>
      </c>
    </row>
    <row r="969" spans="1:41">
      <c r="A969" s="1" t="s">
        <v>1005</v>
      </c>
      <c r="B969" t="s">
        <v>1998</v>
      </c>
      <c r="C969" t="s">
        <v>2016</v>
      </c>
      <c r="D969" t="s">
        <v>2045</v>
      </c>
      <c r="E969" t="s">
        <v>2112</v>
      </c>
      <c r="F969" t="s">
        <v>2117</v>
      </c>
      <c r="G969" t="s">
        <v>2213</v>
      </c>
      <c r="H969">
        <v>10467</v>
      </c>
      <c r="I969" t="s">
        <v>2229</v>
      </c>
      <c r="J969">
        <v>2</v>
      </c>
      <c r="K969">
        <v>1</v>
      </c>
      <c r="L969" t="s">
        <v>2260</v>
      </c>
      <c r="M969" t="s">
        <v>2677</v>
      </c>
      <c r="P969" t="s">
        <v>2903</v>
      </c>
      <c r="Q969" t="s">
        <v>2113</v>
      </c>
      <c r="R969" t="s">
        <v>3258</v>
      </c>
      <c r="S969" t="s">
        <v>3262</v>
      </c>
      <c r="X969" t="s">
        <v>3354</v>
      </c>
      <c r="Y969" t="s">
        <v>2678</v>
      </c>
      <c r="Z969" t="s">
        <v>3355</v>
      </c>
      <c r="AA969" t="s">
        <v>3406</v>
      </c>
      <c r="AB969" t="s">
        <v>3410</v>
      </c>
      <c r="AC969">
        <f>HYPERLINK("https://lsnyc.legalserver.org/matter/dynamic-profile/view/1889202","19-1889202")</f>
        <v>0</v>
      </c>
      <c r="AD969" t="s">
        <v>3444</v>
      </c>
      <c r="AE969" t="s">
        <v>3466</v>
      </c>
      <c r="AF969" t="s">
        <v>4250</v>
      </c>
      <c r="AG969" t="s">
        <v>3355</v>
      </c>
      <c r="AH969" t="s">
        <v>4904</v>
      </c>
      <c r="AK969" t="s">
        <v>4911</v>
      </c>
      <c r="AL969" t="s">
        <v>2117</v>
      </c>
      <c r="AN969" t="s">
        <v>3410</v>
      </c>
    </row>
    <row r="970" spans="1:41">
      <c r="A970" s="1" t="s">
        <v>1006</v>
      </c>
      <c r="B970" t="s">
        <v>1998</v>
      </c>
      <c r="C970" t="s">
        <v>1998</v>
      </c>
      <c r="D970" t="s">
        <v>2042</v>
      </c>
      <c r="E970" t="s">
        <v>2112</v>
      </c>
      <c r="F970" t="s">
        <v>2140</v>
      </c>
      <c r="G970" t="s">
        <v>2211</v>
      </c>
      <c r="H970">
        <v>10019</v>
      </c>
      <c r="I970" t="s">
        <v>2245</v>
      </c>
      <c r="J970">
        <v>2</v>
      </c>
      <c r="K970">
        <v>0</v>
      </c>
      <c r="L970" t="s">
        <v>2484</v>
      </c>
      <c r="M970" t="s">
        <v>2677</v>
      </c>
      <c r="P970" t="s">
        <v>2903</v>
      </c>
      <c r="Q970" t="s">
        <v>2113</v>
      </c>
      <c r="R970" t="s">
        <v>3258</v>
      </c>
      <c r="S970" t="s">
        <v>3271</v>
      </c>
      <c r="T970" t="s">
        <v>3294</v>
      </c>
      <c r="U970" t="s">
        <v>2844</v>
      </c>
      <c r="X970" t="s">
        <v>3354</v>
      </c>
      <c r="Y970" t="s">
        <v>2678</v>
      </c>
      <c r="Z970" t="s">
        <v>3362</v>
      </c>
      <c r="AA970" t="s">
        <v>3406</v>
      </c>
      <c r="AB970" t="s">
        <v>3419</v>
      </c>
      <c r="AC970">
        <f>HYPERLINK("https://lsnyc.legalserver.org/matter/dynamic-profile/view/1889205","19-1889205")</f>
        <v>0</v>
      </c>
      <c r="AD970" t="s">
        <v>3442</v>
      </c>
      <c r="AE970" t="s">
        <v>3448</v>
      </c>
      <c r="AF970" t="s">
        <v>4251</v>
      </c>
      <c r="AG970" t="s">
        <v>3362</v>
      </c>
      <c r="AH970" t="s">
        <v>4904</v>
      </c>
      <c r="AK970" t="s">
        <v>4911</v>
      </c>
      <c r="AL970" t="s">
        <v>2140</v>
      </c>
      <c r="AM970" t="s">
        <v>3294</v>
      </c>
      <c r="AN970" t="s">
        <v>3419</v>
      </c>
    </row>
    <row r="971" spans="1:41">
      <c r="A971" s="1" t="s">
        <v>1007</v>
      </c>
      <c r="B971" t="s">
        <v>2000</v>
      </c>
      <c r="C971" t="s">
        <v>2002</v>
      </c>
      <c r="D971" t="s">
        <v>2084</v>
      </c>
      <c r="E971" t="s">
        <v>2112</v>
      </c>
      <c r="F971" t="s">
        <v>2121</v>
      </c>
      <c r="G971" t="s">
        <v>2212</v>
      </c>
      <c r="H971">
        <v>11378</v>
      </c>
      <c r="I971" t="s">
        <v>2229</v>
      </c>
      <c r="J971">
        <v>4</v>
      </c>
      <c r="K971">
        <v>3</v>
      </c>
      <c r="L971" t="s">
        <v>2260</v>
      </c>
      <c r="M971" t="s">
        <v>2677</v>
      </c>
      <c r="P971" t="s">
        <v>2904</v>
      </c>
      <c r="Q971" t="s">
        <v>3255</v>
      </c>
      <c r="R971" t="s">
        <v>3259</v>
      </c>
      <c r="S971" t="s">
        <v>3287</v>
      </c>
      <c r="X971" t="s">
        <v>3354</v>
      </c>
      <c r="Y971" t="s">
        <v>2677</v>
      </c>
      <c r="Z971" t="s">
        <v>3378</v>
      </c>
      <c r="AA971" t="s">
        <v>3406</v>
      </c>
      <c r="AB971" t="s">
        <v>3435</v>
      </c>
      <c r="AC971">
        <f>HYPERLINK("https://lsnyc.legalserver.org/matter/dynamic-profile/view/1889027","19-1889027")</f>
        <v>0</v>
      </c>
      <c r="AD971" t="s">
        <v>3443</v>
      </c>
      <c r="AE971" t="s">
        <v>3457</v>
      </c>
      <c r="AF971" t="s">
        <v>4252</v>
      </c>
      <c r="AG971" t="s">
        <v>3378</v>
      </c>
      <c r="AH971" t="s">
        <v>4904</v>
      </c>
      <c r="AL971" t="s">
        <v>2121</v>
      </c>
      <c r="AN971" t="s">
        <v>3435</v>
      </c>
    </row>
    <row r="972" spans="1:41">
      <c r="A972" s="1" t="s">
        <v>1008</v>
      </c>
      <c r="B972" t="s">
        <v>2000</v>
      </c>
      <c r="C972" t="s">
        <v>2009</v>
      </c>
      <c r="D972" t="s">
        <v>2051</v>
      </c>
      <c r="E972" t="s">
        <v>2112</v>
      </c>
      <c r="F972" t="s">
        <v>2129</v>
      </c>
      <c r="G972" t="s">
        <v>2214</v>
      </c>
      <c r="H972">
        <v>11224</v>
      </c>
      <c r="I972" t="s">
        <v>2232</v>
      </c>
      <c r="J972">
        <v>4</v>
      </c>
      <c r="K972">
        <v>2</v>
      </c>
      <c r="L972" t="s">
        <v>2260</v>
      </c>
      <c r="M972" t="s">
        <v>2677</v>
      </c>
      <c r="P972" t="s">
        <v>2904</v>
      </c>
      <c r="Q972" t="s">
        <v>2113</v>
      </c>
      <c r="R972" t="s">
        <v>3259</v>
      </c>
      <c r="S972" t="s">
        <v>3267</v>
      </c>
      <c r="X972" t="s">
        <v>3354</v>
      </c>
      <c r="Y972" t="s">
        <v>2677</v>
      </c>
      <c r="Z972" t="s">
        <v>3359</v>
      </c>
      <c r="AA972" t="s">
        <v>3406</v>
      </c>
      <c r="AB972" t="s">
        <v>3415</v>
      </c>
      <c r="AC972">
        <f>HYPERLINK("https://lsnyc.legalserver.org/matter/dynamic-profile/view/1889033","19-1889033")</f>
        <v>0</v>
      </c>
      <c r="AD972" t="s">
        <v>3445</v>
      </c>
      <c r="AE972" t="s">
        <v>3455</v>
      </c>
      <c r="AF972" t="s">
        <v>4253</v>
      </c>
      <c r="AG972" t="s">
        <v>3359</v>
      </c>
      <c r="AH972" t="s">
        <v>4906</v>
      </c>
      <c r="AK972" t="s">
        <v>4911</v>
      </c>
      <c r="AL972" t="s">
        <v>2129</v>
      </c>
      <c r="AN972" t="s">
        <v>3415</v>
      </c>
    </row>
    <row r="973" spans="1:41">
      <c r="A973" s="1" t="s">
        <v>1009</v>
      </c>
      <c r="B973" t="s">
        <v>2000</v>
      </c>
      <c r="C973" t="s">
        <v>2001</v>
      </c>
      <c r="D973" t="s">
        <v>2065</v>
      </c>
      <c r="E973" t="s">
        <v>2111</v>
      </c>
      <c r="F973" t="s">
        <v>2115</v>
      </c>
      <c r="G973" t="s">
        <v>2212</v>
      </c>
      <c r="H973">
        <v>11377</v>
      </c>
      <c r="I973" t="s">
        <v>2229</v>
      </c>
      <c r="J973">
        <v>4</v>
      </c>
      <c r="K973">
        <v>3</v>
      </c>
      <c r="L973" t="s">
        <v>2485</v>
      </c>
      <c r="M973" t="s">
        <v>2677</v>
      </c>
      <c r="P973" t="s">
        <v>2700</v>
      </c>
      <c r="Q973" t="s">
        <v>2113</v>
      </c>
      <c r="R973" t="s">
        <v>3259</v>
      </c>
      <c r="S973" t="s">
        <v>3267</v>
      </c>
      <c r="T973" t="s">
        <v>3294</v>
      </c>
      <c r="V973" t="s">
        <v>3353</v>
      </c>
      <c r="X973" t="s">
        <v>3354</v>
      </c>
      <c r="Y973" t="s">
        <v>2678</v>
      </c>
      <c r="Z973" t="s">
        <v>3359</v>
      </c>
      <c r="AA973" t="s">
        <v>3406</v>
      </c>
      <c r="AB973" t="s">
        <v>3415</v>
      </c>
      <c r="AC973">
        <f>HYPERLINK("https://lsnyc.legalserver.org/matter/dynamic-profile/view/1889110","19-1889110")</f>
        <v>0</v>
      </c>
      <c r="AD973" t="s">
        <v>3443</v>
      </c>
      <c r="AE973" t="s">
        <v>3450</v>
      </c>
      <c r="AF973" t="s">
        <v>4254</v>
      </c>
      <c r="AG973" t="s">
        <v>3359</v>
      </c>
      <c r="AH973" t="s">
        <v>4906</v>
      </c>
      <c r="AL973" t="s">
        <v>2115</v>
      </c>
      <c r="AM973" t="s">
        <v>3294</v>
      </c>
      <c r="AN973" t="s">
        <v>3415</v>
      </c>
      <c r="AO973" t="s">
        <v>3353</v>
      </c>
    </row>
    <row r="974" spans="1:41">
      <c r="A974" s="1" t="s">
        <v>1010</v>
      </c>
      <c r="B974" t="s">
        <v>2000</v>
      </c>
      <c r="C974" t="s">
        <v>2001</v>
      </c>
      <c r="D974" t="s">
        <v>2037</v>
      </c>
      <c r="E974" t="s">
        <v>2112</v>
      </c>
      <c r="F974" t="s">
        <v>2115</v>
      </c>
      <c r="G974" t="s">
        <v>2212</v>
      </c>
      <c r="H974">
        <v>11377</v>
      </c>
      <c r="I974" t="s">
        <v>2229</v>
      </c>
      <c r="J974">
        <v>4</v>
      </c>
      <c r="K974">
        <v>3</v>
      </c>
      <c r="L974" t="s">
        <v>2485</v>
      </c>
      <c r="M974" t="s">
        <v>2677</v>
      </c>
      <c r="P974" t="s">
        <v>2700</v>
      </c>
      <c r="Q974" t="s">
        <v>2113</v>
      </c>
      <c r="R974" t="s">
        <v>3259</v>
      </c>
      <c r="S974" t="s">
        <v>3267</v>
      </c>
      <c r="T974" t="s">
        <v>3294</v>
      </c>
      <c r="V974" t="s">
        <v>3353</v>
      </c>
      <c r="X974" t="s">
        <v>3354</v>
      </c>
      <c r="Y974" t="s">
        <v>2678</v>
      </c>
      <c r="Z974" t="s">
        <v>3359</v>
      </c>
      <c r="AA974" t="s">
        <v>3406</v>
      </c>
      <c r="AB974" t="s">
        <v>3415</v>
      </c>
      <c r="AC974">
        <f>HYPERLINK("https://lsnyc.legalserver.org/matter/dynamic-profile/view/1889114","19-1889114")</f>
        <v>0</v>
      </c>
      <c r="AD974" t="s">
        <v>3443</v>
      </c>
      <c r="AE974" t="s">
        <v>3450</v>
      </c>
      <c r="AF974" t="s">
        <v>4255</v>
      </c>
      <c r="AG974" t="s">
        <v>3359</v>
      </c>
      <c r="AH974" t="s">
        <v>4906</v>
      </c>
      <c r="AL974" t="s">
        <v>2115</v>
      </c>
      <c r="AM974" t="s">
        <v>3294</v>
      </c>
      <c r="AN974" t="s">
        <v>3415</v>
      </c>
      <c r="AO974" t="s">
        <v>3353</v>
      </c>
    </row>
    <row r="975" spans="1:41">
      <c r="A975" s="1" t="s">
        <v>1011</v>
      </c>
      <c r="B975" t="s">
        <v>1998</v>
      </c>
      <c r="C975" t="s">
        <v>1998</v>
      </c>
      <c r="D975" t="s">
        <v>2080</v>
      </c>
      <c r="E975" t="s">
        <v>2112</v>
      </c>
      <c r="F975" t="s">
        <v>2116</v>
      </c>
      <c r="G975" t="s">
        <v>2216</v>
      </c>
      <c r="H975">
        <v>10314</v>
      </c>
      <c r="I975" t="s">
        <v>2229</v>
      </c>
      <c r="J975">
        <v>1</v>
      </c>
      <c r="K975">
        <v>0</v>
      </c>
      <c r="L975" t="s">
        <v>2275</v>
      </c>
      <c r="M975" t="s">
        <v>2677</v>
      </c>
      <c r="P975" t="s">
        <v>2905</v>
      </c>
      <c r="Q975" t="s">
        <v>3255</v>
      </c>
      <c r="R975" t="s">
        <v>3259</v>
      </c>
      <c r="S975" t="s">
        <v>3268</v>
      </c>
      <c r="X975" t="s">
        <v>3354</v>
      </c>
      <c r="Y975" t="s">
        <v>2678</v>
      </c>
      <c r="Z975" t="s">
        <v>3368</v>
      </c>
      <c r="AA975" t="s">
        <v>3406</v>
      </c>
      <c r="AB975" t="s">
        <v>3416</v>
      </c>
      <c r="AC975">
        <f>HYPERLINK("https://lsnyc.legalserver.org/matter/dynamic-profile/view/1885328","18-1885328")</f>
        <v>0</v>
      </c>
      <c r="AD975" t="s">
        <v>3447</v>
      </c>
      <c r="AE975" t="s">
        <v>3458</v>
      </c>
      <c r="AF975" t="s">
        <v>3659</v>
      </c>
      <c r="AG975" t="s">
        <v>3368</v>
      </c>
      <c r="AH975" t="s">
        <v>4904</v>
      </c>
      <c r="AK975" t="s">
        <v>4911</v>
      </c>
      <c r="AL975" t="s">
        <v>2116</v>
      </c>
      <c r="AN975" t="s">
        <v>3416</v>
      </c>
    </row>
    <row r="976" spans="1:41">
      <c r="A976" s="1" t="s">
        <v>1012</v>
      </c>
      <c r="B976" t="s">
        <v>2000</v>
      </c>
      <c r="C976" t="s">
        <v>2002</v>
      </c>
      <c r="D976" t="s">
        <v>2081</v>
      </c>
      <c r="E976" t="s">
        <v>2112</v>
      </c>
      <c r="F976" t="s">
        <v>2115</v>
      </c>
      <c r="G976" t="s">
        <v>2212</v>
      </c>
      <c r="H976">
        <v>11435</v>
      </c>
      <c r="I976" t="s">
        <v>2229</v>
      </c>
      <c r="J976">
        <v>3</v>
      </c>
      <c r="K976">
        <v>1</v>
      </c>
      <c r="L976" t="s">
        <v>2429</v>
      </c>
      <c r="M976" t="s">
        <v>2677</v>
      </c>
      <c r="P976" t="s">
        <v>2726</v>
      </c>
      <c r="Q976" t="s">
        <v>2113</v>
      </c>
      <c r="R976" t="s">
        <v>3259</v>
      </c>
      <c r="S976" t="s">
        <v>3267</v>
      </c>
      <c r="T976" t="s">
        <v>3294</v>
      </c>
      <c r="U976" t="s">
        <v>3306</v>
      </c>
      <c r="X976" t="s">
        <v>3354</v>
      </c>
      <c r="Y976" t="s">
        <v>2678</v>
      </c>
      <c r="Z976" t="s">
        <v>3380</v>
      </c>
      <c r="AA976" t="s">
        <v>3406</v>
      </c>
      <c r="AB976" t="s">
        <v>3415</v>
      </c>
      <c r="AC976">
        <f>HYPERLINK("https://lsnyc.legalserver.org/matter/dynamic-profile/view/1888848","19-1888848")</f>
        <v>0</v>
      </c>
      <c r="AD976" t="s">
        <v>3442</v>
      </c>
      <c r="AE976" t="s">
        <v>3448</v>
      </c>
      <c r="AF976" t="s">
        <v>4256</v>
      </c>
      <c r="AG976" t="s">
        <v>3380</v>
      </c>
      <c r="AH976" t="s">
        <v>4906</v>
      </c>
      <c r="AL976" t="s">
        <v>2115</v>
      </c>
      <c r="AM976" t="s">
        <v>3294</v>
      </c>
      <c r="AN976" t="s">
        <v>3415</v>
      </c>
    </row>
    <row r="977" spans="1:40">
      <c r="A977" s="1" t="s">
        <v>1013</v>
      </c>
      <c r="B977" t="s">
        <v>2002</v>
      </c>
      <c r="C977" t="s">
        <v>2000</v>
      </c>
      <c r="D977" t="s">
        <v>2036</v>
      </c>
      <c r="E977" t="s">
        <v>2112</v>
      </c>
      <c r="F977" t="s">
        <v>2115</v>
      </c>
      <c r="G977" t="s">
        <v>2212</v>
      </c>
      <c r="H977">
        <v>11432</v>
      </c>
      <c r="I977" t="s">
        <v>2229</v>
      </c>
      <c r="J977">
        <v>3</v>
      </c>
      <c r="K977">
        <v>1</v>
      </c>
      <c r="L977" t="s">
        <v>2429</v>
      </c>
      <c r="M977" t="s">
        <v>2677</v>
      </c>
      <c r="P977" t="s">
        <v>2726</v>
      </c>
      <c r="Q977" t="s">
        <v>2113</v>
      </c>
      <c r="R977" t="s">
        <v>3259</v>
      </c>
      <c r="S977" t="s">
        <v>3267</v>
      </c>
      <c r="T977" t="s">
        <v>3294</v>
      </c>
      <c r="U977" t="s">
        <v>3306</v>
      </c>
      <c r="X977" t="s">
        <v>3354</v>
      </c>
      <c r="Y977" t="s">
        <v>2678</v>
      </c>
      <c r="Z977" t="s">
        <v>3380</v>
      </c>
      <c r="AA977" t="s">
        <v>3406</v>
      </c>
      <c r="AB977" t="s">
        <v>3415</v>
      </c>
      <c r="AC977">
        <f>HYPERLINK("https://lsnyc.legalserver.org/matter/dynamic-profile/view/1888861","19-1888861")</f>
        <v>0</v>
      </c>
      <c r="AD977" t="s">
        <v>3442</v>
      </c>
      <c r="AE977" t="s">
        <v>3448</v>
      </c>
      <c r="AF977" t="s">
        <v>4257</v>
      </c>
      <c r="AG977" t="s">
        <v>3380</v>
      </c>
      <c r="AH977" t="s">
        <v>4906</v>
      </c>
      <c r="AL977" t="s">
        <v>2115</v>
      </c>
      <c r="AM977" t="s">
        <v>3294</v>
      </c>
      <c r="AN977" t="s">
        <v>3415</v>
      </c>
    </row>
    <row r="978" spans="1:40">
      <c r="A978" s="1" t="s">
        <v>1014</v>
      </c>
      <c r="B978" t="s">
        <v>1998</v>
      </c>
      <c r="C978" t="s">
        <v>1998</v>
      </c>
      <c r="D978" t="s">
        <v>2056</v>
      </c>
      <c r="E978" t="s">
        <v>2112</v>
      </c>
      <c r="F978" t="s">
        <v>2181</v>
      </c>
      <c r="G978" t="s">
        <v>2212</v>
      </c>
      <c r="H978">
        <v>11419</v>
      </c>
      <c r="I978" t="s">
        <v>2250</v>
      </c>
      <c r="J978">
        <v>3</v>
      </c>
      <c r="K978">
        <v>1</v>
      </c>
      <c r="L978" t="s">
        <v>2420</v>
      </c>
      <c r="M978" t="s">
        <v>2677</v>
      </c>
      <c r="P978" t="s">
        <v>2905</v>
      </c>
      <c r="Q978" t="s">
        <v>2113</v>
      </c>
      <c r="R978" t="s">
        <v>3260</v>
      </c>
      <c r="S978" t="s">
        <v>3266</v>
      </c>
      <c r="X978" t="s">
        <v>3354</v>
      </c>
      <c r="Y978" t="s">
        <v>2678</v>
      </c>
      <c r="AB978" t="s">
        <v>3414</v>
      </c>
      <c r="AC978">
        <f>HYPERLINK("https://lsnyc.legalserver.org/matter/dynamic-profile/view/1888901","19-1888901")</f>
        <v>0</v>
      </c>
      <c r="AD978" t="s">
        <v>3443</v>
      </c>
      <c r="AE978" t="s">
        <v>3477</v>
      </c>
      <c r="AF978" t="s">
        <v>4258</v>
      </c>
      <c r="AI978" t="s">
        <v>4909</v>
      </c>
      <c r="AL978" t="s">
        <v>2181</v>
      </c>
      <c r="AN978" t="s">
        <v>3414</v>
      </c>
    </row>
    <row r="979" spans="1:40">
      <c r="A979" s="1" t="s">
        <v>1015</v>
      </c>
      <c r="B979" t="s">
        <v>2009</v>
      </c>
      <c r="C979" t="s">
        <v>1998</v>
      </c>
      <c r="D979" t="s">
        <v>2027</v>
      </c>
      <c r="E979" t="s">
        <v>2112</v>
      </c>
      <c r="F979" t="s">
        <v>2117</v>
      </c>
      <c r="G979" t="s">
        <v>2213</v>
      </c>
      <c r="H979">
        <v>10468</v>
      </c>
      <c r="I979" t="s">
        <v>2229</v>
      </c>
      <c r="J979">
        <v>3</v>
      </c>
      <c r="K979">
        <v>2</v>
      </c>
      <c r="L979" t="s">
        <v>2260</v>
      </c>
      <c r="M979" t="s">
        <v>2677</v>
      </c>
      <c r="P979" t="s">
        <v>2905</v>
      </c>
      <c r="Q979" t="s">
        <v>2113</v>
      </c>
      <c r="R979" t="s">
        <v>3259</v>
      </c>
      <c r="S979" t="s">
        <v>3264</v>
      </c>
      <c r="T979" t="s">
        <v>3294</v>
      </c>
      <c r="U979" t="s">
        <v>2890</v>
      </c>
      <c r="X979" t="s">
        <v>3354</v>
      </c>
      <c r="Y979" t="s">
        <v>2678</v>
      </c>
      <c r="Z979" t="s">
        <v>3397</v>
      </c>
      <c r="AA979" t="s">
        <v>3406</v>
      </c>
      <c r="AB979" t="s">
        <v>3412</v>
      </c>
      <c r="AC979">
        <f>HYPERLINK("https://lsnyc.legalserver.org/matter/dynamic-profile/view/1888921","19-1888921")</f>
        <v>0</v>
      </c>
      <c r="AD979" t="s">
        <v>3444</v>
      </c>
      <c r="AE979" t="s">
        <v>3464</v>
      </c>
      <c r="AF979" t="s">
        <v>4259</v>
      </c>
      <c r="AG979" t="s">
        <v>3397</v>
      </c>
      <c r="AH979" t="s">
        <v>4904</v>
      </c>
      <c r="AK979" t="s">
        <v>4911</v>
      </c>
      <c r="AL979" t="s">
        <v>2117</v>
      </c>
      <c r="AM979" t="s">
        <v>3294</v>
      </c>
      <c r="AN979" t="s">
        <v>3412</v>
      </c>
    </row>
    <row r="980" spans="1:40">
      <c r="A980" s="1" t="s">
        <v>1016</v>
      </c>
      <c r="B980" t="s">
        <v>2009</v>
      </c>
      <c r="C980" t="s">
        <v>1998</v>
      </c>
      <c r="D980" t="s">
        <v>2088</v>
      </c>
      <c r="E980" t="s">
        <v>2111</v>
      </c>
      <c r="F980" t="s">
        <v>2117</v>
      </c>
      <c r="G980" t="s">
        <v>2213</v>
      </c>
      <c r="H980">
        <v>10468</v>
      </c>
      <c r="J980">
        <v>3</v>
      </c>
      <c r="K980">
        <v>2</v>
      </c>
      <c r="L980" t="s">
        <v>2260</v>
      </c>
      <c r="M980" t="s">
        <v>2677</v>
      </c>
      <c r="P980" t="s">
        <v>2905</v>
      </c>
      <c r="Q980" t="s">
        <v>3255</v>
      </c>
      <c r="R980" t="s">
        <v>3259</v>
      </c>
      <c r="S980" t="s">
        <v>3264</v>
      </c>
      <c r="T980" t="s">
        <v>3294</v>
      </c>
      <c r="U980" t="s">
        <v>2890</v>
      </c>
      <c r="X980" t="s">
        <v>3354</v>
      </c>
      <c r="Y980" t="s">
        <v>2678</v>
      </c>
      <c r="Z980" t="s">
        <v>3397</v>
      </c>
      <c r="AA980" t="s">
        <v>3406</v>
      </c>
      <c r="AB980" t="s">
        <v>3412</v>
      </c>
      <c r="AC980">
        <f>HYPERLINK("https://lsnyc.legalserver.org/matter/dynamic-profile/view/1888926","19-1888926")</f>
        <v>0</v>
      </c>
      <c r="AD980" t="s">
        <v>3444</v>
      </c>
      <c r="AE980" t="s">
        <v>3464</v>
      </c>
      <c r="AF980" t="s">
        <v>4260</v>
      </c>
      <c r="AG980" t="s">
        <v>3397</v>
      </c>
      <c r="AH980" t="s">
        <v>4904</v>
      </c>
      <c r="AK980" t="s">
        <v>4911</v>
      </c>
      <c r="AL980" t="s">
        <v>2117</v>
      </c>
      <c r="AM980" t="s">
        <v>3294</v>
      </c>
      <c r="AN980" t="s">
        <v>3412</v>
      </c>
    </row>
    <row r="981" spans="1:40">
      <c r="A981" s="1" t="s">
        <v>1017</v>
      </c>
      <c r="B981" t="s">
        <v>2016</v>
      </c>
      <c r="C981" t="s">
        <v>2009</v>
      </c>
      <c r="D981" t="s">
        <v>2037</v>
      </c>
      <c r="E981" t="s">
        <v>2111</v>
      </c>
      <c r="F981" t="s">
        <v>2135</v>
      </c>
      <c r="G981" t="s">
        <v>2212</v>
      </c>
      <c r="H981">
        <v>11355</v>
      </c>
      <c r="I981" t="s">
        <v>2229</v>
      </c>
      <c r="J981">
        <v>7</v>
      </c>
      <c r="K981">
        <v>5</v>
      </c>
      <c r="L981" t="s">
        <v>2377</v>
      </c>
      <c r="M981" t="s">
        <v>2677</v>
      </c>
      <c r="P981" t="s">
        <v>2905</v>
      </c>
      <c r="Q981" t="s">
        <v>2113</v>
      </c>
      <c r="R981" t="s">
        <v>3259</v>
      </c>
      <c r="S981" t="s">
        <v>3276</v>
      </c>
      <c r="X981" t="s">
        <v>3354</v>
      </c>
      <c r="Y981" t="s">
        <v>2677</v>
      </c>
      <c r="Z981" t="s">
        <v>3373</v>
      </c>
      <c r="AA981" t="s">
        <v>3406</v>
      </c>
      <c r="AB981" t="s">
        <v>3424</v>
      </c>
      <c r="AC981">
        <f>HYPERLINK("https://lsnyc.legalserver.org/matter/dynamic-profile/view/1888954","19-1888954")</f>
        <v>0</v>
      </c>
      <c r="AD981" t="s">
        <v>3445</v>
      </c>
      <c r="AE981" t="s">
        <v>3455</v>
      </c>
      <c r="AF981" t="s">
        <v>4261</v>
      </c>
      <c r="AG981" t="s">
        <v>3373</v>
      </c>
      <c r="AH981" t="s">
        <v>4904</v>
      </c>
      <c r="AK981" t="s">
        <v>4911</v>
      </c>
      <c r="AL981" t="s">
        <v>2135</v>
      </c>
      <c r="AN981" t="s">
        <v>3424</v>
      </c>
    </row>
    <row r="982" spans="1:40">
      <c r="A982" s="1" t="s">
        <v>1018</v>
      </c>
      <c r="B982" t="s">
        <v>2001</v>
      </c>
      <c r="C982" t="s">
        <v>1998</v>
      </c>
      <c r="D982" t="s">
        <v>2060</v>
      </c>
      <c r="E982" t="s">
        <v>2112</v>
      </c>
      <c r="F982" t="s">
        <v>2135</v>
      </c>
      <c r="G982" t="s">
        <v>2212</v>
      </c>
      <c r="H982">
        <v>11355</v>
      </c>
      <c r="I982" t="s">
        <v>2229</v>
      </c>
      <c r="J982">
        <v>7</v>
      </c>
      <c r="K982">
        <v>5</v>
      </c>
      <c r="L982" t="s">
        <v>2377</v>
      </c>
      <c r="M982" t="s">
        <v>2677</v>
      </c>
      <c r="P982" t="s">
        <v>2905</v>
      </c>
      <c r="Q982" t="s">
        <v>2113</v>
      </c>
      <c r="R982" t="s">
        <v>3259</v>
      </c>
      <c r="S982" t="s">
        <v>3264</v>
      </c>
      <c r="X982" t="s">
        <v>3354</v>
      </c>
      <c r="Y982" t="s">
        <v>2677</v>
      </c>
      <c r="Z982" t="s">
        <v>3397</v>
      </c>
      <c r="AA982" t="s">
        <v>3406</v>
      </c>
      <c r="AB982" t="s">
        <v>3412</v>
      </c>
      <c r="AC982">
        <f>HYPERLINK("https://lsnyc.legalserver.org/matter/dynamic-profile/view/1888959","19-1888959")</f>
        <v>0</v>
      </c>
      <c r="AD982" t="s">
        <v>3445</v>
      </c>
      <c r="AE982" t="s">
        <v>3455</v>
      </c>
      <c r="AF982" t="s">
        <v>4262</v>
      </c>
      <c r="AG982" t="s">
        <v>3397</v>
      </c>
      <c r="AH982" t="s">
        <v>4904</v>
      </c>
      <c r="AK982" t="s">
        <v>4911</v>
      </c>
      <c r="AL982" t="s">
        <v>2135</v>
      </c>
      <c r="AN982" t="s">
        <v>3412</v>
      </c>
    </row>
    <row r="983" spans="1:40">
      <c r="A983" s="1" t="s">
        <v>1019</v>
      </c>
      <c r="B983" t="s">
        <v>2001</v>
      </c>
      <c r="C983" t="s">
        <v>1998</v>
      </c>
      <c r="D983" t="s">
        <v>2060</v>
      </c>
      <c r="E983" t="s">
        <v>2112</v>
      </c>
      <c r="F983" t="s">
        <v>2135</v>
      </c>
      <c r="G983" t="s">
        <v>2212</v>
      </c>
      <c r="H983">
        <v>11355</v>
      </c>
      <c r="I983" t="s">
        <v>2229</v>
      </c>
      <c r="J983">
        <v>7</v>
      </c>
      <c r="K983">
        <v>5</v>
      </c>
      <c r="L983" t="s">
        <v>2377</v>
      </c>
      <c r="M983" t="s">
        <v>2677</v>
      </c>
      <c r="P983" t="s">
        <v>2905</v>
      </c>
      <c r="Q983" t="s">
        <v>2113</v>
      </c>
      <c r="R983" t="s">
        <v>3259</v>
      </c>
      <c r="S983" t="s">
        <v>3276</v>
      </c>
      <c r="X983" t="s">
        <v>3354</v>
      </c>
      <c r="Y983" t="s">
        <v>2677</v>
      </c>
      <c r="Z983" t="s">
        <v>3373</v>
      </c>
      <c r="AA983" t="s">
        <v>3406</v>
      </c>
      <c r="AB983" t="s">
        <v>3424</v>
      </c>
      <c r="AC983">
        <f>HYPERLINK("https://lsnyc.legalserver.org/matter/dynamic-profile/view/1888961","19-1888961")</f>
        <v>0</v>
      </c>
      <c r="AD983" t="s">
        <v>3445</v>
      </c>
      <c r="AE983" t="s">
        <v>3455</v>
      </c>
      <c r="AF983" t="s">
        <v>4262</v>
      </c>
      <c r="AG983" t="s">
        <v>3373</v>
      </c>
      <c r="AH983" t="s">
        <v>4904</v>
      </c>
      <c r="AK983" t="s">
        <v>4911</v>
      </c>
      <c r="AL983" t="s">
        <v>2135</v>
      </c>
      <c r="AN983" t="s">
        <v>3424</v>
      </c>
    </row>
    <row r="984" spans="1:40">
      <c r="A984" s="1" t="s">
        <v>1020</v>
      </c>
      <c r="B984" t="s">
        <v>2016</v>
      </c>
      <c r="C984" t="s">
        <v>2009</v>
      </c>
      <c r="D984" t="s">
        <v>2051</v>
      </c>
      <c r="E984" t="s">
        <v>2111</v>
      </c>
      <c r="F984" t="s">
        <v>2135</v>
      </c>
      <c r="G984" t="s">
        <v>2212</v>
      </c>
      <c r="H984">
        <v>11355</v>
      </c>
      <c r="I984" t="s">
        <v>2229</v>
      </c>
      <c r="J984">
        <v>7</v>
      </c>
      <c r="K984">
        <v>5</v>
      </c>
      <c r="L984" t="s">
        <v>2377</v>
      </c>
      <c r="M984" t="s">
        <v>2677</v>
      </c>
      <c r="P984" t="s">
        <v>2905</v>
      </c>
      <c r="Q984" t="s">
        <v>2113</v>
      </c>
      <c r="R984" t="s">
        <v>3259</v>
      </c>
      <c r="S984" t="s">
        <v>3264</v>
      </c>
      <c r="X984" t="s">
        <v>3354</v>
      </c>
      <c r="Y984" t="s">
        <v>2677</v>
      </c>
      <c r="Z984" t="s">
        <v>3397</v>
      </c>
      <c r="AA984" t="s">
        <v>3406</v>
      </c>
      <c r="AB984" t="s">
        <v>3412</v>
      </c>
      <c r="AC984">
        <f>HYPERLINK("https://lsnyc.legalserver.org/matter/dynamic-profile/view/1888963","19-1888963")</f>
        <v>0</v>
      </c>
      <c r="AD984" t="s">
        <v>3445</v>
      </c>
      <c r="AE984" t="s">
        <v>3455</v>
      </c>
      <c r="AF984" t="s">
        <v>4261</v>
      </c>
      <c r="AG984" t="s">
        <v>3397</v>
      </c>
      <c r="AH984" t="s">
        <v>4904</v>
      </c>
      <c r="AK984" t="s">
        <v>4911</v>
      </c>
      <c r="AL984" t="s">
        <v>2135</v>
      </c>
      <c r="AN984" t="s">
        <v>3412</v>
      </c>
    </row>
    <row r="985" spans="1:40">
      <c r="A985" s="1" t="s">
        <v>1021</v>
      </c>
      <c r="B985" t="s">
        <v>2016</v>
      </c>
      <c r="C985" t="s">
        <v>2001</v>
      </c>
      <c r="D985" t="s">
        <v>2051</v>
      </c>
      <c r="E985" t="s">
        <v>2111</v>
      </c>
      <c r="F985" t="s">
        <v>2135</v>
      </c>
      <c r="G985" t="s">
        <v>2212</v>
      </c>
      <c r="H985">
        <v>11355</v>
      </c>
      <c r="I985" t="s">
        <v>2229</v>
      </c>
      <c r="J985">
        <v>7</v>
      </c>
      <c r="K985">
        <v>5</v>
      </c>
      <c r="L985" t="s">
        <v>2377</v>
      </c>
      <c r="M985" t="s">
        <v>2677</v>
      </c>
      <c r="P985" t="s">
        <v>2905</v>
      </c>
      <c r="Q985" t="s">
        <v>2113</v>
      </c>
      <c r="R985" t="s">
        <v>3259</v>
      </c>
      <c r="S985" t="s">
        <v>3276</v>
      </c>
      <c r="X985" t="s">
        <v>3354</v>
      </c>
      <c r="Y985" t="s">
        <v>2677</v>
      </c>
      <c r="Z985" t="s">
        <v>3373</v>
      </c>
      <c r="AA985" t="s">
        <v>3406</v>
      </c>
      <c r="AB985" t="s">
        <v>3424</v>
      </c>
      <c r="AC985">
        <f>HYPERLINK("https://lsnyc.legalserver.org/matter/dynamic-profile/view/1888966","19-1888966")</f>
        <v>0</v>
      </c>
      <c r="AD985" t="s">
        <v>3445</v>
      </c>
      <c r="AE985" t="s">
        <v>3455</v>
      </c>
      <c r="AF985" t="s">
        <v>4263</v>
      </c>
      <c r="AG985" t="s">
        <v>3373</v>
      </c>
      <c r="AH985" t="s">
        <v>4904</v>
      </c>
      <c r="AK985" t="s">
        <v>4911</v>
      </c>
      <c r="AL985" t="s">
        <v>2135</v>
      </c>
      <c r="AN985" t="s">
        <v>3424</v>
      </c>
    </row>
    <row r="986" spans="1:40">
      <c r="A986" s="1" t="s">
        <v>1022</v>
      </c>
      <c r="B986" t="s">
        <v>1998</v>
      </c>
      <c r="C986" t="s">
        <v>1998</v>
      </c>
      <c r="D986" t="s">
        <v>2045</v>
      </c>
      <c r="E986" t="s">
        <v>2112</v>
      </c>
      <c r="F986" t="s">
        <v>2119</v>
      </c>
      <c r="G986" t="s">
        <v>2214</v>
      </c>
      <c r="H986">
        <v>11226</v>
      </c>
      <c r="I986" t="s">
        <v>2230</v>
      </c>
      <c r="J986">
        <v>2</v>
      </c>
      <c r="K986">
        <v>1</v>
      </c>
      <c r="L986" t="s">
        <v>2377</v>
      </c>
      <c r="M986" t="s">
        <v>2677</v>
      </c>
      <c r="P986" t="s">
        <v>2905</v>
      </c>
      <c r="Q986" t="s">
        <v>2113</v>
      </c>
      <c r="R986" t="s">
        <v>3259</v>
      </c>
      <c r="S986" t="s">
        <v>3272</v>
      </c>
      <c r="T986" t="s">
        <v>3294</v>
      </c>
      <c r="X986" t="s">
        <v>3354</v>
      </c>
      <c r="Y986" t="s">
        <v>2678</v>
      </c>
      <c r="Z986" t="s">
        <v>3383</v>
      </c>
      <c r="AA986" t="s">
        <v>3406</v>
      </c>
      <c r="AB986" t="s">
        <v>3420</v>
      </c>
      <c r="AC986">
        <f>HYPERLINK("https://lsnyc.legalserver.org/matter/dynamic-profile/view/1888988","19-1888988")</f>
        <v>0</v>
      </c>
      <c r="AD986" t="s">
        <v>3446</v>
      </c>
      <c r="AE986" t="s">
        <v>3481</v>
      </c>
      <c r="AF986" t="s">
        <v>4264</v>
      </c>
      <c r="AG986" t="s">
        <v>3383</v>
      </c>
      <c r="AH986" t="s">
        <v>4905</v>
      </c>
      <c r="AK986" t="s">
        <v>4911</v>
      </c>
      <c r="AL986" t="s">
        <v>2119</v>
      </c>
      <c r="AM986" t="s">
        <v>3294</v>
      </c>
      <c r="AN986" t="s">
        <v>3420</v>
      </c>
    </row>
    <row r="987" spans="1:40">
      <c r="A987" s="1" t="s">
        <v>1023</v>
      </c>
      <c r="B987" t="s">
        <v>1998</v>
      </c>
      <c r="C987" t="s">
        <v>1998</v>
      </c>
      <c r="D987" t="s">
        <v>2094</v>
      </c>
      <c r="E987" t="s">
        <v>2112</v>
      </c>
      <c r="F987" t="s">
        <v>2116</v>
      </c>
      <c r="G987" t="s">
        <v>2216</v>
      </c>
      <c r="H987">
        <v>10306</v>
      </c>
      <c r="I987" t="s">
        <v>2230</v>
      </c>
      <c r="J987">
        <v>4</v>
      </c>
      <c r="K987">
        <v>2</v>
      </c>
      <c r="L987" t="s">
        <v>2331</v>
      </c>
      <c r="M987" t="s">
        <v>2677</v>
      </c>
      <c r="P987" t="s">
        <v>2906</v>
      </c>
      <c r="Q987" t="s">
        <v>2113</v>
      </c>
      <c r="R987" t="s">
        <v>3259</v>
      </c>
      <c r="S987" t="s">
        <v>3264</v>
      </c>
      <c r="X987" t="s">
        <v>3354</v>
      </c>
      <c r="Y987" t="s">
        <v>2678</v>
      </c>
      <c r="Z987" t="s">
        <v>3357</v>
      </c>
      <c r="AA987" t="s">
        <v>3406</v>
      </c>
      <c r="AB987" t="s">
        <v>3412</v>
      </c>
      <c r="AC987">
        <f>HYPERLINK("https://lsnyc.legalserver.org/matter/dynamic-profile/view/1886896","19-1886896")</f>
        <v>0</v>
      </c>
      <c r="AD987" t="s">
        <v>3447</v>
      </c>
      <c r="AE987" t="s">
        <v>3463</v>
      </c>
      <c r="AF987" t="s">
        <v>4265</v>
      </c>
      <c r="AG987" t="s">
        <v>3357</v>
      </c>
      <c r="AH987" t="s">
        <v>4904</v>
      </c>
      <c r="AL987" t="s">
        <v>2116</v>
      </c>
      <c r="AN987" t="s">
        <v>3412</v>
      </c>
    </row>
    <row r="988" spans="1:40">
      <c r="A988" s="1" t="s">
        <v>1024</v>
      </c>
      <c r="B988" t="s">
        <v>2001</v>
      </c>
      <c r="C988" t="s">
        <v>2016</v>
      </c>
      <c r="D988" t="s">
        <v>2051</v>
      </c>
      <c r="E988" t="s">
        <v>2111</v>
      </c>
      <c r="F988" t="s">
        <v>2122</v>
      </c>
      <c r="G988" t="s">
        <v>2214</v>
      </c>
      <c r="H988">
        <v>11203</v>
      </c>
      <c r="I988" t="s">
        <v>2230</v>
      </c>
      <c r="J988">
        <v>1</v>
      </c>
      <c r="K988">
        <v>0</v>
      </c>
      <c r="L988" t="s">
        <v>2260</v>
      </c>
      <c r="M988" t="s">
        <v>2677</v>
      </c>
      <c r="P988" t="s">
        <v>2906</v>
      </c>
      <c r="Q988" t="s">
        <v>2113</v>
      </c>
      <c r="R988" t="s">
        <v>3259</v>
      </c>
      <c r="S988" t="s">
        <v>3268</v>
      </c>
      <c r="X988" t="s">
        <v>3354</v>
      </c>
      <c r="Y988" t="s">
        <v>2677</v>
      </c>
      <c r="Z988" t="s">
        <v>3368</v>
      </c>
      <c r="AA988" t="s">
        <v>3406</v>
      </c>
      <c r="AB988" t="s">
        <v>3416</v>
      </c>
      <c r="AC988">
        <f>HYPERLINK("https://lsnyc.legalserver.org/matter/dynamic-profile/view/1888747","19-1888747")</f>
        <v>0</v>
      </c>
      <c r="AD988" t="s">
        <v>3445</v>
      </c>
      <c r="AE988" t="s">
        <v>3452</v>
      </c>
      <c r="AF988" t="s">
        <v>4266</v>
      </c>
      <c r="AG988" t="s">
        <v>3368</v>
      </c>
      <c r="AH988" t="s">
        <v>4904</v>
      </c>
      <c r="AK988" t="s">
        <v>4911</v>
      </c>
      <c r="AL988" t="s">
        <v>2122</v>
      </c>
      <c r="AN988" t="s">
        <v>3416</v>
      </c>
    </row>
    <row r="989" spans="1:40">
      <c r="A989" s="1" t="s">
        <v>1025</v>
      </c>
      <c r="B989" t="s">
        <v>2001</v>
      </c>
      <c r="C989" t="s">
        <v>2005</v>
      </c>
      <c r="D989" t="s">
        <v>2040</v>
      </c>
      <c r="E989" t="s">
        <v>2112</v>
      </c>
      <c r="F989" t="s">
        <v>2115</v>
      </c>
      <c r="G989" t="s">
        <v>2213</v>
      </c>
      <c r="H989">
        <v>10454</v>
      </c>
      <c r="I989" t="s">
        <v>2113</v>
      </c>
      <c r="J989">
        <v>1</v>
      </c>
      <c r="K989">
        <v>0</v>
      </c>
      <c r="L989" t="s">
        <v>2260</v>
      </c>
      <c r="M989" t="s">
        <v>2677</v>
      </c>
      <c r="P989" t="s">
        <v>2907</v>
      </c>
      <c r="Q989" t="s">
        <v>2113</v>
      </c>
      <c r="R989" t="s">
        <v>3259</v>
      </c>
      <c r="S989" t="s">
        <v>3275</v>
      </c>
      <c r="T989" t="s">
        <v>3295</v>
      </c>
      <c r="U989" t="s">
        <v>3313</v>
      </c>
      <c r="X989" t="s">
        <v>3354</v>
      </c>
      <c r="Y989" t="s">
        <v>2678</v>
      </c>
      <c r="Z989" t="s">
        <v>3392</v>
      </c>
      <c r="AA989" t="s">
        <v>3406</v>
      </c>
      <c r="AB989" t="s">
        <v>3423</v>
      </c>
      <c r="AC989">
        <f>HYPERLINK("https://lsnyc.legalserver.org/matter/dynamic-profile/view/1888533","19-1888533")</f>
        <v>0</v>
      </c>
      <c r="AD989" t="s">
        <v>3444</v>
      </c>
      <c r="AE989" t="s">
        <v>3464</v>
      </c>
      <c r="AF989" t="s">
        <v>4267</v>
      </c>
      <c r="AG989" t="s">
        <v>3392</v>
      </c>
      <c r="AH989" t="s">
        <v>4904</v>
      </c>
      <c r="AK989" t="s">
        <v>4911</v>
      </c>
      <c r="AL989" t="s">
        <v>2115</v>
      </c>
      <c r="AM989" t="s">
        <v>3295</v>
      </c>
      <c r="AN989" t="s">
        <v>3423</v>
      </c>
    </row>
    <row r="990" spans="1:40">
      <c r="A990" s="1" t="s">
        <v>1026</v>
      </c>
      <c r="B990" t="s">
        <v>2009</v>
      </c>
      <c r="C990" t="s">
        <v>2018</v>
      </c>
      <c r="D990" t="s">
        <v>2079</v>
      </c>
      <c r="E990" t="s">
        <v>2112</v>
      </c>
      <c r="F990" t="s">
        <v>2123</v>
      </c>
      <c r="G990" t="s">
        <v>2213</v>
      </c>
      <c r="H990">
        <v>10468</v>
      </c>
      <c r="I990" t="s">
        <v>2229</v>
      </c>
      <c r="J990">
        <v>2</v>
      </c>
      <c r="K990">
        <v>0</v>
      </c>
      <c r="L990" t="s">
        <v>2486</v>
      </c>
      <c r="M990" t="s">
        <v>2677</v>
      </c>
      <c r="P990" t="s">
        <v>2907</v>
      </c>
      <c r="Q990" t="s">
        <v>2113</v>
      </c>
      <c r="R990" t="s">
        <v>3259</v>
      </c>
      <c r="S990" t="s">
        <v>3267</v>
      </c>
      <c r="X990" t="s">
        <v>3354</v>
      </c>
      <c r="Y990" t="s">
        <v>2678</v>
      </c>
      <c r="Z990" t="s">
        <v>3359</v>
      </c>
      <c r="AA990" t="s">
        <v>3406</v>
      </c>
      <c r="AB990" t="s">
        <v>3415</v>
      </c>
      <c r="AC990">
        <f>HYPERLINK("https://lsnyc.legalserver.org/matter/dynamic-profile/view/1888632","19-1888632")</f>
        <v>0</v>
      </c>
      <c r="AD990" t="s">
        <v>3442</v>
      </c>
      <c r="AE990" t="s">
        <v>3448</v>
      </c>
      <c r="AF990" t="s">
        <v>4268</v>
      </c>
      <c r="AG990" t="s">
        <v>3359</v>
      </c>
      <c r="AH990" t="s">
        <v>4906</v>
      </c>
      <c r="AK990" t="s">
        <v>4911</v>
      </c>
      <c r="AL990" t="s">
        <v>2123</v>
      </c>
      <c r="AN990" t="s">
        <v>3415</v>
      </c>
    </row>
    <row r="991" spans="1:40">
      <c r="A991" s="1" t="s">
        <v>1027</v>
      </c>
      <c r="B991" t="s">
        <v>1998</v>
      </c>
      <c r="C991" t="s">
        <v>2016</v>
      </c>
      <c r="D991" t="s">
        <v>2067</v>
      </c>
      <c r="E991" t="s">
        <v>2112</v>
      </c>
      <c r="F991" t="s">
        <v>2117</v>
      </c>
      <c r="G991" t="s">
        <v>2212</v>
      </c>
      <c r="H991">
        <v>11691</v>
      </c>
      <c r="I991" t="s">
        <v>2229</v>
      </c>
      <c r="J991">
        <v>2</v>
      </c>
      <c r="K991">
        <v>1</v>
      </c>
      <c r="L991" t="s">
        <v>2260</v>
      </c>
      <c r="M991" t="s">
        <v>2677</v>
      </c>
      <c r="P991" t="s">
        <v>2747</v>
      </c>
      <c r="Q991" t="s">
        <v>2113</v>
      </c>
      <c r="R991" t="s">
        <v>3259</v>
      </c>
      <c r="S991" t="s">
        <v>3272</v>
      </c>
      <c r="X991" t="s">
        <v>3354</v>
      </c>
      <c r="Y991" t="s">
        <v>2678</v>
      </c>
      <c r="Z991" t="s">
        <v>3364</v>
      </c>
      <c r="AA991" t="s">
        <v>3406</v>
      </c>
      <c r="AB991" t="s">
        <v>3420</v>
      </c>
      <c r="AC991">
        <f>HYPERLINK("https://lsnyc.legalserver.org/matter/dynamic-profile/view/1888697","19-1888697")</f>
        <v>0</v>
      </c>
      <c r="AD991" t="s">
        <v>3443</v>
      </c>
      <c r="AE991" t="s">
        <v>3471</v>
      </c>
      <c r="AF991" t="s">
        <v>4269</v>
      </c>
      <c r="AG991" t="s">
        <v>3364</v>
      </c>
      <c r="AH991" t="s">
        <v>4904</v>
      </c>
      <c r="AL991" t="s">
        <v>2117</v>
      </c>
      <c r="AN991" t="s">
        <v>3420</v>
      </c>
    </row>
    <row r="992" spans="1:40">
      <c r="A992" s="1" t="s">
        <v>1028</v>
      </c>
      <c r="B992" t="s">
        <v>1998</v>
      </c>
      <c r="C992" t="s">
        <v>1998</v>
      </c>
      <c r="D992" t="s">
        <v>2094</v>
      </c>
      <c r="E992" t="s">
        <v>2112</v>
      </c>
      <c r="F992" t="s">
        <v>2117</v>
      </c>
      <c r="G992" t="s">
        <v>2211</v>
      </c>
      <c r="H992">
        <v>10003</v>
      </c>
      <c r="I992" t="s">
        <v>2229</v>
      </c>
      <c r="J992">
        <v>2</v>
      </c>
      <c r="K992">
        <v>0</v>
      </c>
      <c r="L992" t="s">
        <v>2260</v>
      </c>
      <c r="M992" t="s">
        <v>2677</v>
      </c>
      <c r="P992" t="s">
        <v>2908</v>
      </c>
      <c r="Q992" t="s">
        <v>2113</v>
      </c>
      <c r="R992" t="s">
        <v>3259</v>
      </c>
      <c r="S992" t="s">
        <v>3267</v>
      </c>
      <c r="T992" t="s">
        <v>3294</v>
      </c>
      <c r="U992" t="s">
        <v>2859</v>
      </c>
      <c r="X992" t="s">
        <v>3354</v>
      </c>
      <c r="Y992" t="s">
        <v>2678</v>
      </c>
      <c r="Z992" t="s">
        <v>3359</v>
      </c>
      <c r="AA992" t="s">
        <v>3406</v>
      </c>
      <c r="AB992" t="s">
        <v>3415</v>
      </c>
      <c r="AC992">
        <f>HYPERLINK("https://lsnyc.legalserver.org/matter/dynamic-profile/view/1888444","19-1888444")</f>
        <v>0</v>
      </c>
      <c r="AD992" t="s">
        <v>3446</v>
      </c>
      <c r="AE992" t="s">
        <v>3465</v>
      </c>
      <c r="AF992" t="s">
        <v>4270</v>
      </c>
      <c r="AG992" t="s">
        <v>3359</v>
      </c>
      <c r="AH992" t="s">
        <v>4906</v>
      </c>
      <c r="AK992" t="s">
        <v>4911</v>
      </c>
      <c r="AL992" t="s">
        <v>2117</v>
      </c>
      <c r="AM992" t="s">
        <v>3294</v>
      </c>
      <c r="AN992" t="s">
        <v>3415</v>
      </c>
    </row>
    <row r="993" spans="1:41">
      <c r="A993" s="1" t="s">
        <v>1029</v>
      </c>
      <c r="B993" t="s">
        <v>2001</v>
      </c>
      <c r="C993" t="s">
        <v>2012</v>
      </c>
      <c r="D993" t="s">
        <v>2027</v>
      </c>
      <c r="E993" t="s">
        <v>2111</v>
      </c>
      <c r="F993" t="s">
        <v>2114</v>
      </c>
      <c r="G993" t="s">
        <v>2216</v>
      </c>
      <c r="H993">
        <v>10301</v>
      </c>
      <c r="J993">
        <v>3</v>
      </c>
      <c r="K993">
        <v>2</v>
      </c>
      <c r="L993" t="s">
        <v>2260</v>
      </c>
      <c r="M993" t="s">
        <v>2677</v>
      </c>
      <c r="P993" t="s">
        <v>2908</v>
      </c>
      <c r="Q993" t="s">
        <v>2113</v>
      </c>
      <c r="R993" t="s">
        <v>3259</v>
      </c>
      <c r="S993" t="s">
        <v>3268</v>
      </c>
      <c r="T993" t="s">
        <v>3294</v>
      </c>
      <c r="U993" t="s">
        <v>2868</v>
      </c>
      <c r="X993" t="s">
        <v>3354</v>
      </c>
      <c r="Y993" t="s">
        <v>2678</v>
      </c>
      <c r="Z993" t="s">
        <v>3368</v>
      </c>
      <c r="AA993" t="s">
        <v>3406</v>
      </c>
      <c r="AB993" t="s">
        <v>3416</v>
      </c>
      <c r="AC993">
        <f>HYPERLINK("https://lsnyc.legalserver.org/matter/dynamic-profile/view/1888504","19-1888504")</f>
        <v>0</v>
      </c>
      <c r="AD993" t="s">
        <v>3447</v>
      </c>
      <c r="AE993" t="s">
        <v>3478</v>
      </c>
      <c r="AF993" t="s">
        <v>4271</v>
      </c>
      <c r="AG993" t="s">
        <v>3368</v>
      </c>
      <c r="AH993" t="s">
        <v>4904</v>
      </c>
      <c r="AK993" t="s">
        <v>4911</v>
      </c>
      <c r="AL993" t="s">
        <v>2114</v>
      </c>
      <c r="AM993" t="s">
        <v>3294</v>
      </c>
      <c r="AN993" t="s">
        <v>3416</v>
      </c>
    </row>
    <row r="994" spans="1:41">
      <c r="A994" s="1" t="s">
        <v>1030</v>
      </c>
      <c r="B994" t="s">
        <v>2016</v>
      </c>
      <c r="C994" t="s">
        <v>2003</v>
      </c>
      <c r="D994" t="s">
        <v>2055</v>
      </c>
      <c r="E994" t="s">
        <v>2111</v>
      </c>
      <c r="F994" t="s">
        <v>2117</v>
      </c>
      <c r="G994" t="s">
        <v>2211</v>
      </c>
      <c r="H994">
        <v>10033</v>
      </c>
      <c r="I994" t="s">
        <v>2229</v>
      </c>
      <c r="J994">
        <v>3</v>
      </c>
      <c r="K994">
        <v>2</v>
      </c>
      <c r="L994" t="s">
        <v>2260</v>
      </c>
      <c r="M994" t="s">
        <v>2677</v>
      </c>
      <c r="P994" t="s">
        <v>2741</v>
      </c>
      <c r="Q994" t="s">
        <v>2113</v>
      </c>
      <c r="R994" t="s">
        <v>3259</v>
      </c>
      <c r="S994" t="s">
        <v>3267</v>
      </c>
      <c r="X994" t="s">
        <v>3354</v>
      </c>
      <c r="Y994" t="s">
        <v>2678</v>
      </c>
      <c r="Z994" t="s">
        <v>3380</v>
      </c>
      <c r="AA994" t="s">
        <v>3406</v>
      </c>
      <c r="AB994" t="s">
        <v>3415</v>
      </c>
      <c r="AC994">
        <f>HYPERLINK("https://lsnyc.legalserver.org/matter/dynamic-profile/view/1888276","19-1888276")</f>
        <v>0</v>
      </c>
      <c r="AD994" t="s">
        <v>3442</v>
      </c>
      <c r="AE994" t="s">
        <v>3448</v>
      </c>
      <c r="AF994" t="s">
        <v>4044</v>
      </c>
      <c r="AG994" t="s">
        <v>3380</v>
      </c>
      <c r="AH994" t="s">
        <v>4906</v>
      </c>
      <c r="AL994" t="s">
        <v>2117</v>
      </c>
      <c r="AN994" t="s">
        <v>3415</v>
      </c>
    </row>
    <row r="995" spans="1:41">
      <c r="A995" s="1" t="s">
        <v>1031</v>
      </c>
      <c r="B995" t="s">
        <v>2016</v>
      </c>
      <c r="C995" t="s">
        <v>1998</v>
      </c>
      <c r="D995" t="s">
        <v>2053</v>
      </c>
      <c r="E995" t="s">
        <v>2112</v>
      </c>
      <c r="F995" t="s">
        <v>2117</v>
      </c>
      <c r="G995" t="s">
        <v>2211</v>
      </c>
      <c r="H995">
        <v>10033</v>
      </c>
      <c r="I995" t="s">
        <v>2229</v>
      </c>
      <c r="J995">
        <v>3</v>
      </c>
      <c r="K995">
        <v>2</v>
      </c>
      <c r="L995" t="s">
        <v>2260</v>
      </c>
      <c r="M995" t="s">
        <v>2677</v>
      </c>
      <c r="P995" t="s">
        <v>2741</v>
      </c>
      <c r="Q995" t="s">
        <v>2113</v>
      </c>
      <c r="R995" t="s">
        <v>3259</v>
      </c>
      <c r="S995" t="s">
        <v>3267</v>
      </c>
      <c r="V995" t="s">
        <v>3353</v>
      </c>
      <c r="X995" t="s">
        <v>3354</v>
      </c>
      <c r="Y995" t="s">
        <v>2678</v>
      </c>
      <c r="Z995" t="s">
        <v>3380</v>
      </c>
      <c r="AA995" t="s">
        <v>3406</v>
      </c>
      <c r="AB995" t="s">
        <v>3415</v>
      </c>
      <c r="AC995">
        <f>HYPERLINK("https://lsnyc.legalserver.org/matter/dynamic-profile/view/1888283","19-1888283")</f>
        <v>0</v>
      </c>
      <c r="AD995" t="s">
        <v>3442</v>
      </c>
      <c r="AE995" t="s">
        <v>3448</v>
      </c>
      <c r="AF995" t="s">
        <v>4071</v>
      </c>
      <c r="AG995" t="s">
        <v>3380</v>
      </c>
      <c r="AH995" t="s">
        <v>4906</v>
      </c>
      <c r="AL995" t="s">
        <v>2117</v>
      </c>
      <c r="AN995" t="s">
        <v>3415</v>
      </c>
      <c r="AO995" t="s">
        <v>3353</v>
      </c>
    </row>
    <row r="996" spans="1:41">
      <c r="A996" s="1" t="s">
        <v>1032</v>
      </c>
      <c r="B996" t="s">
        <v>2012</v>
      </c>
      <c r="C996" t="s">
        <v>1998</v>
      </c>
      <c r="D996" t="s">
        <v>2076</v>
      </c>
      <c r="E996" t="s">
        <v>2111</v>
      </c>
      <c r="F996" t="s">
        <v>2134</v>
      </c>
      <c r="G996" t="s">
        <v>2216</v>
      </c>
      <c r="H996">
        <v>10301</v>
      </c>
      <c r="I996" t="s">
        <v>2232</v>
      </c>
      <c r="J996">
        <v>1</v>
      </c>
      <c r="K996">
        <v>0</v>
      </c>
      <c r="L996" t="s">
        <v>2305</v>
      </c>
      <c r="M996" t="s">
        <v>2677</v>
      </c>
      <c r="P996" t="s">
        <v>2909</v>
      </c>
      <c r="Q996" t="s">
        <v>2113</v>
      </c>
      <c r="R996" t="s">
        <v>3259</v>
      </c>
      <c r="S996" t="s">
        <v>3268</v>
      </c>
      <c r="X996" t="s">
        <v>3354</v>
      </c>
      <c r="Y996" t="s">
        <v>2678</v>
      </c>
      <c r="Z996" t="s">
        <v>3368</v>
      </c>
      <c r="AA996" t="s">
        <v>3406</v>
      </c>
      <c r="AB996" t="s">
        <v>3416</v>
      </c>
      <c r="AC996">
        <f>HYPERLINK("https://lsnyc.legalserver.org/matter/dynamic-profile/view/1888295","19-1888295")</f>
        <v>0</v>
      </c>
      <c r="AD996" t="s">
        <v>3447</v>
      </c>
      <c r="AE996" t="s">
        <v>3458</v>
      </c>
      <c r="AF996" t="s">
        <v>4272</v>
      </c>
      <c r="AG996" t="s">
        <v>3368</v>
      </c>
      <c r="AH996" t="s">
        <v>4904</v>
      </c>
      <c r="AK996" t="s">
        <v>4911</v>
      </c>
      <c r="AL996" t="s">
        <v>2134</v>
      </c>
      <c r="AN996" t="s">
        <v>3416</v>
      </c>
    </row>
    <row r="997" spans="1:41">
      <c r="A997" s="1" t="s">
        <v>1033</v>
      </c>
      <c r="B997" t="s">
        <v>2002</v>
      </c>
      <c r="C997" t="s">
        <v>2002</v>
      </c>
      <c r="D997" t="s">
        <v>2087</v>
      </c>
      <c r="E997" t="s">
        <v>2111</v>
      </c>
      <c r="F997" t="s">
        <v>2189</v>
      </c>
      <c r="G997" t="s">
        <v>2214</v>
      </c>
      <c r="H997">
        <v>11212</v>
      </c>
      <c r="I997" t="s">
        <v>2230</v>
      </c>
      <c r="J997">
        <v>2</v>
      </c>
      <c r="K997">
        <v>0</v>
      </c>
      <c r="L997" t="s">
        <v>2256</v>
      </c>
      <c r="M997" t="s">
        <v>2677</v>
      </c>
      <c r="P997" t="s">
        <v>2909</v>
      </c>
      <c r="Q997" t="s">
        <v>3255</v>
      </c>
      <c r="R997" t="s">
        <v>3258</v>
      </c>
      <c r="S997" t="s">
        <v>3273</v>
      </c>
      <c r="T997" t="s">
        <v>3294</v>
      </c>
      <c r="U997" t="s">
        <v>2761</v>
      </c>
      <c r="V997" t="s">
        <v>3352</v>
      </c>
      <c r="X997" t="s">
        <v>3354</v>
      </c>
      <c r="Y997" t="s">
        <v>2678</v>
      </c>
      <c r="Z997" t="s">
        <v>3370</v>
      </c>
      <c r="AA997" t="s">
        <v>3406</v>
      </c>
      <c r="AB997" t="s">
        <v>3421</v>
      </c>
      <c r="AC997">
        <f>HYPERLINK("https://lsnyc.legalserver.org/matter/dynamic-profile/view/1888344","19-1888344")</f>
        <v>0</v>
      </c>
      <c r="AD997" t="s">
        <v>3446</v>
      </c>
      <c r="AE997" t="s">
        <v>3473</v>
      </c>
      <c r="AF997" t="s">
        <v>4273</v>
      </c>
      <c r="AG997" t="s">
        <v>3370</v>
      </c>
      <c r="AH997" t="s">
        <v>4904</v>
      </c>
      <c r="AL997" t="s">
        <v>2189</v>
      </c>
      <c r="AM997" t="s">
        <v>3294</v>
      </c>
      <c r="AN997" t="s">
        <v>3421</v>
      </c>
      <c r="AO997" t="s">
        <v>3352</v>
      </c>
    </row>
    <row r="998" spans="1:41">
      <c r="A998" s="1" t="s">
        <v>1034</v>
      </c>
      <c r="B998" t="s">
        <v>2002</v>
      </c>
      <c r="C998" t="s">
        <v>2002</v>
      </c>
      <c r="D998" t="s">
        <v>2087</v>
      </c>
      <c r="E998" t="s">
        <v>2111</v>
      </c>
      <c r="F998" t="s">
        <v>2189</v>
      </c>
      <c r="G998" t="s">
        <v>2214</v>
      </c>
      <c r="H998">
        <v>11212</v>
      </c>
      <c r="I998" t="s">
        <v>2230</v>
      </c>
      <c r="J998">
        <v>2</v>
      </c>
      <c r="K998">
        <v>0</v>
      </c>
      <c r="L998" t="s">
        <v>2256</v>
      </c>
      <c r="M998" t="s">
        <v>2677</v>
      </c>
      <c r="P998" t="s">
        <v>2909</v>
      </c>
      <c r="Q998" t="s">
        <v>3255</v>
      </c>
      <c r="R998" t="s">
        <v>3258</v>
      </c>
      <c r="S998" t="s">
        <v>3269</v>
      </c>
      <c r="T998" t="s">
        <v>3294</v>
      </c>
      <c r="U998" t="s">
        <v>2761</v>
      </c>
      <c r="V998" t="s">
        <v>3352</v>
      </c>
      <c r="X998" t="s">
        <v>3354</v>
      </c>
      <c r="Y998" t="s">
        <v>2678</v>
      </c>
      <c r="Z998" t="s">
        <v>3361</v>
      </c>
      <c r="AA998" t="s">
        <v>3406</v>
      </c>
      <c r="AB998" t="s">
        <v>3417</v>
      </c>
      <c r="AC998">
        <f>HYPERLINK("https://lsnyc.legalserver.org/matter/dynamic-profile/view/1888352","19-1888352")</f>
        <v>0</v>
      </c>
      <c r="AD998" t="s">
        <v>3446</v>
      </c>
      <c r="AE998" t="s">
        <v>3473</v>
      </c>
      <c r="AF998" t="s">
        <v>4273</v>
      </c>
      <c r="AG998" t="s">
        <v>3361</v>
      </c>
      <c r="AH998" t="s">
        <v>4904</v>
      </c>
      <c r="AK998" t="s">
        <v>4911</v>
      </c>
      <c r="AL998" t="s">
        <v>2189</v>
      </c>
      <c r="AM998" t="s">
        <v>3294</v>
      </c>
      <c r="AN998" t="s">
        <v>3417</v>
      </c>
      <c r="AO998" t="s">
        <v>3352</v>
      </c>
    </row>
    <row r="999" spans="1:41">
      <c r="A999" s="1" t="s">
        <v>1035</v>
      </c>
      <c r="B999" t="s">
        <v>2002</v>
      </c>
      <c r="C999" t="s">
        <v>2002</v>
      </c>
      <c r="D999" t="s">
        <v>2087</v>
      </c>
      <c r="E999" t="s">
        <v>2111</v>
      </c>
      <c r="F999" t="s">
        <v>2189</v>
      </c>
      <c r="G999" t="s">
        <v>2214</v>
      </c>
      <c r="H999">
        <v>11212</v>
      </c>
      <c r="I999" t="s">
        <v>2230</v>
      </c>
      <c r="J999">
        <v>2</v>
      </c>
      <c r="K999">
        <v>0</v>
      </c>
      <c r="L999" t="s">
        <v>2256</v>
      </c>
      <c r="M999" t="s">
        <v>2677</v>
      </c>
      <c r="P999" t="s">
        <v>2909</v>
      </c>
      <c r="Q999" t="s">
        <v>3255</v>
      </c>
      <c r="R999" t="s">
        <v>3258</v>
      </c>
      <c r="S999" t="s">
        <v>3262</v>
      </c>
      <c r="T999" t="s">
        <v>3294</v>
      </c>
      <c r="U999" t="s">
        <v>2761</v>
      </c>
      <c r="V999" t="s">
        <v>3352</v>
      </c>
      <c r="X999" t="s">
        <v>3354</v>
      </c>
      <c r="Y999" t="s">
        <v>2678</v>
      </c>
      <c r="Z999" t="s">
        <v>3355</v>
      </c>
      <c r="AA999" t="s">
        <v>3406</v>
      </c>
      <c r="AB999" t="s">
        <v>3410</v>
      </c>
      <c r="AC999">
        <f>HYPERLINK("https://lsnyc.legalserver.org/matter/dynamic-profile/view/1888354","19-1888354")</f>
        <v>0</v>
      </c>
      <c r="AD999" t="s">
        <v>3446</v>
      </c>
      <c r="AE999" t="s">
        <v>3473</v>
      </c>
      <c r="AF999" t="s">
        <v>4273</v>
      </c>
      <c r="AG999" t="s">
        <v>3355</v>
      </c>
      <c r="AH999" t="s">
        <v>4904</v>
      </c>
      <c r="AK999" t="s">
        <v>4911</v>
      </c>
      <c r="AL999" t="s">
        <v>2189</v>
      </c>
      <c r="AM999" t="s">
        <v>3294</v>
      </c>
      <c r="AN999" t="s">
        <v>3410</v>
      </c>
      <c r="AO999" t="s">
        <v>3352</v>
      </c>
    </row>
    <row r="1000" spans="1:41">
      <c r="A1000" s="1" t="s">
        <v>1036</v>
      </c>
      <c r="B1000" t="s">
        <v>1998</v>
      </c>
      <c r="C1000" t="s">
        <v>2002</v>
      </c>
      <c r="D1000" t="s">
        <v>2099</v>
      </c>
      <c r="E1000" t="s">
        <v>2112</v>
      </c>
      <c r="F1000" t="s">
        <v>2188</v>
      </c>
      <c r="G1000" t="s">
        <v>2212</v>
      </c>
      <c r="H1000">
        <v>11433</v>
      </c>
      <c r="J1000">
        <v>2</v>
      </c>
      <c r="K1000">
        <v>0</v>
      </c>
      <c r="L1000" t="s">
        <v>2316</v>
      </c>
      <c r="M1000" t="s">
        <v>2677</v>
      </c>
      <c r="P1000" t="s">
        <v>2909</v>
      </c>
      <c r="Q1000" t="s">
        <v>3255</v>
      </c>
      <c r="R1000" t="s">
        <v>3258</v>
      </c>
      <c r="S1000" t="s">
        <v>3269</v>
      </c>
      <c r="T1000" t="s">
        <v>3294</v>
      </c>
      <c r="U1000" t="s">
        <v>2811</v>
      </c>
      <c r="X1000" t="s">
        <v>3354</v>
      </c>
      <c r="Y1000" t="s">
        <v>2678</v>
      </c>
      <c r="Z1000" t="s">
        <v>3361</v>
      </c>
      <c r="AA1000" t="s">
        <v>3406</v>
      </c>
      <c r="AB1000" t="s">
        <v>3417</v>
      </c>
      <c r="AC1000">
        <f>HYPERLINK("https://lsnyc.legalserver.org/matter/dynamic-profile/view/1888356","19-1888356")</f>
        <v>0</v>
      </c>
      <c r="AD1000" t="s">
        <v>3443</v>
      </c>
      <c r="AE1000" t="s">
        <v>3449</v>
      </c>
      <c r="AF1000" t="s">
        <v>4236</v>
      </c>
      <c r="AG1000" t="s">
        <v>3361</v>
      </c>
      <c r="AH1000" t="s">
        <v>4904</v>
      </c>
      <c r="AK1000" t="s">
        <v>4911</v>
      </c>
      <c r="AL1000" t="s">
        <v>2188</v>
      </c>
      <c r="AM1000" t="s">
        <v>3294</v>
      </c>
      <c r="AN1000" t="s">
        <v>3417</v>
      </c>
    </row>
    <row r="1001" spans="1:41">
      <c r="A1001" s="1" t="s">
        <v>1037</v>
      </c>
      <c r="B1001" t="s">
        <v>1998</v>
      </c>
      <c r="C1001" t="s">
        <v>2005</v>
      </c>
      <c r="D1001" t="s">
        <v>2084</v>
      </c>
      <c r="E1001" t="s">
        <v>2112</v>
      </c>
      <c r="F1001" t="s">
        <v>2123</v>
      </c>
      <c r="G1001" t="s">
        <v>2213</v>
      </c>
      <c r="H1001">
        <v>10457</v>
      </c>
      <c r="I1001" t="s">
        <v>2230</v>
      </c>
      <c r="J1001">
        <v>3</v>
      </c>
      <c r="K1001">
        <v>1</v>
      </c>
      <c r="L1001" t="s">
        <v>2260</v>
      </c>
      <c r="M1001" t="s">
        <v>2677</v>
      </c>
      <c r="P1001" t="s">
        <v>2759</v>
      </c>
      <c r="Q1001" t="s">
        <v>2113</v>
      </c>
      <c r="R1001" t="s">
        <v>3259</v>
      </c>
      <c r="S1001" t="s">
        <v>3287</v>
      </c>
      <c r="T1001" t="s">
        <v>3294</v>
      </c>
      <c r="U1001" t="s">
        <v>2809</v>
      </c>
      <c r="X1001" t="s">
        <v>3354</v>
      </c>
      <c r="Y1001" t="s">
        <v>2678</v>
      </c>
      <c r="Z1001" t="s">
        <v>3378</v>
      </c>
      <c r="AA1001" t="s">
        <v>3406</v>
      </c>
      <c r="AB1001" t="s">
        <v>3435</v>
      </c>
      <c r="AC1001">
        <f>HYPERLINK("https://lsnyc.legalserver.org/matter/dynamic-profile/view/1888392","19-1888392")</f>
        <v>0</v>
      </c>
      <c r="AD1001" t="s">
        <v>3443</v>
      </c>
      <c r="AE1001" t="s">
        <v>3471</v>
      </c>
      <c r="AF1001" t="s">
        <v>3927</v>
      </c>
      <c r="AG1001" t="s">
        <v>3378</v>
      </c>
      <c r="AH1001" t="s">
        <v>4904</v>
      </c>
      <c r="AL1001" t="s">
        <v>2123</v>
      </c>
      <c r="AM1001" t="s">
        <v>3294</v>
      </c>
      <c r="AN1001" t="s">
        <v>3435</v>
      </c>
    </row>
    <row r="1002" spans="1:41">
      <c r="A1002" s="1" t="s">
        <v>1038</v>
      </c>
      <c r="B1002" t="s">
        <v>2009</v>
      </c>
      <c r="C1002" t="s">
        <v>1998</v>
      </c>
      <c r="D1002" t="s">
        <v>2088</v>
      </c>
      <c r="E1002" t="s">
        <v>2111</v>
      </c>
      <c r="F1002" t="s">
        <v>2117</v>
      </c>
      <c r="G1002" t="s">
        <v>2216</v>
      </c>
      <c r="H1002">
        <v>10301</v>
      </c>
      <c r="I1002" t="s">
        <v>2229</v>
      </c>
      <c r="J1002">
        <v>2</v>
      </c>
      <c r="K1002">
        <v>1</v>
      </c>
      <c r="L1002" t="s">
        <v>2260</v>
      </c>
      <c r="M1002" t="s">
        <v>2677</v>
      </c>
      <c r="P1002" t="s">
        <v>2909</v>
      </c>
      <c r="Q1002" t="s">
        <v>3255</v>
      </c>
      <c r="R1002" t="s">
        <v>3259</v>
      </c>
      <c r="S1002" t="s">
        <v>3267</v>
      </c>
      <c r="X1002" t="s">
        <v>3354</v>
      </c>
      <c r="Y1002" t="s">
        <v>2678</v>
      </c>
      <c r="Z1002" t="s">
        <v>3359</v>
      </c>
      <c r="AA1002" t="s">
        <v>3406</v>
      </c>
      <c r="AB1002" t="s">
        <v>3415</v>
      </c>
      <c r="AC1002">
        <f>HYPERLINK("https://lsnyc.legalserver.org/matter/dynamic-profile/view/1888494","19-1888494")</f>
        <v>0</v>
      </c>
      <c r="AD1002" t="s">
        <v>3447</v>
      </c>
      <c r="AE1002" t="s">
        <v>3459</v>
      </c>
      <c r="AF1002" t="s">
        <v>4274</v>
      </c>
      <c r="AG1002" t="s">
        <v>3359</v>
      </c>
      <c r="AH1002" t="s">
        <v>4906</v>
      </c>
      <c r="AK1002" t="s">
        <v>4911</v>
      </c>
      <c r="AL1002" t="s">
        <v>2117</v>
      </c>
      <c r="AN1002" t="s">
        <v>3415</v>
      </c>
    </row>
    <row r="1003" spans="1:41">
      <c r="A1003" s="1" t="s">
        <v>1039</v>
      </c>
      <c r="B1003" t="s">
        <v>2009</v>
      </c>
      <c r="C1003" t="s">
        <v>1998</v>
      </c>
      <c r="D1003" t="s">
        <v>2088</v>
      </c>
      <c r="E1003" t="s">
        <v>2111</v>
      </c>
      <c r="F1003" t="s">
        <v>2117</v>
      </c>
      <c r="G1003" t="s">
        <v>2216</v>
      </c>
      <c r="H1003">
        <v>10301</v>
      </c>
      <c r="I1003" t="s">
        <v>2229</v>
      </c>
      <c r="J1003">
        <v>2</v>
      </c>
      <c r="K1003">
        <v>1</v>
      </c>
      <c r="L1003" t="s">
        <v>2260</v>
      </c>
      <c r="M1003" t="s">
        <v>2677</v>
      </c>
      <c r="P1003" t="s">
        <v>2909</v>
      </c>
      <c r="Q1003" t="s">
        <v>3255</v>
      </c>
      <c r="R1003" t="s">
        <v>3260</v>
      </c>
      <c r="S1003" t="s">
        <v>3266</v>
      </c>
      <c r="X1003" t="s">
        <v>3354</v>
      </c>
      <c r="Y1003" t="s">
        <v>2678</v>
      </c>
      <c r="Z1003" t="s">
        <v>3363</v>
      </c>
      <c r="AA1003" t="s">
        <v>3406</v>
      </c>
      <c r="AB1003" t="s">
        <v>3414</v>
      </c>
      <c r="AC1003">
        <f>HYPERLINK("https://lsnyc.legalserver.org/matter/dynamic-profile/view/1888498","19-1888498")</f>
        <v>0</v>
      </c>
      <c r="AD1003" t="s">
        <v>3447</v>
      </c>
      <c r="AE1003" t="s">
        <v>3459</v>
      </c>
      <c r="AF1003" t="s">
        <v>4274</v>
      </c>
      <c r="AG1003" t="s">
        <v>3363</v>
      </c>
      <c r="AH1003" t="s">
        <v>4905</v>
      </c>
      <c r="AK1003" t="s">
        <v>4911</v>
      </c>
      <c r="AL1003" t="s">
        <v>2117</v>
      </c>
      <c r="AN1003" t="s">
        <v>3414</v>
      </c>
    </row>
    <row r="1004" spans="1:41">
      <c r="A1004" s="1" t="s">
        <v>1040</v>
      </c>
      <c r="B1004" t="s">
        <v>2009</v>
      </c>
      <c r="C1004" t="s">
        <v>1998</v>
      </c>
      <c r="D1004" t="s">
        <v>2048</v>
      </c>
      <c r="E1004" t="s">
        <v>2111</v>
      </c>
      <c r="F1004" t="s">
        <v>2117</v>
      </c>
      <c r="G1004" t="s">
        <v>2216</v>
      </c>
      <c r="H1004">
        <v>10301</v>
      </c>
      <c r="I1004" t="s">
        <v>2229</v>
      </c>
      <c r="J1004">
        <v>2</v>
      </c>
      <c r="K1004">
        <v>1</v>
      </c>
      <c r="L1004" t="s">
        <v>2260</v>
      </c>
      <c r="M1004" t="s">
        <v>2677</v>
      </c>
      <c r="P1004" t="s">
        <v>2909</v>
      </c>
      <c r="Q1004" t="s">
        <v>2113</v>
      </c>
      <c r="R1004" t="s">
        <v>3259</v>
      </c>
      <c r="S1004" t="s">
        <v>3267</v>
      </c>
      <c r="X1004" t="s">
        <v>3354</v>
      </c>
      <c r="Y1004" t="s">
        <v>2678</v>
      </c>
      <c r="Z1004" t="s">
        <v>3359</v>
      </c>
      <c r="AA1004" t="s">
        <v>3406</v>
      </c>
      <c r="AB1004" t="s">
        <v>3415</v>
      </c>
      <c r="AC1004">
        <f>HYPERLINK("https://lsnyc.legalserver.org/matter/dynamic-profile/view/1888500","19-1888500")</f>
        <v>0</v>
      </c>
      <c r="AD1004" t="s">
        <v>3447</v>
      </c>
      <c r="AE1004" t="s">
        <v>3459</v>
      </c>
      <c r="AF1004" t="s">
        <v>4275</v>
      </c>
      <c r="AG1004" t="s">
        <v>3359</v>
      </c>
      <c r="AH1004" t="s">
        <v>4906</v>
      </c>
      <c r="AK1004" t="s">
        <v>4911</v>
      </c>
      <c r="AL1004" t="s">
        <v>2117</v>
      </c>
      <c r="AN1004" t="s">
        <v>3415</v>
      </c>
    </row>
    <row r="1005" spans="1:41">
      <c r="A1005" s="1" t="s">
        <v>1041</v>
      </c>
      <c r="B1005" t="s">
        <v>2001</v>
      </c>
      <c r="C1005" t="s">
        <v>2012</v>
      </c>
      <c r="D1005" t="s">
        <v>2058</v>
      </c>
      <c r="E1005" t="s">
        <v>2111</v>
      </c>
      <c r="F1005" t="s">
        <v>2114</v>
      </c>
      <c r="G1005" t="s">
        <v>2216</v>
      </c>
      <c r="H1005">
        <v>10301</v>
      </c>
      <c r="I1005" t="s">
        <v>2229</v>
      </c>
      <c r="J1005">
        <v>3</v>
      </c>
      <c r="K1005">
        <v>2</v>
      </c>
      <c r="L1005" t="s">
        <v>2260</v>
      </c>
      <c r="M1005" t="s">
        <v>2677</v>
      </c>
      <c r="P1005" t="s">
        <v>2909</v>
      </c>
      <c r="Q1005" t="s">
        <v>2113</v>
      </c>
      <c r="R1005" t="s">
        <v>3259</v>
      </c>
      <c r="S1005" t="s">
        <v>3268</v>
      </c>
      <c r="T1005" t="s">
        <v>3294</v>
      </c>
      <c r="U1005" t="s">
        <v>2868</v>
      </c>
      <c r="X1005" t="s">
        <v>3354</v>
      </c>
      <c r="Y1005" t="s">
        <v>2678</v>
      </c>
      <c r="Z1005" t="s">
        <v>3368</v>
      </c>
      <c r="AA1005" t="s">
        <v>3406</v>
      </c>
      <c r="AB1005" t="s">
        <v>3416</v>
      </c>
      <c r="AC1005">
        <f>HYPERLINK("https://lsnyc.legalserver.org/matter/dynamic-profile/view/1888501","19-1888501")</f>
        <v>0</v>
      </c>
      <c r="AD1005" t="s">
        <v>3447</v>
      </c>
      <c r="AE1005" t="s">
        <v>3478</v>
      </c>
      <c r="AF1005" t="s">
        <v>4276</v>
      </c>
      <c r="AG1005" t="s">
        <v>3368</v>
      </c>
      <c r="AH1005" t="s">
        <v>4904</v>
      </c>
      <c r="AK1005" t="s">
        <v>4911</v>
      </c>
      <c r="AL1005" t="s">
        <v>2114</v>
      </c>
      <c r="AM1005" t="s">
        <v>3294</v>
      </c>
      <c r="AN1005" t="s">
        <v>3416</v>
      </c>
    </row>
    <row r="1006" spans="1:41">
      <c r="A1006" s="1" t="s">
        <v>1042</v>
      </c>
      <c r="B1006" t="s">
        <v>2001</v>
      </c>
      <c r="C1006" t="s">
        <v>2021</v>
      </c>
      <c r="D1006" t="s">
        <v>2073</v>
      </c>
      <c r="E1006" t="s">
        <v>2111</v>
      </c>
      <c r="F1006" t="s">
        <v>2114</v>
      </c>
      <c r="G1006" t="s">
        <v>2216</v>
      </c>
      <c r="H1006">
        <v>10301</v>
      </c>
      <c r="J1006">
        <v>3</v>
      </c>
      <c r="K1006">
        <v>2</v>
      </c>
      <c r="L1006" t="s">
        <v>2260</v>
      </c>
      <c r="M1006" t="s">
        <v>2677</v>
      </c>
      <c r="P1006" t="s">
        <v>2909</v>
      </c>
      <c r="Q1006" t="s">
        <v>3255</v>
      </c>
      <c r="R1006" t="s">
        <v>3259</v>
      </c>
      <c r="S1006" t="s">
        <v>3268</v>
      </c>
      <c r="X1006" t="s">
        <v>3354</v>
      </c>
      <c r="Y1006" t="s">
        <v>2678</v>
      </c>
      <c r="Z1006" t="s">
        <v>3368</v>
      </c>
      <c r="AA1006" t="s">
        <v>3406</v>
      </c>
      <c r="AB1006" t="s">
        <v>3416</v>
      </c>
      <c r="AC1006">
        <f>HYPERLINK("https://lsnyc.legalserver.org/matter/dynamic-profile/view/1888505","19-1888505")</f>
        <v>0</v>
      </c>
      <c r="AD1006" t="s">
        <v>3447</v>
      </c>
      <c r="AE1006" t="s">
        <v>3478</v>
      </c>
      <c r="AF1006" t="s">
        <v>4277</v>
      </c>
      <c r="AG1006" t="s">
        <v>3368</v>
      </c>
      <c r="AH1006" t="s">
        <v>4904</v>
      </c>
      <c r="AK1006" t="s">
        <v>4911</v>
      </c>
      <c r="AL1006" t="s">
        <v>2114</v>
      </c>
      <c r="AN1006" t="s">
        <v>3416</v>
      </c>
    </row>
    <row r="1007" spans="1:41">
      <c r="A1007" s="1" t="s">
        <v>1043</v>
      </c>
      <c r="B1007" t="s">
        <v>2016</v>
      </c>
      <c r="C1007" t="s">
        <v>2001</v>
      </c>
      <c r="D1007" t="s">
        <v>2067</v>
      </c>
      <c r="E1007" t="s">
        <v>2111</v>
      </c>
      <c r="F1007" t="s">
        <v>2115</v>
      </c>
      <c r="G1007" t="s">
        <v>2212</v>
      </c>
      <c r="H1007">
        <v>11435</v>
      </c>
      <c r="I1007" t="s">
        <v>2229</v>
      </c>
      <c r="J1007">
        <v>4</v>
      </c>
      <c r="K1007">
        <v>2</v>
      </c>
      <c r="L1007" t="s">
        <v>2429</v>
      </c>
      <c r="M1007" t="s">
        <v>2677</v>
      </c>
      <c r="P1007" t="s">
        <v>2772</v>
      </c>
      <c r="Q1007" t="s">
        <v>2113</v>
      </c>
      <c r="R1007" t="s">
        <v>3259</v>
      </c>
      <c r="S1007" t="s">
        <v>3272</v>
      </c>
      <c r="T1007" t="s">
        <v>3294</v>
      </c>
      <c r="U1007" t="s">
        <v>2908</v>
      </c>
      <c r="X1007" t="s">
        <v>3354</v>
      </c>
      <c r="Y1007" t="s">
        <v>2678</v>
      </c>
      <c r="Z1007" t="s">
        <v>3364</v>
      </c>
      <c r="AA1007" t="s">
        <v>3406</v>
      </c>
      <c r="AB1007" t="s">
        <v>3420</v>
      </c>
      <c r="AC1007">
        <f>HYPERLINK("https://lsnyc.legalserver.org/matter/dynamic-profile/view/1888529","19-1888529")</f>
        <v>0</v>
      </c>
      <c r="AD1007" t="s">
        <v>3443</v>
      </c>
      <c r="AE1007" t="s">
        <v>3450</v>
      </c>
      <c r="AF1007" t="s">
        <v>4278</v>
      </c>
      <c r="AG1007" t="s">
        <v>3364</v>
      </c>
      <c r="AH1007" t="s">
        <v>4904</v>
      </c>
      <c r="AL1007" t="s">
        <v>2115</v>
      </c>
      <c r="AM1007" t="s">
        <v>3294</v>
      </c>
      <c r="AN1007" t="s">
        <v>3420</v>
      </c>
    </row>
    <row r="1008" spans="1:41">
      <c r="A1008" s="1" t="s">
        <v>1044</v>
      </c>
      <c r="B1008" t="s">
        <v>2001</v>
      </c>
      <c r="C1008" t="s">
        <v>2012</v>
      </c>
      <c r="D1008" t="s">
        <v>2067</v>
      </c>
      <c r="E1008" t="s">
        <v>2112</v>
      </c>
      <c r="F1008" t="s">
        <v>2115</v>
      </c>
      <c r="G1008" t="s">
        <v>2213</v>
      </c>
      <c r="H1008">
        <v>10460</v>
      </c>
      <c r="I1008" t="s">
        <v>2229</v>
      </c>
      <c r="J1008">
        <v>4</v>
      </c>
      <c r="K1008">
        <v>2</v>
      </c>
      <c r="L1008" t="s">
        <v>2275</v>
      </c>
      <c r="M1008" t="s">
        <v>2677</v>
      </c>
      <c r="P1008" t="s">
        <v>2910</v>
      </c>
      <c r="Q1008" t="s">
        <v>3255</v>
      </c>
      <c r="R1008" t="s">
        <v>3259</v>
      </c>
      <c r="S1008" t="s">
        <v>3267</v>
      </c>
      <c r="X1008" t="s">
        <v>3354</v>
      </c>
      <c r="Y1008" t="s">
        <v>2678</v>
      </c>
      <c r="Z1008" t="s">
        <v>3359</v>
      </c>
      <c r="AA1008" t="s">
        <v>3406</v>
      </c>
      <c r="AB1008" t="s">
        <v>3415</v>
      </c>
      <c r="AC1008">
        <f>HYPERLINK("https://lsnyc.legalserver.org/matter/dynamic-profile/view/1888151","19-1888151")</f>
        <v>0</v>
      </c>
      <c r="AD1008" t="s">
        <v>3444</v>
      </c>
      <c r="AE1008" t="s">
        <v>3466</v>
      </c>
      <c r="AF1008" t="s">
        <v>4279</v>
      </c>
      <c r="AG1008" t="s">
        <v>3359</v>
      </c>
      <c r="AH1008" t="s">
        <v>4906</v>
      </c>
      <c r="AK1008" t="s">
        <v>4911</v>
      </c>
      <c r="AL1008" t="s">
        <v>2115</v>
      </c>
      <c r="AN1008" t="s">
        <v>3415</v>
      </c>
    </row>
    <row r="1009" spans="1:41">
      <c r="A1009" s="1" t="s">
        <v>1045</v>
      </c>
      <c r="B1009" t="s">
        <v>1998</v>
      </c>
      <c r="C1009" t="s">
        <v>2009</v>
      </c>
      <c r="D1009" t="s">
        <v>2069</v>
      </c>
      <c r="E1009" t="s">
        <v>2111</v>
      </c>
      <c r="F1009" t="s">
        <v>2164</v>
      </c>
      <c r="G1009" t="s">
        <v>2211</v>
      </c>
      <c r="H1009">
        <v>10039</v>
      </c>
      <c r="I1009" t="s">
        <v>2234</v>
      </c>
      <c r="J1009">
        <v>1</v>
      </c>
      <c r="K1009">
        <v>0</v>
      </c>
      <c r="L1009" t="s">
        <v>2260</v>
      </c>
      <c r="M1009" t="s">
        <v>2677</v>
      </c>
      <c r="P1009" t="s">
        <v>2910</v>
      </c>
      <c r="Q1009" t="s">
        <v>2113</v>
      </c>
      <c r="R1009" t="s">
        <v>3259</v>
      </c>
      <c r="S1009" t="s">
        <v>3268</v>
      </c>
      <c r="T1009" t="s">
        <v>3294</v>
      </c>
      <c r="U1009" t="s">
        <v>3013</v>
      </c>
      <c r="X1009" t="s">
        <v>3354</v>
      </c>
      <c r="Y1009" t="s">
        <v>2678</v>
      </c>
      <c r="Z1009" t="s">
        <v>3368</v>
      </c>
      <c r="AA1009" t="s">
        <v>3406</v>
      </c>
      <c r="AB1009" t="s">
        <v>3416</v>
      </c>
      <c r="AC1009">
        <f>HYPERLINK("https://lsnyc.legalserver.org/matter/dynamic-profile/view/1888162","19-1888162")</f>
        <v>0</v>
      </c>
      <c r="AD1009" t="s">
        <v>3442</v>
      </c>
      <c r="AE1009" t="s">
        <v>3448</v>
      </c>
      <c r="AF1009" t="s">
        <v>4280</v>
      </c>
      <c r="AG1009" t="s">
        <v>3368</v>
      </c>
      <c r="AH1009" t="s">
        <v>4904</v>
      </c>
      <c r="AK1009" t="s">
        <v>4911</v>
      </c>
      <c r="AL1009" t="s">
        <v>2164</v>
      </c>
      <c r="AM1009" t="s">
        <v>3294</v>
      </c>
      <c r="AN1009" t="s">
        <v>3416</v>
      </c>
    </row>
    <row r="1010" spans="1:41">
      <c r="A1010" s="1" t="s">
        <v>1046</v>
      </c>
      <c r="B1010" t="s">
        <v>2000</v>
      </c>
      <c r="C1010" t="s">
        <v>1998</v>
      </c>
      <c r="D1010" t="s">
        <v>2026</v>
      </c>
      <c r="E1010" t="s">
        <v>2112</v>
      </c>
      <c r="F1010" t="s">
        <v>2114</v>
      </c>
      <c r="G1010" t="s">
        <v>2211</v>
      </c>
      <c r="H1010">
        <v>10031</v>
      </c>
      <c r="I1010" t="s">
        <v>2229</v>
      </c>
      <c r="J1010">
        <v>2</v>
      </c>
      <c r="K1010">
        <v>1</v>
      </c>
      <c r="L1010" t="s">
        <v>2260</v>
      </c>
      <c r="M1010" t="s">
        <v>2677</v>
      </c>
      <c r="P1010" t="s">
        <v>2792</v>
      </c>
      <c r="Q1010" t="s">
        <v>2113</v>
      </c>
      <c r="R1010" t="s">
        <v>3259</v>
      </c>
      <c r="S1010" t="s">
        <v>3267</v>
      </c>
      <c r="X1010" t="s">
        <v>3354</v>
      </c>
      <c r="Y1010" t="s">
        <v>2678</v>
      </c>
      <c r="Z1010" t="s">
        <v>3359</v>
      </c>
      <c r="AA1010" t="s">
        <v>3406</v>
      </c>
      <c r="AB1010" t="s">
        <v>3415</v>
      </c>
      <c r="AC1010">
        <f>HYPERLINK("https://lsnyc.legalserver.org/matter/dynamic-profile/view/1888175","19-1888175")</f>
        <v>0</v>
      </c>
      <c r="AD1010" t="s">
        <v>3442</v>
      </c>
      <c r="AE1010" t="s">
        <v>3448</v>
      </c>
      <c r="AF1010" t="s">
        <v>4281</v>
      </c>
      <c r="AG1010" t="s">
        <v>3359</v>
      </c>
      <c r="AH1010" t="s">
        <v>4906</v>
      </c>
      <c r="AL1010" t="s">
        <v>2114</v>
      </c>
      <c r="AN1010" t="s">
        <v>3415</v>
      </c>
    </row>
    <row r="1011" spans="1:41">
      <c r="A1011" s="1" t="s">
        <v>1047</v>
      </c>
      <c r="B1011" t="s">
        <v>2001</v>
      </c>
      <c r="C1011" t="s">
        <v>2002</v>
      </c>
      <c r="D1011" t="s">
        <v>2046</v>
      </c>
      <c r="E1011" t="s">
        <v>2111</v>
      </c>
      <c r="F1011" t="s">
        <v>2139</v>
      </c>
      <c r="G1011" t="s">
        <v>2211</v>
      </c>
      <c r="H1011">
        <v>10030</v>
      </c>
      <c r="I1011" t="s">
        <v>2230</v>
      </c>
      <c r="J1011">
        <v>1</v>
      </c>
      <c r="K1011">
        <v>0</v>
      </c>
      <c r="L1011" t="s">
        <v>2277</v>
      </c>
      <c r="M1011" t="s">
        <v>2677</v>
      </c>
      <c r="P1011" t="s">
        <v>2910</v>
      </c>
      <c r="Q1011" t="s">
        <v>2113</v>
      </c>
      <c r="R1011" t="s">
        <v>3261</v>
      </c>
      <c r="S1011" t="s">
        <v>3283</v>
      </c>
      <c r="X1011" t="s">
        <v>3354</v>
      </c>
      <c r="Y1011" t="s">
        <v>2678</v>
      </c>
      <c r="Z1011" t="s">
        <v>3395</v>
      </c>
      <c r="AA1011" t="s">
        <v>3408</v>
      </c>
      <c r="AB1011" t="s">
        <v>3431</v>
      </c>
      <c r="AC1011">
        <f>HYPERLINK("https://lsnyc.legalserver.org/matter/dynamic-profile/view/1888257","19-1888257")</f>
        <v>0</v>
      </c>
      <c r="AD1011" t="s">
        <v>3442</v>
      </c>
      <c r="AE1011" t="s">
        <v>3476</v>
      </c>
      <c r="AF1011" t="s">
        <v>4282</v>
      </c>
      <c r="AG1011" t="s">
        <v>3395</v>
      </c>
      <c r="AH1011" t="s">
        <v>3408</v>
      </c>
      <c r="AK1011" t="s">
        <v>4911</v>
      </c>
      <c r="AL1011" t="s">
        <v>2139</v>
      </c>
      <c r="AN1011" t="s">
        <v>3431</v>
      </c>
    </row>
    <row r="1012" spans="1:41">
      <c r="A1012" s="1" t="s">
        <v>1048</v>
      </c>
      <c r="B1012" t="s">
        <v>2014</v>
      </c>
      <c r="C1012" t="s">
        <v>2001</v>
      </c>
      <c r="D1012" t="s">
        <v>2078</v>
      </c>
      <c r="E1012" t="s">
        <v>2112</v>
      </c>
      <c r="F1012" t="s">
        <v>2133</v>
      </c>
      <c r="G1012" t="s">
        <v>2216</v>
      </c>
      <c r="H1012">
        <v>10314</v>
      </c>
      <c r="I1012" t="s">
        <v>2233</v>
      </c>
      <c r="J1012">
        <v>2</v>
      </c>
      <c r="K1012">
        <v>0</v>
      </c>
      <c r="L1012" t="s">
        <v>2260</v>
      </c>
      <c r="M1012" t="s">
        <v>2677</v>
      </c>
      <c r="P1012" t="s">
        <v>2911</v>
      </c>
      <c r="Q1012" t="s">
        <v>2113</v>
      </c>
      <c r="R1012" t="s">
        <v>3259</v>
      </c>
      <c r="S1012" t="s">
        <v>3268</v>
      </c>
      <c r="T1012" t="s">
        <v>3294</v>
      </c>
      <c r="U1012" t="s">
        <v>2890</v>
      </c>
      <c r="X1012" t="s">
        <v>3354</v>
      </c>
      <c r="Y1012" t="s">
        <v>2678</v>
      </c>
      <c r="Z1012" t="s">
        <v>3368</v>
      </c>
      <c r="AA1012" t="s">
        <v>3406</v>
      </c>
      <c r="AB1012" t="s">
        <v>3416</v>
      </c>
      <c r="AC1012">
        <f>HYPERLINK("https://lsnyc.legalserver.org/matter/dynamic-profile/view/1885191","18-1885191")</f>
        <v>0</v>
      </c>
      <c r="AD1012" t="s">
        <v>3447</v>
      </c>
      <c r="AE1012" t="s">
        <v>3463</v>
      </c>
      <c r="AF1012" t="s">
        <v>4283</v>
      </c>
      <c r="AG1012" t="s">
        <v>3368</v>
      </c>
      <c r="AH1012" t="s">
        <v>4904</v>
      </c>
      <c r="AK1012" t="s">
        <v>4911</v>
      </c>
      <c r="AL1012" t="s">
        <v>2133</v>
      </c>
      <c r="AM1012" t="s">
        <v>3294</v>
      </c>
      <c r="AN1012" t="s">
        <v>3416</v>
      </c>
    </row>
    <row r="1013" spans="1:41">
      <c r="A1013" s="1" t="s">
        <v>1049</v>
      </c>
      <c r="B1013" t="s">
        <v>2002</v>
      </c>
      <c r="C1013" t="s">
        <v>2000</v>
      </c>
      <c r="D1013" t="s">
        <v>2040</v>
      </c>
      <c r="E1013" t="s">
        <v>2111</v>
      </c>
      <c r="F1013" t="s">
        <v>2115</v>
      </c>
      <c r="G1013" t="s">
        <v>2216</v>
      </c>
      <c r="H1013">
        <v>10304</v>
      </c>
      <c r="I1013" t="s">
        <v>2229</v>
      </c>
      <c r="J1013">
        <v>4</v>
      </c>
      <c r="K1013">
        <v>2</v>
      </c>
      <c r="L1013" t="s">
        <v>2260</v>
      </c>
      <c r="M1013" t="s">
        <v>2677</v>
      </c>
      <c r="P1013" t="s">
        <v>2911</v>
      </c>
      <c r="Q1013" t="s">
        <v>3255</v>
      </c>
      <c r="R1013" t="s">
        <v>3259</v>
      </c>
      <c r="S1013" t="s">
        <v>3272</v>
      </c>
      <c r="X1013" t="s">
        <v>3354</v>
      </c>
      <c r="Y1013" t="s">
        <v>2678</v>
      </c>
      <c r="Z1013" t="s">
        <v>3364</v>
      </c>
      <c r="AA1013" t="s">
        <v>3406</v>
      </c>
      <c r="AB1013" t="s">
        <v>3420</v>
      </c>
      <c r="AC1013">
        <f>HYPERLINK("https://lsnyc.legalserver.org/matter/dynamic-profile/view/1888143","19-1888143")</f>
        <v>0</v>
      </c>
      <c r="AD1013" t="s">
        <v>3447</v>
      </c>
      <c r="AE1013" t="s">
        <v>3478</v>
      </c>
      <c r="AF1013" t="s">
        <v>4284</v>
      </c>
      <c r="AG1013" t="s">
        <v>3364</v>
      </c>
      <c r="AH1013" t="s">
        <v>4904</v>
      </c>
      <c r="AK1013" t="s">
        <v>4911</v>
      </c>
      <c r="AL1013" t="s">
        <v>2115</v>
      </c>
      <c r="AN1013" t="s">
        <v>3420</v>
      </c>
    </row>
    <row r="1014" spans="1:41">
      <c r="A1014" s="1" t="s">
        <v>1050</v>
      </c>
      <c r="B1014" t="s">
        <v>2001</v>
      </c>
      <c r="C1014" t="s">
        <v>2001</v>
      </c>
      <c r="D1014" t="s">
        <v>2028</v>
      </c>
      <c r="E1014" t="s">
        <v>2112</v>
      </c>
      <c r="F1014" t="s">
        <v>2123</v>
      </c>
      <c r="G1014" t="s">
        <v>2213</v>
      </c>
      <c r="H1014">
        <v>10452</v>
      </c>
      <c r="I1014" t="s">
        <v>2229</v>
      </c>
      <c r="J1014">
        <v>3</v>
      </c>
      <c r="K1014">
        <v>1</v>
      </c>
      <c r="L1014" t="s">
        <v>2446</v>
      </c>
      <c r="M1014" t="s">
        <v>2677</v>
      </c>
      <c r="P1014" t="s">
        <v>2912</v>
      </c>
      <c r="Q1014" t="s">
        <v>2113</v>
      </c>
      <c r="R1014" t="s">
        <v>3258</v>
      </c>
      <c r="S1014" t="s">
        <v>3271</v>
      </c>
      <c r="T1014" t="s">
        <v>3294</v>
      </c>
      <c r="U1014" t="s">
        <v>2765</v>
      </c>
      <c r="X1014" t="s">
        <v>3354</v>
      </c>
      <c r="Y1014" t="s">
        <v>2677</v>
      </c>
      <c r="Z1014" t="s">
        <v>3362</v>
      </c>
      <c r="AA1014" t="s">
        <v>3406</v>
      </c>
      <c r="AB1014" t="s">
        <v>3419</v>
      </c>
      <c r="AC1014">
        <f>HYPERLINK("https://lsnyc.legalserver.org/matter/dynamic-profile/view/1887881","19-1887881")</f>
        <v>0</v>
      </c>
      <c r="AD1014" t="s">
        <v>3445</v>
      </c>
      <c r="AE1014" t="s">
        <v>3452</v>
      </c>
      <c r="AF1014" t="s">
        <v>4285</v>
      </c>
      <c r="AG1014" t="s">
        <v>3362</v>
      </c>
      <c r="AH1014" t="s">
        <v>4904</v>
      </c>
      <c r="AK1014" t="s">
        <v>4911</v>
      </c>
      <c r="AL1014" t="s">
        <v>2123</v>
      </c>
      <c r="AM1014" t="s">
        <v>3294</v>
      </c>
      <c r="AN1014" t="s">
        <v>3419</v>
      </c>
    </row>
    <row r="1015" spans="1:41">
      <c r="A1015" s="1" t="s">
        <v>1051</v>
      </c>
      <c r="B1015" t="s">
        <v>2000</v>
      </c>
      <c r="C1015" t="s">
        <v>2012</v>
      </c>
      <c r="D1015" t="s">
        <v>2086</v>
      </c>
      <c r="E1015" t="s">
        <v>2111</v>
      </c>
      <c r="F1015" t="s">
        <v>2120</v>
      </c>
      <c r="G1015" t="s">
        <v>2211</v>
      </c>
      <c r="H1015">
        <v>10035</v>
      </c>
      <c r="I1015" t="s">
        <v>2230</v>
      </c>
      <c r="J1015">
        <v>1</v>
      </c>
      <c r="K1015">
        <v>0</v>
      </c>
      <c r="L1015" t="s">
        <v>2487</v>
      </c>
      <c r="M1015" t="s">
        <v>2677</v>
      </c>
      <c r="P1015" t="s">
        <v>2912</v>
      </c>
      <c r="Q1015" t="s">
        <v>2113</v>
      </c>
      <c r="R1015" t="s">
        <v>3259</v>
      </c>
      <c r="S1015" t="s">
        <v>3267</v>
      </c>
      <c r="X1015" t="s">
        <v>3354</v>
      </c>
      <c r="Y1015" t="s">
        <v>2678</v>
      </c>
      <c r="Z1015" t="s">
        <v>3391</v>
      </c>
      <c r="AA1015" t="s">
        <v>3406</v>
      </c>
      <c r="AB1015" t="s">
        <v>3415</v>
      </c>
      <c r="AC1015">
        <f>HYPERLINK("https://lsnyc.legalserver.org/matter/dynamic-profile/view/1887996","19-1887996")</f>
        <v>0</v>
      </c>
      <c r="AD1015" t="s">
        <v>3442</v>
      </c>
      <c r="AE1015" t="s">
        <v>3460</v>
      </c>
      <c r="AF1015" t="s">
        <v>4286</v>
      </c>
      <c r="AG1015" t="s">
        <v>3391</v>
      </c>
      <c r="AH1015" t="s">
        <v>4906</v>
      </c>
      <c r="AK1015" t="s">
        <v>4911</v>
      </c>
      <c r="AL1015" t="s">
        <v>2120</v>
      </c>
      <c r="AN1015" t="s">
        <v>3415</v>
      </c>
    </row>
    <row r="1016" spans="1:41">
      <c r="A1016" s="1" t="s">
        <v>1052</v>
      </c>
      <c r="B1016" t="s">
        <v>2000</v>
      </c>
      <c r="C1016" t="s">
        <v>1998</v>
      </c>
      <c r="D1016" t="s">
        <v>2028</v>
      </c>
      <c r="E1016" t="s">
        <v>2112</v>
      </c>
      <c r="F1016" t="s">
        <v>2116</v>
      </c>
      <c r="G1016" t="s">
        <v>2211</v>
      </c>
      <c r="H1016">
        <v>10002</v>
      </c>
      <c r="I1016" t="s">
        <v>2229</v>
      </c>
      <c r="J1016">
        <v>2</v>
      </c>
      <c r="K1016">
        <v>0</v>
      </c>
      <c r="L1016" t="s">
        <v>2488</v>
      </c>
      <c r="M1016" t="s">
        <v>2677</v>
      </c>
      <c r="P1016" t="s">
        <v>2913</v>
      </c>
      <c r="Q1016" t="s">
        <v>2113</v>
      </c>
      <c r="R1016" t="s">
        <v>3258</v>
      </c>
      <c r="S1016" t="s">
        <v>3271</v>
      </c>
      <c r="X1016" t="s">
        <v>3354</v>
      </c>
      <c r="Y1016" t="s">
        <v>2677</v>
      </c>
      <c r="Z1016" t="s">
        <v>3362</v>
      </c>
      <c r="AA1016" t="s">
        <v>3406</v>
      </c>
      <c r="AB1016" t="s">
        <v>3419</v>
      </c>
      <c r="AC1016">
        <f>HYPERLINK("https://lsnyc.legalserver.org/matter/dynamic-profile/view/1887772","19-1887772")</f>
        <v>0</v>
      </c>
      <c r="AD1016" t="s">
        <v>3445</v>
      </c>
      <c r="AE1016" t="s">
        <v>3455</v>
      </c>
      <c r="AF1016" t="s">
        <v>3934</v>
      </c>
      <c r="AG1016" t="s">
        <v>3362</v>
      </c>
      <c r="AH1016" t="s">
        <v>4904</v>
      </c>
      <c r="AK1016" t="s">
        <v>4911</v>
      </c>
      <c r="AL1016" t="s">
        <v>2116</v>
      </c>
      <c r="AN1016" t="s">
        <v>3419</v>
      </c>
    </row>
    <row r="1017" spans="1:41">
      <c r="A1017" s="1" t="s">
        <v>1053</v>
      </c>
      <c r="B1017" t="s">
        <v>1998</v>
      </c>
      <c r="C1017" t="s">
        <v>2001</v>
      </c>
      <c r="D1017" t="s">
        <v>2072</v>
      </c>
      <c r="E1017" t="s">
        <v>2113</v>
      </c>
      <c r="F1017" t="s">
        <v>2120</v>
      </c>
      <c r="G1017" t="s">
        <v>2213</v>
      </c>
      <c r="H1017">
        <v>10458</v>
      </c>
      <c r="I1017" t="s">
        <v>2230</v>
      </c>
      <c r="J1017">
        <v>1</v>
      </c>
      <c r="K1017">
        <v>0</v>
      </c>
      <c r="L1017" t="s">
        <v>2260</v>
      </c>
      <c r="M1017" t="s">
        <v>2677</v>
      </c>
      <c r="P1017" t="s">
        <v>2791</v>
      </c>
      <c r="Q1017" t="s">
        <v>2113</v>
      </c>
      <c r="R1017" t="s">
        <v>3259</v>
      </c>
      <c r="S1017" t="s">
        <v>3268</v>
      </c>
      <c r="T1017" t="s">
        <v>3294</v>
      </c>
      <c r="U1017" t="s">
        <v>3306</v>
      </c>
      <c r="X1017" t="s">
        <v>3354</v>
      </c>
      <c r="Y1017" t="s">
        <v>2677</v>
      </c>
      <c r="Z1017" t="s">
        <v>3368</v>
      </c>
      <c r="AA1017" t="s">
        <v>3406</v>
      </c>
      <c r="AB1017" t="s">
        <v>3416</v>
      </c>
      <c r="AC1017">
        <f>HYPERLINK("https://lsnyc.legalserver.org/matter/dynamic-profile/view/1887807","19-1887807")</f>
        <v>0</v>
      </c>
      <c r="AD1017" t="s">
        <v>3445</v>
      </c>
      <c r="AE1017" t="s">
        <v>3452</v>
      </c>
      <c r="AF1017" t="s">
        <v>4287</v>
      </c>
      <c r="AG1017" t="s">
        <v>3368</v>
      </c>
      <c r="AH1017" t="s">
        <v>4904</v>
      </c>
      <c r="AL1017" t="s">
        <v>2120</v>
      </c>
      <c r="AM1017" t="s">
        <v>3294</v>
      </c>
      <c r="AN1017" t="s">
        <v>3416</v>
      </c>
    </row>
    <row r="1018" spans="1:41">
      <c r="A1018" s="1" t="s">
        <v>1054</v>
      </c>
      <c r="B1018" t="s">
        <v>1998</v>
      </c>
      <c r="C1018" t="s">
        <v>2000</v>
      </c>
      <c r="D1018" t="s">
        <v>2052</v>
      </c>
      <c r="E1018" t="s">
        <v>2111</v>
      </c>
      <c r="F1018" t="s">
        <v>2117</v>
      </c>
      <c r="G1018" t="s">
        <v>2213</v>
      </c>
      <c r="H1018">
        <v>10455</v>
      </c>
      <c r="I1018" t="s">
        <v>2229</v>
      </c>
      <c r="J1018">
        <v>4</v>
      </c>
      <c r="K1018">
        <v>3</v>
      </c>
      <c r="L1018" t="s">
        <v>2260</v>
      </c>
      <c r="M1018" t="s">
        <v>2677</v>
      </c>
      <c r="P1018" t="s">
        <v>2913</v>
      </c>
      <c r="Q1018" t="s">
        <v>2113</v>
      </c>
      <c r="R1018" t="s">
        <v>3259</v>
      </c>
      <c r="S1018" t="s">
        <v>3267</v>
      </c>
      <c r="X1018" t="s">
        <v>3354</v>
      </c>
      <c r="Y1018" t="s">
        <v>2678</v>
      </c>
      <c r="Z1018" t="s">
        <v>3380</v>
      </c>
      <c r="AA1018" t="s">
        <v>3406</v>
      </c>
      <c r="AB1018" t="s">
        <v>3415</v>
      </c>
      <c r="AC1018">
        <f>HYPERLINK("https://lsnyc.legalserver.org/matter/dynamic-profile/view/1887816","19-1887816")</f>
        <v>0</v>
      </c>
      <c r="AD1018" t="s">
        <v>3444</v>
      </c>
      <c r="AE1018" t="s">
        <v>3466</v>
      </c>
      <c r="AF1018" t="s">
        <v>3631</v>
      </c>
      <c r="AG1018" t="s">
        <v>3380</v>
      </c>
      <c r="AH1018" t="s">
        <v>4906</v>
      </c>
      <c r="AK1018" t="s">
        <v>4911</v>
      </c>
      <c r="AL1018" t="s">
        <v>2117</v>
      </c>
      <c r="AN1018" t="s">
        <v>3415</v>
      </c>
    </row>
    <row r="1019" spans="1:41">
      <c r="A1019" s="1" t="s">
        <v>1055</v>
      </c>
      <c r="B1019" t="s">
        <v>1998</v>
      </c>
      <c r="C1019" t="s">
        <v>2000</v>
      </c>
      <c r="D1019" t="s">
        <v>2052</v>
      </c>
      <c r="E1019" t="s">
        <v>2111</v>
      </c>
      <c r="F1019" t="s">
        <v>2117</v>
      </c>
      <c r="G1019" t="s">
        <v>2213</v>
      </c>
      <c r="H1019">
        <v>10455</v>
      </c>
      <c r="I1019" t="s">
        <v>2229</v>
      </c>
      <c r="J1019">
        <v>4</v>
      </c>
      <c r="K1019">
        <v>3</v>
      </c>
      <c r="L1019" t="s">
        <v>2260</v>
      </c>
      <c r="M1019" t="s">
        <v>2677</v>
      </c>
      <c r="P1019" t="s">
        <v>2913</v>
      </c>
      <c r="Q1019" t="s">
        <v>2113</v>
      </c>
      <c r="R1019" t="s">
        <v>3259</v>
      </c>
      <c r="S1019" t="s">
        <v>3272</v>
      </c>
      <c r="X1019" t="s">
        <v>3354</v>
      </c>
      <c r="Y1019" t="s">
        <v>2678</v>
      </c>
      <c r="Z1019" t="s">
        <v>3364</v>
      </c>
      <c r="AA1019" t="s">
        <v>3406</v>
      </c>
      <c r="AB1019" t="s">
        <v>3420</v>
      </c>
      <c r="AC1019">
        <f>HYPERLINK("https://lsnyc.legalserver.org/matter/dynamic-profile/view/1887821","19-1887821")</f>
        <v>0</v>
      </c>
      <c r="AD1019" t="s">
        <v>3444</v>
      </c>
      <c r="AE1019" t="s">
        <v>3466</v>
      </c>
      <c r="AF1019" t="s">
        <v>3631</v>
      </c>
      <c r="AG1019" t="s">
        <v>3364</v>
      </c>
      <c r="AH1019" t="s">
        <v>4904</v>
      </c>
      <c r="AK1019" t="s">
        <v>4911</v>
      </c>
      <c r="AL1019" t="s">
        <v>2117</v>
      </c>
      <c r="AN1019" t="s">
        <v>3420</v>
      </c>
    </row>
    <row r="1020" spans="1:41">
      <c r="A1020" s="1" t="s">
        <v>1056</v>
      </c>
      <c r="B1020" t="s">
        <v>2001</v>
      </c>
      <c r="C1020" t="s">
        <v>2016</v>
      </c>
      <c r="D1020" t="s">
        <v>2067</v>
      </c>
      <c r="E1020" t="s">
        <v>2111</v>
      </c>
      <c r="F1020" t="s">
        <v>2115</v>
      </c>
      <c r="G1020" t="s">
        <v>2212</v>
      </c>
      <c r="H1020">
        <v>11368</v>
      </c>
      <c r="I1020" t="s">
        <v>2229</v>
      </c>
      <c r="J1020">
        <v>5</v>
      </c>
      <c r="K1020">
        <v>2</v>
      </c>
      <c r="L1020" t="s">
        <v>2260</v>
      </c>
      <c r="M1020" t="s">
        <v>2677</v>
      </c>
      <c r="P1020" t="s">
        <v>2914</v>
      </c>
      <c r="Q1020" t="s">
        <v>2113</v>
      </c>
      <c r="R1020" t="s">
        <v>3259</v>
      </c>
      <c r="S1020" t="s">
        <v>3267</v>
      </c>
      <c r="X1020" t="s">
        <v>3354</v>
      </c>
      <c r="Y1020" t="s">
        <v>2678</v>
      </c>
      <c r="Z1020" t="s">
        <v>3359</v>
      </c>
      <c r="AA1020" t="s">
        <v>3406</v>
      </c>
      <c r="AB1020" t="s">
        <v>3415</v>
      </c>
      <c r="AC1020">
        <f>HYPERLINK("https://lsnyc.legalserver.org/matter/dynamic-profile/view/1888095","19-1888095")</f>
        <v>0</v>
      </c>
      <c r="AD1020" t="s">
        <v>3443</v>
      </c>
      <c r="AE1020" t="s">
        <v>3471</v>
      </c>
      <c r="AF1020" t="s">
        <v>4288</v>
      </c>
      <c r="AG1020" t="s">
        <v>3359</v>
      </c>
      <c r="AH1020" t="s">
        <v>4904</v>
      </c>
      <c r="AK1020" t="s">
        <v>4911</v>
      </c>
      <c r="AL1020" t="s">
        <v>2115</v>
      </c>
      <c r="AN1020" t="s">
        <v>3415</v>
      </c>
    </row>
    <row r="1021" spans="1:41">
      <c r="A1021" s="1" t="s">
        <v>1057</v>
      </c>
      <c r="B1021" t="s">
        <v>2001</v>
      </c>
      <c r="C1021" t="s">
        <v>2016</v>
      </c>
      <c r="D1021" t="s">
        <v>2067</v>
      </c>
      <c r="E1021" t="s">
        <v>2111</v>
      </c>
      <c r="F1021" t="s">
        <v>2115</v>
      </c>
      <c r="G1021" t="s">
        <v>2212</v>
      </c>
      <c r="H1021">
        <v>11368</v>
      </c>
      <c r="I1021" t="s">
        <v>2229</v>
      </c>
      <c r="J1021">
        <v>3</v>
      </c>
      <c r="K1021">
        <v>2</v>
      </c>
      <c r="L1021" t="s">
        <v>2260</v>
      </c>
      <c r="M1021" t="s">
        <v>2677</v>
      </c>
      <c r="P1021" t="s">
        <v>2914</v>
      </c>
      <c r="Q1021" t="s">
        <v>2113</v>
      </c>
      <c r="R1021" t="s">
        <v>3259</v>
      </c>
      <c r="S1021" t="s">
        <v>3272</v>
      </c>
      <c r="X1021" t="s">
        <v>3354</v>
      </c>
      <c r="Y1021" t="s">
        <v>2678</v>
      </c>
      <c r="Z1021" t="s">
        <v>3364</v>
      </c>
      <c r="AA1021" t="s">
        <v>3406</v>
      </c>
      <c r="AB1021" t="s">
        <v>3420</v>
      </c>
      <c r="AC1021">
        <f>HYPERLINK("https://lsnyc.legalserver.org/matter/dynamic-profile/view/1888101","19-1888101")</f>
        <v>0</v>
      </c>
      <c r="AD1021" t="s">
        <v>3443</v>
      </c>
      <c r="AE1021" t="s">
        <v>3471</v>
      </c>
      <c r="AF1021" t="s">
        <v>4288</v>
      </c>
      <c r="AG1021" t="s">
        <v>3364</v>
      </c>
      <c r="AH1021" t="s">
        <v>4904</v>
      </c>
      <c r="AK1021" t="s">
        <v>4911</v>
      </c>
      <c r="AL1021" t="s">
        <v>2115</v>
      </c>
      <c r="AN1021" t="s">
        <v>3420</v>
      </c>
    </row>
    <row r="1022" spans="1:41">
      <c r="A1022" s="1" t="s">
        <v>1058</v>
      </c>
      <c r="B1022" t="s">
        <v>2001</v>
      </c>
      <c r="C1022" t="s">
        <v>2002</v>
      </c>
      <c r="D1022" t="s">
        <v>2037</v>
      </c>
      <c r="E1022" t="s">
        <v>2112</v>
      </c>
      <c r="F1022" t="s">
        <v>2115</v>
      </c>
      <c r="G1022" t="s">
        <v>2212</v>
      </c>
      <c r="H1022">
        <v>11368</v>
      </c>
      <c r="I1022" t="s">
        <v>2229</v>
      </c>
      <c r="J1022">
        <v>3</v>
      </c>
      <c r="K1022">
        <v>2</v>
      </c>
      <c r="L1022" t="s">
        <v>2260</v>
      </c>
      <c r="M1022" t="s">
        <v>2677</v>
      </c>
      <c r="P1022" t="s">
        <v>2769</v>
      </c>
      <c r="Q1022" t="s">
        <v>2113</v>
      </c>
      <c r="R1022" t="s">
        <v>3259</v>
      </c>
      <c r="S1022" t="s">
        <v>3267</v>
      </c>
      <c r="X1022" t="s">
        <v>3354</v>
      </c>
      <c r="Y1022" t="s">
        <v>2678</v>
      </c>
      <c r="Z1022" t="s">
        <v>3359</v>
      </c>
      <c r="AA1022" t="s">
        <v>3406</v>
      </c>
      <c r="AB1022" t="s">
        <v>3415</v>
      </c>
      <c r="AC1022">
        <f>HYPERLINK("https://lsnyc.legalserver.org/matter/dynamic-profile/view/1888126","19-1888126")</f>
        <v>0</v>
      </c>
      <c r="AD1022" t="s">
        <v>3443</v>
      </c>
      <c r="AE1022" t="s">
        <v>3472</v>
      </c>
      <c r="AF1022" t="s">
        <v>3881</v>
      </c>
      <c r="AG1022" t="s">
        <v>3359</v>
      </c>
      <c r="AH1022" t="s">
        <v>4906</v>
      </c>
      <c r="AL1022" t="s">
        <v>2115</v>
      </c>
      <c r="AN1022" t="s">
        <v>3415</v>
      </c>
    </row>
    <row r="1023" spans="1:41">
      <c r="A1023" s="1" t="s">
        <v>1059</v>
      </c>
      <c r="B1023" t="s">
        <v>2001</v>
      </c>
      <c r="C1023" t="s">
        <v>2002</v>
      </c>
      <c r="D1023" t="s">
        <v>2037</v>
      </c>
      <c r="E1023" t="s">
        <v>2112</v>
      </c>
      <c r="F1023" t="s">
        <v>2115</v>
      </c>
      <c r="G1023" t="s">
        <v>2212</v>
      </c>
      <c r="H1023">
        <v>11368</v>
      </c>
      <c r="I1023" t="s">
        <v>2229</v>
      </c>
      <c r="J1023">
        <v>3</v>
      </c>
      <c r="K1023">
        <v>2</v>
      </c>
      <c r="L1023" t="s">
        <v>2260</v>
      </c>
      <c r="M1023" t="s">
        <v>2677</v>
      </c>
      <c r="P1023" t="s">
        <v>2801</v>
      </c>
      <c r="Q1023" t="s">
        <v>2113</v>
      </c>
      <c r="R1023" t="s">
        <v>3259</v>
      </c>
      <c r="S1023" t="s">
        <v>3272</v>
      </c>
      <c r="X1023" t="s">
        <v>3354</v>
      </c>
      <c r="Y1023" t="s">
        <v>2678</v>
      </c>
      <c r="Z1023" t="s">
        <v>3364</v>
      </c>
      <c r="AA1023" t="s">
        <v>3406</v>
      </c>
      <c r="AB1023" t="s">
        <v>3420</v>
      </c>
      <c r="AC1023">
        <f>HYPERLINK("https://lsnyc.legalserver.org/matter/dynamic-profile/view/1888128","19-1888128")</f>
        <v>0</v>
      </c>
      <c r="AD1023" t="s">
        <v>3443</v>
      </c>
      <c r="AE1023" t="s">
        <v>3472</v>
      </c>
      <c r="AF1023" t="s">
        <v>3881</v>
      </c>
      <c r="AG1023" t="s">
        <v>3364</v>
      </c>
      <c r="AH1023" t="s">
        <v>4904</v>
      </c>
      <c r="AL1023" t="s">
        <v>2115</v>
      </c>
      <c r="AN1023" t="s">
        <v>3420</v>
      </c>
    </row>
    <row r="1024" spans="1:41">
      <c r="A1024" s="1" t="s">
        <v>1060</v>
      </c>
      <c r="B1024" t="s">
        <v>2016</v>
      </c>
      <c r="C1024" t="s">
        <v>2009</v>
      </c>
      <c r="D1024" t="s">
        <v>2076</v>
      </c>
      <c r="E1024" t="s">
        <v>2112</v>
      </c>
      <c r="F1024" t="s">
        <v>2115</v>
      </c>
      <c r="G1024" t="s">
        <v>2212</v>
      </c>
      <c r="H1024">
        <v>11377</v>
      </c>
      <c r="I1024" t="s">
        <v>2229</v>
      </c>
      <c r="J1024">
        <v>4</v>
      </c>
      <c r="K1024">
        <v>3</v>
      </c>
      <c r="L1024" t="s">
        <v>2485</v>
      </c>
      <c r="M1024" t="s">
        <v>2677</v>
      </c>
      <c r="P1024" t="s">
        <v>2700</v>
      </c>
      <c r="Q1024" t="s">
        <v>2113</v>
      </c>
      <c r="R1024" t="s">
        <v>3259</v>
      </c>
      <c r="S1024" t="s">
        <v>3267</v>
      </c>
      <c r="T1024" t="s">
        <v>3294</v>
      </c>
      <c r="V1024" t="s">
        <v>3353</v>
      </c>
      <c r="X1024" t="s">
        <v>3354</v>
      </c>
      <c r="Y1024" t="s">
        <v>2678</v>
      </c>
      <c r="Z1024" t="s">
        <v>3359</v>
      </c>
      <c r="AA1024" t="s">
        <v>3406</v>
      </c>
      <c r="AB1024" t="s">
        <v>3415</v>
      </c>
      <c r="AC1024">
        <f>HYPERLINK("https://lsnyc.legalserver.org/matter/dynamic-profile/view/1888702","19-1888702")</f>
        <v>0</v>
      </c>
      <c r="AD1024" t="s">
        <v>3443</v>
      </c>
      <c r="AE1024" t="s">
        <v>3450</v>
      </c>
      <c r="AF1024" t="s">
        <v>4289</v>
      </c>
      <c r="AG1024" t="s">
        <v>3359</v>
      </c>
      <c r="AH1024" t="s">
        <v>4906</v>
      </c>
      <c r="AL1024" t="s">
        <v>2115</v>
      </c>
      <c r="AM1024" t="s">
        <v>3294</v>
      </c>
      <c r="AN1024" t="s">
        <v>3415</v>
      </c>
      <c r="AO1024" t="s">
        <v>3353</v>
      </c>
    </row>
    <row r="1025" spans="1:40">
      <c r="A1025" s="1" t="s">
        <v>1061</v>
      </c>
      <c r="B1025" t="s">
        <v>2000</v>
      </c>
      <c r="C1025" t="s">
        <v>2004</v>
      </c>
      <c r="D1025" t="s">
        <v>2069</v>
      </c>
      <c r="E1025" t="s">
        <v>2112</v>
      </c>
      <c r="F1025" t="s">
        <v>2120</v>
      </c>
      <c r="G1025" t="s">
        <v>2212</v>
      </c>
      <c r="H1025">
        <v>11434</v>
      </c>
      <c r="I1025" t="s">
        <v>2230</v>
      </c>
      <c r="J1025">
        <v>6</v>
      </c>
      <c r="K1025">
        <v>4</v>
      </c>
      <c r="L1025" t="s">
        <v>2412</v>
      </c>
      <c r="M1025" t="s">
        <v>2677</v>
      </c>
      <c r="P1025" t="s">
        <v>2915</v>
      </c>
      <c r="Q1025" t="s">
        <v>2113</v>
      </c>
      <c r="R1025" t="s">
        <v>3258</v>
      </c>
      <c r="S1025" t="s">
        <v>3271</v>
      </c>
      <c r="X1025" t="s">
        <v>3354</v>
      </c>
      <c r="Y1025" t="s">
        <v>2677</v>
      </c>
      <c r="Z1025" t="s">
        <v>3369</v>
      </c>
      <c r="AA1025" t="s">
        <v>3406</v>
      </c>
      <c r="AB1025" t="s">
        <v>3419</v>
      </c>
      <c r="AC1025">
        <f>HYPERLINK("https://lsnyc.legalserver.org/matter/dynamic-profile/view/1887553","19-1887553")</f>
        <v>0</v>
      </c>
      <c r="AD1025" t="s">
        <v>3445</v>
      </c>
      <c r="AE1025" t="s">
        <v>3490</v>
      </c>
      <c r="AF1025" t="s">
        <v>4290</v>
      </c>
      <c r="AG1025" t="s">
        <v>3369</v>
      </c>
      <c r="AH1025" t="s">
        <v>4904</v>
      </c>
      <c r="AK1025" t="s">
        <v>4911</v>
      </c>
      <c r="AL1025" t="s">
        <v>2120</v>
      </c>
      <c r="AN1025" t="s">
        <v>3419</v>
      </c>
    </row>
    <row r="1026" spans="1:40">
      <c r="A1026" s="1" t="s">
        <v>1062</v>
      </c>
      <c r="B1026" t="s">
        <v>2000</v>
      </c>
      <c r="C1026" t="s">
        <v>2004</v>
      </c>
      <c r="D1026" t="s">
        <v>2054</v>
      </c>
      <c r="E1026" t="s">
        <v>2112</v>
      </c>
      <c r="F1026" t="s">
        <v>2120</v>
      </c>
      <c r="G1026" t="s">
        <v>2212</v>
      </c>
      <c r="H1026">
        <v>11434</v>
      </c>
      <c r="I1026" t="s">
        <v>2230</v>
      </c>
      <c r="J1026">
        <v>6</v>
      </c>
      <c r="K1026">
        <v>4</v>
      </c>
      <c r="L1026" t="s">
        <v>2412</v>
      </c>
      <c r="M1026" t="s">
        <v>2677</v>
      </c>
      <c r="P1026" t="s">
        <v>2915</v>
      </c>
      <c r="Q1026" t="s">
        <v>2113</v>
      </c>
      <c r="R1026" t="s">
        <v>3258</v>
      </c>
      <c r="S1026" t="s">
        <v>3271</v>
      </c>
      <c r="X1026" t="s">
        <v>3354</v>
      </c>
      <c r="Y1026" t="s">
        <v>2677</v>
      </c>
      <c r="Z1026" t="s">
        <v>3369</v>
      </c>
      <c r="AA1026" t="s">
        <v>3406</v>
      </c>
      <c r="AB1026" t="s">
        <v>3419</v>
      </c>
      <c r="AC1026">
        <f>HYPERLINK("https://lsnyc.legalserver.org/matter/dynamic-profile/view/1887556","19-1887556")</f>
        <v>0</v>
      </c>
      <c r="AD1026" t="s">
        <v>3445</v>
      </c>
      <c r="AE1026" t="s">
        <v>3452</v>
      </c>
      <c r="AF1026" t="s">
        <v>4291</v>
      </c>
      <c r="AG1026" t="s">
        <v>3369</v>
      </c>
      <c r="AH1026" t="s">
        <v>4904</v>
      </c>
      <c r="AK1026" t="s">
        <v>4911</v>
      </c>
      <c r="AL1026" t="s">
        <v>2120</v>
      </c>
      <c r="AN1026" t="s">
        <v>3419</v>
      </c>
    </row>
    <row r="1027" spans="1:40">
      <c r="A1027" s="1" t="s">
        <v>1063</v>
      </c>
      <c r="B1027" t="s">
        <v>2000</v>
      </c>
      <c r="C1027" t="s">
        <v>1998</v>
      </c>
      <c r="D1027" t="s">
        <v>2026</v>
      </c>
      <c r="E1027" t="s">
        <v>2111</v>
      </c>
      <c r="F1027" t="s">
        <v>2120</v>
      </c>
      <c r="G1027" t="s">
        <v>2212</v>
      </c>
      <c r="H1027">
        <v>11434</v>
      </c>
      <c r="I1027" t="s">
        <v>2230</v>
      </c>
      <c r="J1027">
        <v>6</v>
      </c>
      <c r="K1027">
        <v>4</v>
      </c>
      <c r="L1027" t="s">
        <v>2412</v>
      </c>
      <c r="M1027" t="s">
        <v>2677</v>
      </c>
      <c r="P1027" t="s">
        <v>2915</v>
      </c>
      <c r="Q1027" t="s">
        <v>2113</v>
      </c>
      <c r="R1027" t="s">
        <v>3258</v>
      </c>
      <c r="S1027" t="s">
        <v>3271</v>
      </c>
      <c r="X1027" t="s">
        <v>3354</v>
      </c>
      <c r="Y1027" t="s">
        <v>2677</v>
      </c>
      <c r="Z1027" t="s">
        <v>3369</v>
      </c>
      <c r="AA1027" t="s">
        <v>3406</v>
      </c>
      <c r="AB1027" t="s">
        <v>3419</v>
      </c>
      <c r="AC1027">
        <f>HYPERLINK("https://lsnyc.legalserver.org/matter/dynamic-profile/view/1887557","19-1887557")</f>
        <v>0</v>
      </c>
      <c r="AD1027" t="s">
        <v>3445</v>
      </c>
      <c r="AE1027" t="s">
        <v>3452</v>
      </c>
      <c r="AF1027" t="s">
        <v>3944</v>
      </c>
      <c r="AG1027" t="s">
        <v>3369</v>
      </c>
      <c r="AH1027" t="s">
        <v>4904</v>
      </c>
      <c r="AK1027" t="s">
        <v>4911</v>
      </c>
      <c r="AL1027" t="s">
        <v>2120</v>
      </c>
      <c r="AN1027" t="s">
        <v>3419</v>
      </c>
    </row>
    <row r="1028" spans="1:40">
      <c r="A1028" s="1" t="s">
        <v>1064</v>
      </c>
      <c r="B1028" t="s">
        <v>1998</v>
      </c>
      <c r="C1028" t="s">
        <v>1998</v>
      </c>
      <c r="D1028" t="s">
        <v>2037</v>
      </c>
      <c r="E1028" t="s">
        <v>2111</v>
      </c>
      <c r="F1028" t="s">
        <v>2117</v>
      </c>
      <c r="G1028" t="s">
        <v>2213</v>
      </c>
      <c r="H1028">
        <v>10455</v>
      </c>
      <c r="I1028" t="s">
        <v>2229</v>
      </c>
      <c r="J1028">
        <v>4</v>
      </c>
      <c r="K1028">
        <v>3</v>
      </c>
      <c r="L1028" t="s">
        <v>2260</v>
      </c>
      <c r="M1028" t="s">
        <v>2677</v>
      </c>
      <c r="P1028" t="s">
        <v>2915</v>
      </c>
      <c r="Q1028" t="s">
        <v>2113</v>
      </c>
      <c r="R1028" t="s">
        <v>3259</v>
      </c>
      <c r="S1028" t="s">
        <v>3267</v>
      </c>
      <c r="X1028" t="s">
        <v>3354</v>
      </c>
      <c r="Y1028" t="s">
        <v>2678</v>
      </c>
      <c r="Z1028" t="s">
        <v>3380</v>
      </c>
      <c r="AA1028" t="s">
        <v>3406</v>
      </c>
      <c r="AB1028" t="s">
        <v>3415</v>
      </c>
      <c r="AC1028">
        <f>HYPERLINK("https://lsnyc.legalserver.org/matter/dynamic-profile/view/1887573","19-1887573")</f>
        <v>0</v>
      </c>
      <c r="AD1028" t="s">
        <v>3444</v>
      </c>
      <c r="AE1028" t="s">
        <v>3466</v>
      </c>
      <c r="AF1028" t="s">
        <v>3793</v>
      </c>
      <c r="AG1028" t="s">
        <v>3380</v>
      </c>
      <c r="AH1028" t="s">
        <v>4906</v>
      </c>
      <c r="AK1028" t="s">
        <v>4911</v>
      </c>
      <c r="AL1028" t="s">
        <v>2117</v>
      </c>
      <c r="AN1028" t="s">
        <v>3415</v>
      </c>
    </row>
    <row r="1029" spans="1:40">
      <c r="A1029" s="1" t="s">
        <v>1065</v>
      </c>
      <c r="B1029" t="s">
        <v>1998</v>
      </c>
      <c r="C1029" t="s">
        <v>1998</v>
      </c>
      <c r="D1029" t="s">
        <v>2037</v>
      </c>
      <c r="E1029" t="s">
        <v>2111</v>
      </c>
      <c r="F1029" t="s">
        <v>2117</v>
      </c>
      <c r="G1029" t="s">
        <v>2213</v>
      </c>
      <c r="H1029">
        <v>10455</v>
      </c>
      <c r="I1029" t="s">
        <v>2229</v>
      </c>
      <c r="J1029">
        <v>4</v>
      </c>
      <c r="K1029">
        <v>3</v>
      </c>
      <c r="L1029" t="s">
        <v>2260</v>
      </c>
      <c r="M1029" t="s">
        <v>2677</v>
      </c>
      <c r="P1029" t="s">
        <v>2915</v>
      </c>
      <c r="Q1029" t="s">
        <v>3255</v>
      </c>
      <c r="R1029" t="s">
        <v>3259</v>
      </c>
      <c r="S1029" t="s">
        <v>3272</v>
      </c>
      <c r="X1029" t="s">
        <v>3354</v>
      </c>
      <c r="Y1029" t="s">
        <v>2678</v>
      </c>
      <c r="Z1029" t="s">
        <v>3364</v>
      </c>
      <c r="AA1029" t="s">
        <v>3406</v>
      </c>
      <c r="AB1029" t="s">
        <v>3420</v>
      </c>
      <c r="AC1029">
        <f>HYPERLINK("https://lsnyc.legalserver.org/matter/dynamic-profile/view/1887579","19-1887579")</f>
        <v>0</v>
      </c>
      <c r="AD1029" t="s">
        <v>3444</v>
      </c>
      <c r="AE1029" t="s">
        <v>3466</v>
      </c>
      <c r="AF1029" t="s">
        <v>3793</v>
      </c>
      <c r="AG1029" t="s">
        <v>3364</v>
      </c>
      <c r="AH1029" t="s">
        <v>4904</v>
      </c>
      <c r="AK1029" t="s">
        <v>4911</v>
      </c>
      <c r="AL1029" t="s">
        <v>2117</v>
      </c>
      <c r="AN1029" t="s">
        <v>3420</v>
      </c>
    </row>
    <row r="1030" spans="1:40">
      <c r="A1030" s="1" t="s">
        <v>1066</v>
      </c>
      <c r="B1030" t="s">
        <v>1998</v>
      </c>
      <c r="C1030" t="s">
        <v>2001</v>
      </c>
      <c r="D1030" t="s">
        <v>2058</v>
      </c>
      <c r="E1030" t="s">
        <v>2112</v>
      </c>
      <c r="F1030" t="s">
        <v>2117</v>
      </c>
      <c r="G1030" t="s">
        <v>2213</v>
      </c>
      <c r="H1030">
        <v>10455</v>
      </c>
      <c r="I1030" t="s">
        <v>2229</v>
      </c>
      <c r="J1030">
        <v>4</v>
      </c>
      <c r="K1030">
        <v>3</v>
      </c>
      <c r="L1030" t="s">
        <v>2260</v>
      </c>
      <c r="M1030" t="s">
        <v>2677</v>
      </c>
      <c r="P1030" t="s">
        <v>2915</v>
      </c>
      <c r="Q1030" t="s">
        <v>2113</v>
      </c>
      <c r="R1030" t="s">
        <v>3259</v>
      </c>
      <c r="S1030" t="s">
        <v>3267</v>
      </c>
      <c r="X1030" t="s">
        <v>3354</v>
      </c>
      <c r="Y1030" t="s">
        <v>2678</v>
      </c>
      <c r="Z1030" t="s">
        <v>3380</v>
      </c>
      <c r="AA1030" t="s">
        <v>3406</v>
      </c>
      <c r="AB1030" t="s">
        <v>3415</v>
      </c>
      <c r="AC1030">
        <f>HYPERLINK("https://lsnyc.legalserver.org/matter/dynamic-profile/view/1887588","19-1887588")</f>
        <v>0</v>
      </c>
      <c r="AD1030" t="s">
        <v>3444</v>
      </c>
      <c r="AE1030" t="s">
        <v>3466</v>
      </c>
      <c r="AF1030" t="s">
        <v>3630</v>
      </c>
      <c r="AG1030" t="s">
        <v>3380</v>
      </c>
      <c r="AH1030" t="s">
        <v>4906</v>
      </c>
      <c r="AK1030" t="s">
        <v>4911</v>
      </c>
      <c r="AL1030" t="s">
        <v>2117</v>
      </c>
      <c r="AN1030" t="s">
        <v>3415</v>
      </c>
    </row>
    <row r="1031" spans="1:40">
      <c r="A1031" s="1" t="s">
        <v>1067</v>
      </c>
      <c r="B1031" t="s">
        <v>1998</v>
      </c>
      <c r="C1031" t="s">
        <v>2001</v>
      </c>
      <c r="D1031" t="s">
        <v>2058</v>
      </c>
      <c r="E1031" t="s">
        <v>2112</v>
      </c>
      <c r="F1031" t="s">
        <v>2117</v>
      </c>
      <c r="G1031" t="s">
        <v>2213</v>
      </c>
      <c r="H1031">
        <v>10455</v>
      </c>
      <c r="I1031" t="s">
        <v>2229</v>
      </c>
      <c r="J1031">
        <v>4</v>
      </c>
      <c r="K1031">
        <v>3</v>
      </c>
      <c r="L1031" t="s">
        <v>2260</v>
      </c>
      <c r="M1031" t="s">
        <v>2677</v>
      </c>
      <c r="P1031" t="s">
        <v>2915</v>
      </c>
      <c r="Q1031" t="s">
        <v>2113</v>
      </c>
      <c r="R1031" t="s">
        <v>3259</v>
      </c>
      <c r="S1031" t="s">
        <v>3272</v>
      </c>
      <c r="X1031" t="s">
        <v>3354</v>
      </c>
      <c r="Y1031" t="s">
        <v>2678</v>
      </c>
      <c r="Z1031" t="s">
        <v>3364</v>
      </c>
      <c r="AA1031" t="s">
        <v>3406</v>
      </c>
      <c r="AB1031" t="s">
        <v>3420</v>
      </c>
      <c r="AC1031">
        <f>HYPERLINK("https://lsnyc.legalserver.org/matter/dynamic-profile/view/1887595","19-1887595")</f>
        <v>0</v>
      </c>
      <c r="AD1031" t="s">
        <v>3444</v>
      </c>
      <c r="AE1031" t="s">
        <v>3466</v>
      </c>
      <c r="AF1031" t="s">
        <v>3630</v>
      </c>
      <c r="AG1031" t="s">
        <v>3364</v>
      </c>
      <c r="AH1031" t="s">
        <v>4904</v>
      </c>
      <c r="AK1031" t="s">
        <v>4911</v>
      </c>
      <c r="AL1031" t="s">
        <v>2117</v>
      </c>
      <c r="AN1031" t="s">
        <v>3420</v>
      </c>
    </row>
    <row r="1032" spans="1:40">
      <c r="A1032" s="1" t="s">
        <v>1068</v>
      </c>
      <c r="B1032" t="s">
        <v>2000</v>
      </c>
      <c r="C1032" t="s">
        <v>2012</v>
      </c>
      <c r="D1032" t="s">
        <v>2060</v>
      </c>
      <c r="E1032" t="s">
        <v>2112</v>
      </c>
      <c r="F1032" t="s">
        <v>2116</v>
      </c>
      <c r="G1032" t="s">
        <v>2213</v>
      </c>
      <c r="H1032">
        <v>10451</v>
      </c>
      <c r="I1032" t="s">
        <v>2229</v>
      </c>
      <c r="J1032">
        <v>4</v>
      </c>
      <c r="K1032">
        <v>3</v>
      </c>
      <c r="L1032" t="s">
        <v>2384</v>
      </c>
      <c r="M1032" t="s">
        <v>2677</v>
      </c>
      <c r="P1032" t="s">
        <v>2915</v>
      </c>
      <c r="Q1032" t="s">
        <v>2113</v>
      </c>
      <c r="R1032" t="s">
        <v>3258</v>
      </c>
      <c r="S1032" t="s">
        <v>3262</v>
      </c>
      <c r="X1032" t="s">
        <v>3354</v>
      </c>
      <c r="Y1032" t="s">
        <v>2677</v>
      </c>
      <c r="Z1032" t="s">
        <v>3355</v>
      </c>
      <c r="AA1032" t="s">
        <v>3406</v>
      </c>
      <c r="AB1032" t="s">
        <v>3410</v>
      </c>
      <c r="AC1032">
        <f>HYPERLINK("https://lsnyc.legalserver.org/matter/dynamic-profile/view/1887596","19-1887596")</f>
        <v>0</v>
      </c>
      <c r="AD1032" t="s">
        <v>3445</v>
      </c>
      <c r="AE1032" t="s">
        <v>3452</v>
      </c>
      <c r="AF1032" t="s">
        <v>4292</v>
      </c>
      <c r="AG1032" t="s">
        <v>3355</v>
      </c>
      <c r="AH1032" t="s">
        <v>4904</v>
      </c>
      <c r="AI1032" t="s">
        <v>4909</v>
      </c>
      <c r="AK1032" t="s">
        <v>4911</v>
      </c>
      <c r="AL1032" t="s">
        <v>2116</v>
      </c>
      <c r="AN1032" t="s">
        <v>3410</v>
      </c>
    </row>
    <row r="1033" spans="1:40">
      <c r="A1033" s="1" t="s">
        <v>1069</v>
      </c>
      <c r="B1033" t="s">
        <v>1998</v>
      </c>
      <c r="C1033" t="s">
        <v>2009</v>
      </c>
      <c r="D1033" t="s">
        <v>2051</v>
      </c>
      <c r="E1033" t="s">
        <v>2112</v>
      </c>
      <c r="F1033" t="s">
        <v>2116</v>
      </c>
      <c r="G1033" t="s">
        <v>2212</v>
      </c>
      <c r="H1033">
        <v>11368</v>
      </c>
      <c r="J1033">
        <v>3</v>
      </c>
      <c r="K1033">
        <v>2</v>
      </c>
      <c r="L1033" t="s">
        <v>2273</v>
      </c>
      <c r="M1033" t="s">
        <v>2677</v>
      </c>
      <c r="P1033" t="s">
        <v>2915</v>
      </c>
      <c r="Q1033" t="s">
        <v>2113</v>
      </c>
      <c r="R1033" t="s">
        <v>3258</v>
      </c>
      <c r="S1033" t="s">
        <v>3286</v>
      </c>
      <c r="X1033" t="s">
        <v>3354</v>
      </c>
      <c r="Y1033" t="s">
        <v>2677</v>
      </c>
      <c r="Z1033" t="s">
        <v>3388</v>
      </c>
      <c r="AA1033" t="s">
        <v>3406</v>
      </c>
      <c r="AB1033" t="s">
        <v>3434</v>
      </c>
      <c r="AC1033">
        <f>HYPERLINK("https://lsnyc.legalserver.org/matter/dynamic-profile/view/1887607","19-1887607")</f>
        <v>0</v>
      </c>
      <c r="AD1033" t="s">
        <v>3445</v>
      </c>
      <c r="AE1033" t="s">
        <v>3455</v>
      </c>
      <c r="AF1033" t="s">
        <v>4293</v>
      </c>
      <c r="AG1033" t="s">
        <v>3388</v>
      </c>
      <c r="AH1033" t="s">
        <v>4904</v>
      </c>
      <c r="AK1033" t="s">
        <v>4911</v>
      </c>
      <c r="AL1033" t="s">
        <v>2116</v>
      </c>
      <c r="AN1033" t="s">
        <v>3434</v>
      </c>
    </row>
    <row r="1034" spans="1:40">
      <c r="A1034" s="1" t="s">
        <v>1070</v>
      </c>
      <c r="B1034" t="s">
        <v>2002</v>
      </c>
      <c r="C1034" t="s">
        <v>2016</v>
      </c>
      <c r="D1034" t="s">
        <v>2091</v>
      </c>
      <c r="E1034" t="s">
        <v>2111</v>
      </c>
      <c r="F1034" t="s">
        <v>2123</v>
      </c>
      <c r="G1034" t="s">
        <v>2211</v>
      </c>
      <c r="H1034">
        <v>10002</v>
      </c>
      <c r="I1034" t="s">
        <v>2229</v>
      </c>
      <c r="J1034">
        <v>4</v>
      </c>
      <c r="K1034">
        <v>2</v>
      </c>
      <c r="L1034" t="s">
        <v>2260</v>
      </c>
      <c r="M1034" t="s">
        <v>2677</v>
      </c>
      <c r="P1034" t="s">
        <v>2781</v>
      </c>
      <c r="Q1034" t="s">
        <v>2113</v>
      </c>
      <c r="R1034" t="s">
        <v>3258</v>
      </c>
      <c r="S1034" t="s">
        <v>3271</v>
      </c>
      <c r="X1034" t="s">
        <v>3354</v>
      </c>
      <c r="Y1034" t="s">
        <v>2678</v>
      </c>
      <c r="Z1034" t="s">
        <v>3369</v>
      </c>
      <c r="AA1034" t="s">
        <v>3406</v>
      </c>
      <c r="AB1034" t="s">
        <v>3419</v>
      </c>
      <c r="AC1034">
        <f>HYPERLINK("https://lsnyc.legalserver.org/matter/dynamic-profile/view/1887619","19-1887619")</f>
        <v>0</v>
      </c>
      <c r="AD1034" t="s">
        <v>3442</v>
      </c>
      <c r="AE1034" t="s">
        <v>3470</v>
      </c>
      <c r="AF1034" t="s">
        <v>4294</v>
      </c>
      <c r="AG1034" t="s">
        <v>3369</v>
      </c>
      <c r="AH1034" t="s">
        <v>4904</v>
      </c>
      <c r="AL1034" t="s">
        <v>2123</v>
      </c>
      <c r="AN1034" t="s">
        <v>3419</v>
      </c>
    </row>
    <row r="1035" spans="1:40">
      <c r="A1035" s="1" t="s">
        <v>1071</v>
      </c>
      <c r="B1035" t="s">
        <v>1998</v>
      </c>
      <c r="C1035" t="s">
        <v>1998</v>
      </c>
      <c r="D1035" t="s">
        <v>2081</v>
      </c>
      <c r="E1035" t="s">
        <v>2112</v>
      </c>
      <c r="F1035" t="s">
        <v>2117</v>
      </c>
      <c r="G1035" t="s">
        <v>2212</v>
      </c>
      <c r="H1035">
        <v>11432</v>
      </c>
      <c r="I1035" t="s">
        <v>2229</v>
      </c>
      <c r="J1035">
        <v>2</v>
      </c>
      <c r="K1035">
        <v>1</v>
      </c>
      <c r="L1035" t="s">
        <v>2260</v>
      </c>
      <c r="M1035" t="s">
        <v>2677</v>
      </c>
      <c r="P1035" t="s">
        <v>2767</v>
      </c>
      <c r="Q1035" t="s">
        <v>2113</v>
      </c>
      <c r="R1035" t="s">
        <v>3259</v>
      </c>
      <c r="S1035" t="s">
        <v>3267</v>
      </c>
      <c r="T1035" t="s">
        <v>3294</v>
      </c>
      <c r="U1035" t="s">
        <v>2855</v>
      </c>
      <c r="X1035" t="s">
        <v>3354</v>
      </c>
      <c r="Y1035" t="s">
        <v>2678</v>
      </c>
      <c r="Z1035" t="s">
        <v>3359</v>
      </c>
      <c r="AA1035" t="s">
        <v>3406</v>
      </c>
      <c r="AB1035" t="s">
        <v>3415</v>
      </c>
      <c r="AC1035">
        <f>HYPERLINK("https://lsnyc.legalserver.org/matter/dynamic-profile/view/1887632","19-1887632")</f>
        <v>0</v>
      </c>
      <c r="AD1035" t="s">
        <v>3443</v>
      </c>
      <c r="AE1035" t="s">
        <v>3457</v>
      </c>
      <c r="AF1035" t="s">
        <v>4004</v>
      </c>
      <c r="AG1035" t="s">
        <v>3359</v>
      </c>
      <c r="AH1035" t="s">
        <v>4906</v>
      </c>
      <c r="AL1035" t="s">
        <v>2117</v>
      </c>
      <c r="AM1035" t="s">
        <v>3294</v>
      </c>
      <c r="AN1035" t="s">
        <v>3415</v>
      </c>
    </row>
    <row r="1036" spans="1:40">
      <c r="A1036" s="1" t="s">
        <v>1072</v>
      </c>
      <c r="B1036" t="s">
        <v>2002</v>
      </c>
      <c r="C1036" t="s">
        <v>2016</v>
      </c>
      <c r="D1036" t="s">
        <v>2058</v>
      </c>
      <c r="E1036" t="s">
        <v>2111</v>
      </c>
      <c r="F1036" t="s">
        <v>2123</v>
      </c>
      <c r="G1036" t="s">
        <v>2211</v>
      </c>
      <c r="H1036">
        <v>10002</v>
      </c>
      <c r="I1036" t="s">
        <v>2229</v>
      </c>
      <c r="J1036">
        <v>4</v>
      </c>
      <c r="K1036">
        <v>2</v>
      </c>
      <c r="L1036" t="s">
        <v>2260</v>
      </c>
      <c r="M1036" t="s">
        <v>2677</v>
      </c>
      <c r="P1036" t="s">
        <v>2781</v>
      </c>
      <c r="Q1036" t="s">
        <v>2113</v>
      </c>
      <c r="R1036" t="s">
        <v>3258</v>
      </c>
      <c r="S1036" t="s">
        <v>3271</v>
      </c>
      <c r="X1036" t="s">
        <v>3354</v>
      </c>
      <c r="Y1036" t="s">
        <v>2678</v>
      </c>
      <c r="Z1036" t="s">
        <v>3369</v>
      </c>
      <c r="AA1036" t="s">
        <v>3406</v>
      </c>
      <c r="AB1036" t="s">
        <v>3419</v>
      </c>
      <c r="AC1036">
        <f>HYPERLINK("https://lsnyc.legalserver.org/matter/dynamic-profile/view/1887633","19-1887633")</f>
        <v>0</v>
      </c>
      <c r="AD1036" t="s">
        <v>3442</v>
      </c>
      <c r="AE1036" t="s">
        <v>3470</v>
      </c>
      <c r="AF1036" t="s">
        <v>4295</v>
      </c>
      <c r="AG1036" t="s">
        <v>3369</v>
      </c>
      <c r="AH1036" t="s">
        <v>4904</v>
      </c>
      <c r="AL1036" t="s">
        <v>2123</v>
      </c>
      <c r="AN1036" t="s">
        <v>3419</v>
      </c>
    </row>
    <row r="1037" spans="1:40">
      <c r="A1037" s="1" t="s">
        <v>1073</v>
      </c>
      <c r="B1037" t="s">
        <v>1998</v>
      </c>
      <c r="C1037" t="s">
        <v>2012</v>
      </c>
      <c r="D1037" t="s">
        <v>2070</v>
      </c>
      <c r="E1037" t="s">
        <v>2111</v>
      </c>
      <c r="F1037" t="s">
        <v>2116</v>
      </c>
      <c r="G1037" t="s">
        <v>2214</v>
      </c>
      <c r="H1037">
        <v>11226</v>
      </c>
      <c r="I1037" t="s">
        <v>2229</v>
      </c>
      <c r="J1037">
        <v>5</v>
      </c>
      <c r="K1037">
        <v>2</v>
      </c>
      <c r="L1037" t="s">
        <v>2275</v>
      </c>
      <c r="M1037" t="s">
        <v>2677</v>
      </c>
      <c r="P1037" t="s">
        <v>2749</v>
      </c>
      <c r="Q1037" t="s">
        <v>2113</v>
      </c>
      <c r="R1037" t="s">
        <v>3261</v>
      </c>
      <c r="S1037" t="s">
        <v>3285</v>
      </c>
      <c r="X1037" t="s">
        <v>3354</v>
      </c>
      <c r="Y1037" t="s">
        <v>2678</v>
      </c>
      <c r="Z1037" t="s">
        <v>3371</v>
      </c>
      <c r="AA1037" t="s">
        <v>3409</v>
      </c>
      <c r="AB1037" t="s">
        <v>3433</v>
      </c>
      <c r="AC1037">
        <f>HYPERLINK("https://lsnyc.legalserver.org/matter/dynamic-profile/view/1887666","19-1887666")</f>
        <v>0</v>
      </c>
      <c r="AD1037" t="s">
        <v>3443</v>
      </c>
      <c r="AE1037" t="s">
        <v>3471</v>
      </c>
      <c r="AF1037" t="s">
        <v>4296</v>
      </c>
      <c r="AG1037" t="s">
        <v>3371</v>
      </c>
      <c r="AH1037" t="s">
        <v>3409</v>
      </c>
      <c r="AL1037" t="s">
        <v>2116</v>
      </c>
      <c r="AN1037" t="s">
        <v>3433</v>
      </c>
    </row>
    <row r="1038" spans="1:40">
      <c r="A1038" s="1" t="s">
        <v>1074</v>
      </c>
      <c r="B1038" t="s">
        <v>2017</v>
      </c>
      <c r="C1038" t="s">
        <v>1998</v>
      </c>
      <c r="D1038" t="s">
        <v>2055</v>
      </c>
      <c r="E1038" t="s">
        <v>2112</v>
      </c>
      <c r="F1038" t="s">
        <v>2120</v>
      </c>
      <c r="G1038" t="s">
        <v>2214</v>
      </c>
      <c r="H1038">
        <v>11233</v>
      </c>
      <c r="J1038">
        <v>3</v>
      </c>
      <c r="K1038">
        <v>1</v>
      </c>
      <c r="L1038" t="s">
        <v>2333</v>
      </c>
      <c r="M1038" t="s">
        <v>2677</v>
      </c>
      <c r="P1038" t="s">
        <v>2915</v>
      </c>
      <c r="Q1038" t="s">
        <v>2113</v>
      </c>
      <c r="R1038" t="s">
        <v>3258</v>
      </c>
      <c r="S1038" t="s">
        <v>3279</v>
      </c>
      <c r="X1038" t="s">
        <v>3354</v>
      </c>
      <c r="Y1038" t="s">
        <v>2677</v>
      </c>
      <c r="Z1038" t="s">
        <v>3377</v>
      </c>
      <c r="AA1038" t="s">
        <v>3406</v>
      </c>
      <c r="AB1038" t="s">
        <v>3427</v>
      </c>
      <c r="AC1038">
        <f>HYPERLINK("https://lsnyc.legalserver.org/matter/dynamic-profile/view/1887680","19-1887680")</f>
        <v>0</v>
      </c>
      <c r="AD1038" t="s">
        <v>3445</v>
      </c>
      <c r="AE1038" t="s">
        <v>3455</v>
      </c>
      <c r="AF1038" t="s">
        <v>4297</v>
      </c>
      <c r="AG1038" t="s">
        <v>3377</v>
      </c>
      <c r="AH1038" t="s">
        <v>4904</v>
      </c>
      <c r="AK1038" t="s">
        <v>4911</v>
      </c>
      <c r="AL1038" t="s">
        <v>2120</v>
      </c>
      <c r="AN1038" t="s">
        <v>3427</v>
      </c>
    </row>
    <row r="1039" spans="1:40">
      <c r="A1039" s="1" t="s">
        <v>1075</v>
      </c>
      <c r="B1039" t="s">
        <v>1998</v>
      </c>
      <c r="C1039" t="s">
        <v>2016</v>
      </c>
      <c r="D1039" t="s">
        <v>2080</v>
      </c>
      <c r="E1039" t="s">
        <v>2112</v>
      </c>
      <c r="F1039" t="s">
        <v>2179</v>
      </c>
      <c r="G1039" t="s">
        <v>2212</v>
      </c>
      <c r="H1039">
        <v>11432</v>
      </c>
      <c r="I1039" t="s">
        <v>2230</v>
      </c>
      <c r="J1039">
        <v>5</v>
      </c>
      <c r="K1039">
        <v>3</v>
      </c>
      <c r="L1039" t="s">
        <v>2271</v>
      </c>
      <c r="M1039" t="s">
        <v>2677</v>
      </c>
      <c r="P1039" t="s">
        <v>2916</v>
      </c>
      <c r="Q1039" t="s">
        <v>2113</v>
      </c>
      <c r="R1039" t="s">
        <v>3258</v>
      </c>
      <c r="S1039" t="s">
        <v>3271</v>
      </c>
      <c r="T1039" t="s">
        <v>3294</v>
      </c>
      <c r="U1039" t="s">
        <v>2766</v>
      </c>
      <c r="X1039" t="s">
        <v>3354</v>
      </c>
      <c r="Y1039" t="s">
        <v>2677</v>
      </c>
      <c r="Z1039" t="s">
        <v>3362</v>
      </c>
      <c r="AA1039" t="s">
        <v>3406</v>
      </c>
      <c r="AB1039" t="s">
        <v>3419</v>
      </c>
      <c r="AC1039">
        <f>HYPERLINK("https://lsnyc.legalserver.org/matter/dynamic-profile/view/1887481","19-1887481")</f>
        <v>0</v>
      </c>
      <c r="AD1039" t="s">
        <v>3445</v>
      </c>
      <c r="AE1039" t="s">
        <v>3452</v>
      </c>
      <c r="AF1039" t="s">
        <v>3980</v>
      </c>
      <c r="AG1039" t="s">
        <v>3362</v>
      </c>
      <c r="AH1039" t="s">
        <v>4904</v>
      </c>
      <c r="AK1039" t="s">
        <v>4911</v>
      </c>
      <c r="AL1039" t="s">
        <v>2179</v>
      </c>
      <c r="AM1039" t="s">
        <v>3294</v>
      </c>
      <c r="AN1039" t="s">
        <v>3419</v>
      </c>
    </row>
    <row r="1040" spans="1:40">
      <c r="A1040" s="1" t="s">
        <v>1076</v>
      </c>
      <c r="B1040" t="s">
        <v>2016</v>
      </c>
      <c r="C1040" t="s">
        <v>2000</v>
      </c>
      <c r="D1040" t="s">
        <v>2076</v>
      </c>
      <c r="E1040" t="s">
        <v>2112</v>
      </c>
      <c r="F1040" t="s">
        <v>2173</v>
      </c>
      <c r="G1040" t="s">
        <v>2212</v>
      </c>
      <c r="H1040">
        <v>11355</v>
      </c>
      <c r="I1040" t="s">
        <v>2246</v>
      </c>
      <c r="J1040">
        <v>1</v>
      </c>
      <c r="K1040">
        <v>0</v>
      </c>
      <c r="L1040" t="s">
        <v>2260</v>
      </c>
      <c r="M1040" t="s">
        <v>2677</v>
      </c>
      <c r="P1040" t="s">
        <v>2916</v>
      </c>
      <c r="Q1040" t="s">
        <v>2113</v>
      </c>
      <c r="R1040" t="s">
        <v>3258</v>
      </c>
      <c r="S1040" t="s">
        <v>3279</v>
      </c>
      <c r="T1040" t="s">
        <v>3295</v>
      </c>
      <c r="U1040" t="s">
        <v>2875</v>
      </c>
      <c r="X1040" t="s">
        <v>3354</v>
      </c>
      <c r="Y1040" t="s">
        <v>2678</v>
      </c>
      <c r="Z1040" t="s">
        <v>3377</v>
      </c>
      <c r="AA1040" t="s">
        <v>3406</v>
      </c>
      <c r="AB1040" t="s">
        <v>3427</v>
      </c>
      <c r="AC1040">
        <f>HYPERLINK("https://lsnyc.legalserver.org/matter/dynamic-profile/view/1887508","19-1887508")</f>
        <v>0</v>
      </c>
      <c r="AD1040" t="s">
        <v>3443</v>
      </c>
      <c r="AE1040" t="s">
        <v>3472</v>
      </c>
      <c r="AF1040" t="s">
        <v>4298</v>
      </c>
      <c r="AG1040" t="s">
        <v>3377</v>
      </c>
      <c r="AH1040" t="s">
        <v>4904</v>
      </c>
      <c r="AK1040" t="s">
        <v>4911</v>
      </c>
      <c r="AL1040" t="s">
        <v>2173</v>
      </c>
      <c r="AM1040" t="s">
        <v>3295</v>
      </c>
      <c r="AN1040" t="s">
        <v>3427</v>
      </c>
    </row>
    <row r="1041" spans="1:41">
      <c r="A1041" s="1" t="s">
        <v>1077</v>
      </c>
      <c r="B1041" t="s">
        <v>1998</v>
      </c>
      <c r="C1041" t="s">
        <v>1998</v>
      </c>
      <c r="D1041" t="s">
        <v>2092</v>
      </c>
      <c r="E1041" t="s">
        <v>2111</v>
      </c>
      <c r="F1041" t="s">
        <v>2123</v>
      </c>
      <c r="G1041" t="s">
        <v>2213</v>
      </c>
      <c r="H1041">
        <v>10460</v>
      </c>
      <c r="I1041" t="s">
        <v>2229</v>
      </c>
      <c r="J1041">
        <v>9</v>
      </c>
      <c r="K1041">
        <v>5</v>
      </c>
      <c r="L1041" t="s">
        <v>2489</v>
      </c>
      <c r="M1041" t="s">
        <v>2677</v>
      </c>
      <c r="P1041" t="s">
        <v>2916</v>
      </c>
      <c r="Q1041" t="s">
        <v>2113</v>
      </c>
      <c r="R1041" t="s">
        <v>3259</v>
      </c>
      <c r="S1041" t="s">
        <v>3270</v>
      </c>
      <c r="X1041" t="s">
        <v>3354</v>
      </c>
      <c r="Y1041" t="s">
        <v>2677</v>
      </c>
      <c r="Z1041" t="s">
        <v>3362</v>
      </c>
      <c r="AA1041" t="s">
        <v>3406</v>
      </c>
      <c r="AB1041" t="s">
        <v>3418</v>
      </c>
      <c r="AC1041">
        <f>HYPERLINK("https://lsnyc.legalserver.org/matter/dynamic-profile/view/1887521","19-1887521")</f>
        <v>0</v>
      </c>
      <c r="AD1041" t="s">
        <v>3445</v>
      </c>
      <c r="AE1041" t="s">
        <v>3469</v>
      </c>
      <c r="AF1041" t="s">
        <v>4299</v>
      </c>
      <c r="AG1041" t="s">
        <v>3362</v>
      </c>
      <c r="AH1041" t="s">
        <v>4904</v>
      </c>
      <c r="AK1041" t="s">
        <v>4911</v>
      </c>
      <c r="AL1041" t="s">
        <v>2123</v>
      </c>
      <c r="AN1041" t="s">
        <v>3418</v>
      </c>
    </row>
    <row r="1042" spans="1:41">
      <c r="A1042" s="1" t="s">
        <v>1078</v>
      </c>
      <c r="B1042" t="s">
        <v>2001</v>
      </c>
      <c r="C1042" t="s">
        <v>1998</v>
      </c>
      <c r="D1042" t="s">
        <v>2051</v>
      </c>
      <c r="E1042" t="s">
        <v>2112</v>
      </c>
      <c r="F1042" t="s">
        <v>2117</v>
      </c>
      <c r="G1042" t="s">
        <v>2213</v>
      </c>
      <c r="H1042">
        <v>10455</v>
      </c>
      <c r="I1042" t="s">
        <v>2229</v>
      </c>
      <c r="J1042">
        <v>4</v>
      </c>
      <c r="K1042">
        <v>3</v>
      </c>
      <c r="L1042" t="s">
        <v>2260</v>
      </c>
      <c r="M1042" t="s">
        <v>2677</v>
      </c>
      <c r="P1042" t="s">
        <v>2916</v>
      </c>
      <c r="Q1042" t="s">
        <v>2113</v>
      </c>
      <c r="R1042" t="s">
        <v>3259</v>
      </c>
      <c r="S1042" t="s">
        <v>3288</v>
      </c>
      <c r="X1042" t="s">
        <v>3354</v>
      </c>
      <c r="Y1042" t="s">
        <v>2678</v>
      </c>
      <c r="Z1042" t="s">
        <v>3389</v>
      </c>
      <c r="AA1042" t="s">
        <v>3406</v>
      </c>
      <c r="AB1042" t="s">
        <v>3436</v>
      </c>
      <c r="AC1042">
        <f>HYPERLINK("https://lsnyc.legalserver.org/matter/dynamic-profile/view/1887535","19-1887535")</f>
        <v>0</v>
      </c>
      <c r="AD1042" t="s">
        <v>3444</v>
      </c>
      <c r="AE1042" t="s">
        <v>3466</v>
      </c>
      <c r="AF1042" t="s">
        <v>3859</v>
      </c>
      <c r="AG1042" t="s">
        <v>3389</v>
      </c>
      <c r="AH1042" t="s">
        <v>4905</v>
      </c>
      <c r="AK1042" t="s">
        <v>4911</v>
      </c>
      <c r="AL1042" t="s">
        <v>2117</v>
      </c>
      <c r="AN1042" t="s">
        <v>3436</v>
      </c>
    </row>
    <row r="1043" spans="1:41">
      <c r="A1043" s="1" t="s">
        <v>1079</v>
      </c>
      <c r="B1043" t="s">
        <v>1998</v>
      </c>
      <c r="C1043" t="s">
        <v>2000</v>
      </c>
      <c r="D1043" t="s">
        <v>2079</v>
      </c>
      <c r="E1043" t="s">
        <v>2112</v>
      </c>
      <c r="F1043" t="s">
        <v>2165</v>
      </c>
      <c r="G1043" t="s">
        <v>2212</v>
      </c>
      <c r="H1043">
        <v>11419</v>
      </c>
      <c r="I1043" t="s">
        <v>2230</v>
      </c>
      <c r="J1043">
        <v>5</v>
      </c>
      <c r="K1043">
        <v>1</v>
      </c>
      <c r="L1043" t="s">
        <v>2423</v>
      </c>
      <c r="M1043" t="s">
        <v>2677</v>
      </c>
      <c r="P1043" t="s">
        <v>2917</v>
      </c>
      <c r="Q1043" t="s">
        <v>2113</v>
      </c>
      <c r="R1043" t="s">
        <v>3258</v>
      </c>
      <c r="S1043" t="s">
        <v>3271</v>
      </c>
      <c r="X1043" t="s">
        <v>3354</v>
      </c>
      <c r="Y1043" t="s">
        <v>2677</v>
      </c>
      <c r="Z1043" t="s">
        <v>3362</v>
      </c>
      <c r="AA1043" t="s">
        <v>3406</v>
      </c>
      <c r="AB1043" t="s">
        <v>3419</v>
      </c>
      <c r="AC1043">
        <f>HYPERLINK("https://lsnyc.legalserver.org/matter/dynamic-profile/view/1887358","19-1887358")</f>
        <v>0</v>
      </c>
      <c r="AD1043" t="s">
        <v>3445</v>
      </c>
      <c r="AE1043" t="s">
        <v>3452</v>
      </c>
      <c r="AF1043" t="s">
        <v>3979</v>
      </c>
      <c r="AG1043" t="s">
        <v>3362</v>
      </c>
      <c r="AH1043" t="s">
        <v>4904</v>
      </c>
      <c r="AK1043" t="s">
        <v>4911</v>
      </c>
      <c r="AL1043" t="s">
        <v>2165</v>
      </c>
      <c r="AN1043" t="s">
        <v>3419</v>
      </c>
    </row>
    <row r="1044" spans="1:41">
      <c r="A1044" s="1" t="s">
        <v>1080</v>
      </c>
      <c r="B1044" t="s">
        <v>2005</v>
      </c>
      <c r="C1044" t="s">
        <v>1998</v>
      </c>
      <c r="D1044" t="s">
        <v>2083</v>
      </c>
      <c r="E1044" t="s">
        <v>2112</v>
      </c>
      <c r="F1044" t="s">
        <v>2167</v>
      </c>
      <c r="G1044" t="s">
        <v>2211</v>
      </c>
      <c r="H1044">
        <v>10026</v>
      </c>
      <c r="I1044" t="s">
        <v>2230</v>
      </c>
      <c r="J1044">
        <v>3</v>
      </c>
      <c r="K1044">
        <v>2</v>
      </c>
      <c r="L1044" t="s">
        <v>2435</v>
      </c>
      <c r="M1044" t="s">
        <v>2677</v>
      </c>
      <c r="P1044" t="s">
        <v>2917</v>
      </c>
      <c r="Q1044" t="s">
        <v>2113</v>
      </c>
      <c r="R1044" t="s">
        <v>3258</v>
      </c>
      <c r="S1044" t="s">
        <v>3271</v>
      </c>
      <c r="T1044" t="s">
        <v>3294</v>
      </c>
      <c r="U1044" t="s">
        <v>2827</v>
      </c>
      <c r="X1044" t="s">
        <v>3354</v>
      </c>
      <c r="Y1044" t="s">
        <v>2677</v>
      </c>
      <c r="Z1044" t="s">
        <v>3362</v>
      </c>
      <c r="AA1044" t="s">
        <v>3406</v>
      </c>
      <c r="AB1044" t="s">
        <v>3419</v>
      </c>
      <c r="AC1044">
        <f>HYPERLINK("https://lsnyc.legalserver.org/matter/dynamic-profile/view/1887359","19-1887359")</f>
        <v>0</v>
      </c>
      <c r="AD1044" t="s">
        <v>3445</v>
      </c>
      <c r="AE1044" t="s">
        <v>3452</v>
      </c>
      <c r="AF1044" t="s">
        <v>4030</v>
      </c>
      <c r="AG1044" t="s">
        <v>3362</v>
      </c>
      <c r="AH1044" t="s">
        <v>4904</v>
      </c>
      <c r="AK1044" t="s">
        <v>4911</v>
      </c>
      <c r="AL1044" t="s">
        <v>2167</v>
      </c>
      <c r="AM1044" t="s">
        <v>3294</v>
      </c>
      <c r="AN1044" t="s">
        <v>3419</v>
      </c>
    </row>
    <row r="1045" spans="1:41">
      <c r="A1045" s="1" t="s">
        <v>1081</v>
      </c>
      <c r="B1045" t="s">
        <v>1998</v>
      </c>
      <c r="C1045" t="s">
        <v>1999</v>
      </c>
      <c r="D1045" t="s">
        <v>2093</v>
      </c>
      <c r="E1045" t="s">
        <v>2112</v>
      </c>
      <c r="F1045" t="s">
        <v>2116</v>
      </c>
      <c r="G1045" t="s">
        <v>2212</v>
      </c>
      <c r="H1045">
        <v>11372</v>
      </c>
      <c r="I1045" t="s">
        <v>2229</v>
      </c>
      <c r="J1045">
        <v>1</v>
      </c>
      <c r="K1045">
        <v>0</v>
      </c>
      <c r="L1045" t="s">
        <v>2256</v>
      </c>
      <c r="M1045" t="s">
        <v>2677</v>
      </c>
      <c r="P1045" t="s">
        <v>2917</v>
      </c>
      <c r="Q1045" t="s">
        <v>3255</v>
      </c>
      <c r="R1045" t="s">
        <v>3259</v>
      </c>
      <c r="S1045" t="s">
        <v>3270</v>
      </c>
      <c r="T1045" t="s">
        <v>3296</v>
      </c>
      <c r="U1045" t="s">
        <v>2703</v>
      </c>
      <c r="V1045" t="s">
        <v>3352</v>
      </c>
      <c r="X1045" t="s">
        <v>3354</v>
      </c>
      <c r="Y1045" t="s">
        <v>2678</v>
      </c>
      <c r="Z1045" t="s">
        <v>3400</v>
      </c>
      <c r="AA1045" t="s">
        <v>3406</v>
      </c>
      <c r="AB1045" t="s">
        <v>3418</v>
      </c>
      <c r="AC1045">
        <f>HYPERLINK("https://lsnyc.legalserver.org/matter/dynamic-profile/view/1887381","19-1887381")</f>
        <v>0</v>
      </c>
      <c r="AD1045" t="s">
        <v>3443</v>
      </c>
      <c r="AE1045" t="s">
        <v>3449</v>
      </c>
      <c r="AF1045" t="s">
        <v>4300</v>
      </c>
      <c r="AG1045" t="s">
        <v>3400</v>
      </c>
      <c r="AH1045" t="s">
        <v>4904</v>
      </c>
      <c r="AK1045" t="s">
        <v>4911</v>
      </c>
      <c r="AL1045" t="s">
        <v>2116</v>
      </c>
      <c r="AM1045" t="s">
        <v>3296</v>
      </c>
      <c r="AN1045" t="s">
        <v>3418</v>
      </c>
      <c r="AO1045" t="s">
        <v>3352</v>
      </c>
    </row>
    <row r="1046" spans="1:41">
      <c r="A1046" s="1" t="s">
        <v>1082</v>
      </c>
      <c r="B1046" t="s">
        <v>2000</v>
      </c>
      <c r="C1046" t="s">
        <v>2009</v>
      </c>
      <c r="D1046" t="s">
        <v>2078</v>
      </c>
      <c r="E1046" t="s">
        <v>2112</v>
      </c>
      <c r="F1046" t="s">
        <v>2117</v>
      </c>
      <c r="G1046" t="s">
        <v>2213</v>
      </c>
      <c r="H1046">
        <v>10458</v>
      </c>
      <c r="I1046" t="s">
        <v>2229</v>
      </c>
      <c r="J1046">
        <v>4</v>
      </c>
      <c r="K1046">
        <v>3</v>
      </c>
      <c r="L1046" t="s">
        <v>2260</v>
      </c>
      <c r="M1046" t="s">
        <v>2677</v>
      </c>
      <c r="P1046" t="s">
        <v>2917</v>
      </c>
      <c r="Q1046" t="s">
        <v>3255</v>
      </c>
      <c r="R1046" t="s">
        <v>3258</v>
      </c>
      <c r="S1046" t="s">
        <v>3289</v>
      </c>
      <c r="X1046" t="s">
        <v>3354</v>
      </c>
      <c r="Y1046" t="s">
        <v>2678</v>
      </c>
      <c r="Z1046" t="s">
        <v>3390</v>
      </c>
      <c r="AA1046" t="s">
        <v>3406</v>
      </c>
      <c r="AB1046" t="s">
        <v>3437</v>
      </c>
      <c r="AC1046">
        <f>HYPERLINK("https://lsnyc.legalserver.org/matter/dynamic-profile/view/1887383","19-1887383")</f>
        <v>0</v>
      </c>
      <c r="AD1046" t="s">
        <v>3444</v>
      </c>
      <c r="AE1046" t="s">
        <v>3491</v>
      </c>
      <c r="AF1046" t="s">
        <v>4301</v>
      </c>
      <c r="AG1046" t="s">
        <v>3390</v>
      </c>
      <c r="AH1046" t="s">
        <v>4906</v>
      </c>
      <c r="AK1046" t="s">
        <v>4911</v>
      </c>
      <c r="AL1046" t="s">
        <v>2117</v>
      </c>
      <c r="AN1046" t="s">
        <v>3437</v>
      </c>
    </row>
    <row r="1047" spans="1:41">
      <c r="A1047" s="1" t="s">
        <v>1083</v>
      </c>
      <c r="B1047" t="s">
        <v>2001</v>
      </c>
      <c r="C1047" t="s">
        <v>2001</v>
      </c>
      <c r="D1047" t="s">
        <v>2063</v>
      </c>
      <c r="E1047" t="s">
        <v>2112</v>
      </c>
      <c r="F1047" t="s">
        <v>2115</v>
      </c>
      <c r="G1047" t="s">
        <v>2212</v>
      </c>
      <c r="H1047">
        <v>11412</v>
      </c>
      <c r="I1047" t="s">
        <v>2229</v>
      </c>
      <c r="J1047">
        <v>2</v>
      </c>
      <c r="K1047">
        <v>1</v>
      </c>
      <c r="L1047" t="s">
        <v>2304</v>
      </c>
      <c r="M1047" t="s">
        <v>2677</v>
      </c>
      <c r="P1047" t="s">
        <v>2917</v>
      </c>
      <c r="Q1047" t="s">
        <v>3255</v>
      </c>
      <c r="R1047" t="s">
        <v>3259</v>
      </c>
      <c r="S1047" t="s">
        <v>3282</v>
      </c>
      <c r="X1047" t="s">
        <v>3354</v>
      </c>
      <c r="Y1047" t="s">
        <v>2678</v>
      </c>
      <c r="Z1047" t="s">
        <v>3401</v>
      </c>
      <c r="AB1047" t="s">
        <v>3430</v>
      </c>
      <c r="AC1047">
        <f>HYPERLINK("https://lsnyc.legalserver.org/matter/dynamic-profile/view/1887390","19-1887390")</f>
        <v>0</v>
      </c>
      <c r="AD1047" t="s">
        <v>3443</v>
      </c>
      <c r="AE1047" t="s">
        <v>3467</v>
      </c>
      <c r="AF1047" t="s">
        <v>4302</v>
      </c>
      <c r="AG1047" t="s">
        <v>3401</v>
      </c>
      <c r="AI1047" t="s">
        <v>4909</v>
      </c>
      <c r="AK1047" t="s">
        <v>4911</v>
      </c>
      <c r="AL1047" t="s">
        <v>2115</v>
      </c>
      <c r="AN1047" t="s">
        <v>3430</v>
      </c>
    </row>
    <row r="1048" spans="1:41">
      <c r="A1048" s="1" t="s">
        <v>1084</v>
      </c>
      <c r="B1048" t="s">
        <v>1998</v>
      </c>
      <c r="C1048" t="s">
        <v>1998</v>
      </c>
      <c r="D1048" t="s">
        <v>2079</v>
      </c>
      <c r="E1048" t="s">
        <v>2112</v>
      </c>
      <c r="F1048" t="s">
        <v>2175</v>
      </c>
      <c r="G1048" t="s">
        <v>2214</v>
      </c>
      <c r="H1048">
        <v>11225</v>
      </c>
      <c r="I1048" t="s">
        <v>2230</v>
      </c>
      <c r="J1048">
        <v>2</v>
      </c>
      <c r="K1048">
        <v>0</v>
      </c>
      <c r="L1048" t="s">
        <v>2490</v>
      </c>
      <c r="M1048" t="s">
        <v>2677</v>
      </c>
      <c r="P1048" t="s">
        <v>2917</v>
      </c>
      <c r="Q1048" t="s">
        <v>2113</v>
      </c>
      <c r="R1048" t="s">
        <v>3258</v>
      </c>
      <c r="S1048" t="s">
        <v>3271</v>
      </c>
      <c r="T1048" t="s">
        <v>3294</v>
      </c>
      <c r="U1048" t="s">
        <v>2834</v>
      </c>
      <c r="V1048" t="s">
        <v>3352</v>
      </c>
      <c r="X1048" t="s">
        <v>3354</v>
      </c>
      <c r="Y1048" t="s">
        <v>2678</v>
      </c>
      <c r="Z1048" t="s">
        <v>3362</v>
      </c>
      <c r="AA1048" t="s">
        <v>3406</v>
      </c>
      <c r="AB1048" t="s">
        <v>3419</v>
      </c>
      <c r="AC1048">
        <f>HYPERLINK("https://lsnyc.legalserver.org/matter/dynamic-profile/view/1887412","19-1887412")</f>
        <v>0</v>
      </c>
      <c r="AD1048" t="s">
        <v>3446</v>
      </c>
      <c r="AE1048" t="s">
        <v>3473</v>
      </c>
      <c r="AF1048" t="s">
        <v>4303</v>
      </c>
      <c r="AG1048" t="s">
        <v>3362</v>
      </c>
      <c r="AH1048" t="s">
        <v>4904</v>
      </c>
      <c r="AK1048" t="s">
        <v>4911</v>
      </c>
      <c r="AL1048" t="s">
        <v>2175</v>
      </c>
      <c r="AM1048" t="s">
        <v>3294</v>
      </c>
      <c r="AN1048" t="s">
        <v>3419</v>
      </c>
      <c r="AO1048" t="s">
        <v>3352</v>
      </c>
    </row>
    <row r="1049" spans="1:41">
      <c r="A1049" s="1" t="s">
        <v>1085</v>
      </c>
      <c r="B1049" t="s">
        <v>2012</v>
      </c>
      <c r="C1049" t="s">
        <v>1998</v>
      </c>
      <c r="D1049" t="s">
        <v>2044</v>
      </c>
      <c r="E1049" t="s">
        <v>2112</v>
      </c>
      <c r="F1049" t="s">
        <v>2114</v>
      </c>
      <c r="G1049" t="s">
        <v>2212</v>
      </c>
      <c r="H1049">
        <v>11355</v>
      </c>
      <c r="I1049" t="s">
        <v>2229</v>
      </c>
      <c r="J1049">
        <v>3</v>
      </c>
      <c r="K1049">
        <v>2</v>
      </c>
      <c r="L1049" t="s">
        <v>2260</v>
      </c>
      <c r="M1049" t="s">
        <v>2677</v>
      </c>
      <c r="P1049" t="s">
        <v>2918</v>
      </c>
      <c r="Q1049" t="s">
        <v>2113</v>
      </c>
      <c r="R1049" t="s">
        <v>3259</v>
      </c>
      <c r="S1049" t="s">
        <v>3267</v>
      </c>
      <c r="X1049" t="s">
        <v>3354</v>
      </c>
      <c r="Y1049" t="s">
        <v>2678</v>
      </c>
      <c r="Z1049" t="s">
        <v>3359</v>
      </c>
      <c r="AA1049" t="s">
        <v>3406</v>
      </c>
      <c r="AB1049" t="s">
        <v>3415</v>
      </c>
      <c r="AC1049">
        <f>HYPERLINK("https://lsnyc.legalserver.org/matter/dynamic-profile/view/1887203","19-1887203")</f>
        <v>0</v>
      </c>
      <c r="AD1049" t="s">
        <v>3443</v>
      </c>
      <c r="AE1049" t="s">
        <v>3482</v>
      </c>
      <c r="AF1049" t="s">
        <v>4304</v>
      </c>
      <c r="AG1049" t="s">
        <v>3359</v>
      </c>
      <c r="AH1049" t="s">
        <v>4906</v>
      </c>
      <c r="AI1049" t="s">
        <v>4909</v>
      </c>
      <c r="AK1049" t="s">
        <v>4911</v>
      </c>
      <c r="AL1049" t="s">
        <v>2114</v>
      </c>
      <c r="AN1049" t="s">
        <v>3415</v>
      </c>
    </row>
    <row r="1050" spans="1:41">
      <c r="A1050" s="1" t="s">
        <v>1086</v>
      </c>
      <c r="B1050" t="s">
        <v>2009</v>
      </c>
      <c r="C1050" t="s">
        <v>1998</v>
      </c>
      <c r="D1050" t="s">
        <v>2080</v>
      </c>
      <c r="E1050" t="s">
        <v>2111</v>
      </c>
      <c r="F1050" t="s">
        <v>2129</v>
      </c>
      <c r="G1050" t="s">
        <v>2211</v>
      </c>
      <c r="H1050">
        <v>10011</v>
      </c>
      <c r="I1050" t="s">
        <v>2230</v>
      </c>
      <c r="J1050">
        <v>1</v>
      </c>
      <c r="K1050">
        <v>0</v>
      </c>
      <c r="L1050" t="s">
        <v>2260</v>
      </c>
      <c r="M1050" t="s">
        <v>2677</v>
      </c>
      <c r="P1050" t="s">
        <v>2919</v>
      </c>
      <c r="Q1050" t="s">
        <v>2113</v>
      </c>
      <c r="R1050" t="s">
        <v>3259</v>
      </c>
      <c r="S1050" t="s">
        <v>3267</v>
      </c>
      <c r="X1050" t="s">
        <v>3354</v>
      </c>
      <c r="Y1050" t="s">
        <v>2678</v>
      </c>
      <c r="Z1050" t="s">
        <v>3359</v>
      </c>
      <c r="AA1050" t="s">
        <v>3406</v>
      </c>
      <c r="AB1050" t="s">
        <v>3415</v>
      </c>
      <c r="AC1050">
        <f>HYPERLINK("https://lsnyc.legalserver.org/matter/dynamic-profile/view/1887036","19-1887036")</f>
        <v>0</v>
      </c>
      <c r="AD1050" t="s">
        <v>3442</v>
      </c>
      <c r="AE1050" t="s">
        <v>3448</v>
      </c>
      <c r="AF1050" t="s">
        <v>4305</v>
      </c>
      <c r="AG1050" t="s">
        <v>3359</v>
      </c>
      <c r="AH1050" t="s">
        <v>4906</v>
      </c>
      <c r="AK1050" t="s">
        <v>4911</v>
      </c>
      <c r="AL1050" t="s">
        <v>2129</v>
      </c>
      <c r="AN1050" t="s">
        <v>3415</v>
      </c>
    </row>
    <row r="1051" spans="1:41">
      <c r="A1051" s="1" t="s">
        <v>1087</v>
      </c>
      <c r="B1051" t="s">
        <v>1998</v>
      </c>
      <c r="C1051" t="s">
        <v>1998</v>
      </c>
      <c r="D1051" t="s">
        <v>2096</v>
      </c>
      <c r="E1051" t="s">
        <v>2112</v>
      </c>
      <c r="F1051" t="s">
        <v>2117</v>
      </c>
      <c r="G1051" t="s">
        <v>2213</v>
      </c>
      <c r="H1051">
        <v>10452</v>
      </c>
      <c r="I1051" t="s">
        <v>2229</v>
      </c>
      <c r="J1051">
        <v>4</v>
      </c>
      <c r="K1051">
        <v>3</v>
      </c>
      <c r="L1051" t="s">
        <v>2260</v>
      </c>
      <c r="M1051" t="s">
        <v>2677</v>
      </c>
      <c r="P1051" t="s">
        <v>2919</v>
      </c>
      <c r="Q1051" t="s">
        <v>3255</v>
      </c>
      <c r="R1051" t="s">
        <v>3259</v>
      </c>
      <c r="S1051" t="s">
        <v>3267</v>
      </c>
      <c r="X1051" t="s">
        <v>3354</v>
      </c>
      <c r="Y1051" t="s">
        <v>2678</v>
      </c>
      <c r="Z1051" t="s">
        <v>3359</v>
      </c>
      <c r="AA1051" t="s">
        <v>3406</v>
      </c>
      <c r="AB1051" t="s">
        <v>3415</v>
      </c>
      <c r="AC1051">
        <f>HYPERLINK("https://lsnyc.legalserver.org/matter/dynamic-profile/view/1887076","19-1887076")</f>
        <v>0</v>
      </c>
      <c r="AD1051" t="s">
        <v>3442</v>
      </c>
      <c r="AE1051" t="s">
        <v>3476</v>
      </c>
      <c r="AF1051" t="s">
        <v>4056</v>
      </c>
      <c r="AG1051" t="s">
        <v>3359</v>
      </c>
      <c r="AH1051" t="s">
        <v>4906</v>
      </c>
      <c r="AL1051" t="s">
        <v>2117</v>
      </c>
      <c r="AN1051" t="s">
        <v>3415</v>
      </c>
    </row>
    <row r="1052" spans="1:41">
      <c r="A1052" s="1" t="s">
        <v>1088</v>
      </c>
      <c r="B1052" t="s">
        <v>2000</v>
      </c>
      <c r="C1052" t="s">
        <v>2001</v>
      </c>
      <c r="D1052" t="s">
        <v>2054</v>
      </c>
      <c r="E1052" t="s">
        <v>2111</v>
      </c>
      <c r="F1052" t="s">
        <v>2114</v>
      </c>
      <c r="G1052" t="s">
        <v>2213</v>
      </c>
      <c r="H1052">
        <v>10456</v>
      </c>
      <c r="I1052" t="s">
        <v>2229</v>
      </c>
      <c r="J1052">
        <v>3</v>
      </c>
      <c r="K1052">
        <v>2</v>
      </c>
      <c r="L1052" t="s">
        <v>2260</v>
      </c>
      <c r="M1052" t="s">
        <v>2677</v>
      </c>
      <c r="P1052" t="s">
        <v>2919</v>
      </c>
      <c r="Q1052" t="s">
        <v>3255</v>
      </c>
      <c r="R1052" t="s">
        <v>3259</v>
      </c>
      <c r="S1052" t="s">
        <v>3267</v>
      </c>
      <c r="X1052" t="s">
        <v>3354</v>
      </c>
      <c r="Y1052" t="s">
        <v>2678</v>
      </c>
      <c r="Z1052" t="s">
        <v>3359</v>
      </c>
      <c r="AA1052" t="s">
        <v>3406</v>
      </c>
      <c r="AB1052" t="s">
        <v>3415</v>
      </c>
      <c r="AC1052">
        <f>HYPERLINK("https://lsnyc.legalserver.org/matter/dynamic-profile/view/1887134","19-1887134")</f>
        <v>0</v>
      </c>
      <c r="AD1052" t="s">
        <v>3444</v>
      </c>
      <c r="AE1052" t="s">
        <v>3466</v>
      </c>
      <c r="AF1052" t="s">
        <v>3785</v>
      </c>
      <c r="AG1052" t="s">
        <v>3359</v>
      </c>
      <c r="AH1052" t="s">
        <v>4906</v>
      </c>
      <c r="AK1052" t="s">
        <v>4911</v>
      </c>
      <c r="AL1052" t="s">
        <v>2114</v>
      </c>
      <c r="AN1052" t="s">
        <v>3415</v>
      </c>
    </row>
    <row r="1053" spans="1:41">
      <c r="A1053" s="1" t="s">
        <v>1089</v>
      </c>
      <c r="B1053" t="s">
        <v>2000</v>
      </c>
      <c r="C1053" t="s">
        <v>2019</v>
      </c>
      <c r="D1053" t="s">
        <v>2054</v>
      </c>
      <c r="E1053" t="s">
        <v>2111</v>
      </c>
      <c r="F1053" t="s">
        <v>2114</v>
      </c>
      <c r="G1053" t="s">
        <v>2213</v>
      </c>
      <c r="H1053">
        <v>10456</v>
      </c>
      <c r="I1053" t="s">
        <v>2229</v>
      </c>
      <c r="J1053">
        <v>3</v>
      </c>
      <c r="K1053">
        <v>2</v>
      </c>
      <c r="L1053" t="s">
        <v>2260</v>
      </c>
      <c r="M1053" t="s">
        <v>2677</v>
      </c>
      <c r="P1053" t="s">
        <v>2919</v>
      </c>
      <c r="Q1053" t="s">
        <v>3255</v>
      </c>
      <c r="R1053" t="s">
        <v>3259</v>
      </c>
      <c r="S1053" t="s">
        <v>3267</v>
      </c>
      <c r="X1053" t="s">
        <v>3354</v>
      </c>
      <c r="Y1053" t="s">
        <v>2678</v>
      </c>
      <c r="Z1053" t="s">
        <v>3359</v>
      </c>
      <c r="AA1053" t="s">
        <v>3406</v>
      </c>
      <c r="AB1053" t="s">
        <v>3415</v>
      </c>
      <c r="AC1053">
        <f>HYPERLINK("https://lsnyc.legalserver.org/matter/dynamic-profile/view/1887137","19-1887137")</f>
        <v>0</v>
      </c>
      <c r="AD1053" t="s">
        <v>3444</v>
      </c>
      <c r="AE1053" t="s">
        <v>3466</v>
      </c>
      <c r="AF1053" t="s">
        <v>3806</v>
      </c>
      <c r="AG1053" t="s">
        <v>3359</v>
      </c>
      <c r="AH1053" t="s">
        <v>4906</v>
      </c>
      <c r="AK1053" t="s">
        <v>4911</v>
      </c>
      <c r="AL1053" t="s">
        <v>2114</v>
      </c>
      <c r="AN1053" t="s">
        <v>3415</v>
      </c>
    </row>
    <row r="1054" spans="1:41">
      <c r="A1054" s="1" t="s">
        <v>1090</v>
      </c>
      <c r="B1054" t="s">
        <v>1998</v>
      </c>
      <c r="C1054" t="s">
        <v>2016</v>
      </c>
      <c r="D1054" t="s">
        <v>2048</v>
      </c>
      <c r="E1054" t="s">
        <v>2112</v>
      </c>
      <c r="F1054" t="s">
        <v>2120</v>
      </c>
      <c r="G1054" t="s">
        <v>2213</v>
      </c>
      <c r="H1054">
        <v>10469</v>
      </c>
      <c r="I1054" t="s">
        <v>2230</v>
      </c>
      <c r="J1054">
        <v>6</v>
      </c>
      <c r="K1054">
        <v>4</v>
      </c>
      <c r="L1054" t="s">
        <v>2377</v>
      </c>
      <c r="M1054" t="s">
        <v>2677</v>
      </c>
      <c r="P1054" t="s">
        <v>2920</v>
      </c>
      <c r="Q1054" t="s">
        <v>2113</v>
      </c>
      <c r="R1054" t="s">
        <v>3258</v>
      </c>
      <c r="S1054" t="s">
        <v>3271</v>
      </c>
      <c r="X1054" t="s">
        <v>3354</v>
      </c>
      <c r="Y1054" t="s">
        <v>2677</v>
      </c>
      <c r="Z1054" t="s">
        <v>3362</v>
      </c>
      <c r="AA1054" t="s">
        <v>3406</v>
      </c>
      <c r="AB1054" t="s">
        <v>3419</v>
      </c>
      <c r="AC1054">
        <f>HYPERLINK("https://lsnyc.legalserver.org/matter/dynamic-profile/view/1886939","19-1886939")</f>
        <v>0</v>
      </c>
      <c r="AD1054" t="s">
        <v>3445</v>
      </c>
      <c r="AE1054" t="s">
        <v>3455</v>
      </c>
      <c r="AF1054" t="s">
        <v>3945</v>
      </c>
      <c r="AG1054" t="s">
        <v>3362</v>
      </c>
      <c r="AH1054" t="s">
        <v>4904</v>
      </c>
      <c r="AK1054" t="s">
        <v>4911</v>
      </c>
      <c r="AL1054" t="s">
        <v>2120</v>
      </c>
      <c r="AN1054" t="s">
        <v>3419</v>
      </c>
    </row>
    <row r="1055" spans="1:41">
      <c r="A1055" s="1" t="s">
        <v>1091</v>
      </c>
      <c r="B1055" t="s">
        <v>2011</v>
      </c>
      <c r="C1055" t="s">
        <v>2000</v>
      </c>
      <c r="D1055" t="s">
        <v>2048</v>
      </c>
      <c r="E1055" t="s">
        <v>2111</v>
      </c>
      <c r="F1055" t="s">
        <v>2190</v>
      </c>
      <c r="G1055" t="s">
        <v>2211</v>
      </c>
      <c r="H1055">
        <v>10027</v>
      </c>
      <c r="I1055" t="s">
        <v>2230</v>
      </c>
      <c r="J1055">
        <v>1</v>
      </c>
      <c r="K1055">
        <v>0</v>
      </c>
      <c r="L1055" t="s">
        <v>2260</v>
      </c>
      <c r="M1055" t="s">
        <v>2677</v>
      </c>
      <c r="P1055" t="s">
        <v>2920</v>
      </c>
      <c r="Q1055" t="s">
        <v>2113</v>
      </c>
      <c r="R1055" t="s">
        <v>3259</v>
      </c>
      <c r="S1055" t="s">
        <v>3267</v>
      </c>
      <c r="T1055" t="s">
        <v>3294</v>
      </c>
      <c r="U1055" t="s">
        <v>2900</v>
      </c>
      <c r="X1055" t="s">
        <v>3354</v>
      </c>
      <c r="Y1055" t="s">
        <v>2678</v>
      </c>
      <c r="Z1055" t="s">
        <v>3380</v>
      </c>
      <c r="AA1055" t="s">
        <v>3406</v>
      </c>
      <c r="AB1055" t="s">
        <v>3415</v>
      </c>
      <c r="AC1055">
        <f>HYPERLINK("https://lsnyc.legalserver.org/matter/dynamic-profile/view/1886952","19-1886952")</f>
        <v>0</v>
      </c>
      <c r="AD1055" t="s">
        <v>3442</v>
      </c>
      <c r="AE1055" t="s">
        <v>3448</v>
      </c>
      <c r="AF1055" t="s">
        <v>4306</v>
      </c>
      <c r="AG1055" t="s">
        <v>3380</v>
      </c>
      <c r="AH1055" t="s">
        <v>4906</v>
      </c>
      <c r="AK1055" t="s">
        <v>4911</v>
      </c>
      <c r="AL1055" t="s">
        <v>2190</v>
      </c>
      <c r="AM1055" t="s">
        <v>3294</v>
      </c>
      <c r="AN1055" t="s">
        <v>3415</v>
      </c>
    </row>
    <row r="1056" spans="1:41">
      <c r="A1056" s="1" t="s">
        <v>1092</v>
      </c>
      <c r="B1056" t="s">
        <v>2000</v>
      </c>
      <c r="C1056" t="s">
        <v>1998</v>
      </c>
      <c r="D1056" t="s">
        <v>2085</v>
      </c>
      <c r="E1056" t="s">
        <v>2111</v>
      </c>
      <c r="F1056" t="s">
        <v>2122</v>
      </c>
      <c r="G1056" t="s">
        <v>2212</v>
      </c>
      <c r="H1056">
        <v>11420</v>
      </c>
      <c r="I1056" t="s">
        <v>2230</v>
      </c>
      <c r="J1056">
        <v>2</v>
      </c>
      <c r="K1056">
        <v>0</v>
      </c>
      <c r="L1056" t="s">
        <v>2491</v>
      </c>
      <c r="M1056" t="s">
        <v>2678</v>
      </c>
      <c r="P1056" t="s">
        <v>2920</v>
      </c>
      <c r="Q1056" t="s">
        <v>2113</v>
      </c>
      <c r="R1056" t="s">
        <v>3258</v>
      </c>
      <c r="S1056" t="s">
        <v>3271</v>
      </c>
      <c r="X1056" t="s">
        <v>3354</v>
      </c>
      <c r="Y1056" t="s">
        <v>2678</v>
      </c>
      <c r="Z1056" t="s">
        <v>3362</v>
      </c>
      <c r="AA1056" t="s">
        <v>3406</v>
      </c>
      <c r="AB1056" t="s">
        <v>3419</v>
      </c>
      <c r="AC1056">
        <f>HYPERLINK("https://lsnyc.legalserver.org/matter/dynamic-profile/view/1886955","19-1886955")</f>
        <v>0</v>
      </c>
      <c r="AD1056" t="s">
        <v>3443</v>
      </c>
      <c r="AE1056" t="s">
        <v>3477</v>
      </c>
      <c r="AF1056" t="s">
        <v>4307</v>
      </c>
      <c r="AG1056" t="s">
        <v>3362</v>
      </c>
      <c r="AH1056" t="s">
        <v>4904</v>
      </c>
      <c r="AJ1056" t="s">
        <v>4910</v>
      </c>
      <c r="AL1056" t="s">
        <v>2122</v>
      </c>
      <c r="AN1056" t="s">
        <v>3419</v>
      </c>
    </row>
    <row r="1057" spans="1:41">
      <c r="A1057" s="1" t="s">
        <v>1093</v>
      </c>
      <c r="B1057" t="s">
        <v>2000</v>
      </c>
      <c r="C1057" t="s">
        <v>2012</v>
      </c>
      <c r="D1057" t="s">
        <v>2074</v>
      </c>
      <c r="E1057" t="s">
        <v>2112</v>
      </c>
      <c r="F1057" t="s">
        <v>2191</v>
      </c>
      <c r="G1057" t="s">
        <v>2212</v>
      </c>
      <c r="H1057">
        <v>11420</v>
      </c>
      <c r="I1057" t="s">
        <v>2230</v>
      </c>
      <c r="J1057">
        <v>2</v>
      </c>
      <c r="K1057">
        <v>0</v>
      </c>
      <c r="L1057" t="s">
        <v>2492</v>
      </c>
      <c r="M1057" t="s">
        <v>2678</v>
      </c>
      <c r="P1057" t="s">
        <v>2920</v>
      </c>
      <c r="Q1057" t="s">
        <v>2113</v>
      </c>
      <c r="R1057" t="s">
        <v>3260</v>
      </c>
      <c r="S1057" t="s">
        <v>3266</v>
      </c>
      <c r="V1057" t="s">
        <v>3352</v>
      </c>
      <c r="X1057" t="s">
        <v>3354</v>
      </c>
      <c r="Y1057" t="s">
        <v>2678</v>
      </c>
      <c r="AA1057" t="s">
        <v>3406</v>
      </c>
      <c r="AB1057" t="s">
        <v>3414</v>
      </c>
      <c r="AC1057">
        <f>HYPERLINK("https://lsnyc.legalserver.org/matter/dynamic-profile/view/1886999","19-1886999")</f>
        <v>0</v>
      </c>
      <c r="AD1057" t="s">
        <v>3443</v>
      </c>
      <c r="AE1057" t="s">
        <v>3477</v>
      </c>
      <c r="AF1057" t="s">
        <v>4308</v>
      </c>
      <c r="AH1057" t="s">
        <v>4904</v>
      </c>
      <c r="AJ1057" t="s">
        <v>4910</v>
      </c>
      <c r="AL1057" t="s">
        <v>2191</v>
      </c>
      <c r="AN1057" t="s">
        <v>3414</v>
      </c>
      <c r="AO1057" t="s">
        <v>3352</v>
      </c>
    </row>
    <row r="1058" spans="1:41">
      <c r="A1058" s="1" t="s">
        <v>1094</v>
      </c>
      <c r="B1058" t="s">
        <v>2009</v>
      </c>
      <c r="C1058" t="s">
        <v>2004</v>
      </c>
      <c r="D1058" t="s">
        <v>2067</v>
      </c>
      <c r="E1058" t="s">
        <v>2112</v>
      </c>
      <c r="F1058" t="s">
        <v>2122</v>
      </c>
      <c r="G1058" t="s">
        <v>2214</v>
      </c>
      <c r="H1058">
        <v>11212</v>
      </c>
      <c r="I1058" t="s">
        <v>2230</v>
      </c>
      <c r="J1058">
        <v>2</v>
      </c>
      <c r="K1058">
        <v>1</v>
      </c>
      <c r="L1058" t="s">
        <v>2415</v>
      </c>
      <c r="M1058" t="s">
        <v>2677</v>
      </c>
      <c r="P1058" t="s">
        <v>2921</v>
      </c>
      <c r="Q1058" t="s">
        <v>2113</v>
      </c>
      <c r="R1058" t="s">
        <v>3258</v>
      </c>
      <c r="S1058" t="s">
        <v>3271</v>
      </c>
      <c r="X1058" t="s">
        <v>3354</v>
      </c>
      <c r="Y1058" t="s">
        <v>2677</v>
      </c>
      <c r="Z1058" t="s">
        <v>3369</v>
      </c>
      <c r="AA1058" t="s">
        <v>3406</v>
      </c>
      <c r="AB1058" t="s">
        <v>3419</v>
      </c>
      <c r="AC1058">
        <f>HYPERLINK("https://lsnyc.legalserver.org/matter/dynamic-profile/view/1886813","19-1886813")</f>
        <v>0</v>
      </c>
      <c r="AD1058" t="s">
        <v>3445</v>
      </c>
      <c r="AE1058" t="s">
        <v>3452</v>
      </c>
      <c r="AF1058" t="s">
        <v>3956</v>
      </c>
      <c r="AG1058" t="s">
        <v>3369</v>
      </c>
      <c r="AH1058" t="s">
        <v>4904</v>
      </c>
      <c r="AK1058" t="s">
        <v>4911</v>
      </c>
      <c r="AL1058" t="s">
        <v>2122</v>
      </c>
      <c r="AN1058" t="s">
        <v>3419</v>
      </c>
    </row>
    <row r="1059" spans="1:41">
      <c r="A1059" s="1" t="s">
        <v>1095</v>
      </c>
      <c r="B1059" t="s">
        <v>1998</v>
      </c>
      <c r="C1059" t="s">
        <v>2009</v>
      </c>
      <c r="D1059" t="s">
        <v>2046</v>
      </c>
      <c r="E1059" t="s">
        <v>2111</v>
      </c>
      <c r="F1059" t="s">
        <v>2127</v>
      </c>
      <c r="G1059" t="s">
        <v>2211</v>
      </c>
      <c r="H1059">
        <v>10025</v>
      </c>
      <c r="I1059" t="s">
        <v>2230</v>
      </c>
      <c r="J1059">
        <v>3</v>
      </c>
      <c r="K1059">
        <v>1</v>
      </c>
      <c r="L1059" t="s">
        <v>2394</v>
      </c>
      <c r="M1059" t="s">
        <v>2677</v>
      </c>
      <c r="P1059" t="s">
        <v>2921</v>
      </c>
      <c r="Q1059" t="s">
        <v>2113</v>
      </c>
      <c r="R1059" t="s">
        <v>3261</v>
      </c>
      <c r="S1059" t="s">
        <v>3283</v>
      </c>
      <c r="X1059" t="s">
        <v>3354</v>
      </c>
      <c r="Y1059" t="s">
        <v>2678</v>
      </c>
      <c r="Z1059" t="s">
        <v>3370</v>
      </c>
      <c r="AA1059" t="s">
        <v>3408</v>
      </c>
      <c r="AB1059" t="s">
        <v>3431</v>
      </c>
      <c r="AC1059">
        <f>HYPERLINK("https://lsnyc.legalserver.org/matter/dynamic-profile/view/1886838","19-1886838")</f>
        <v>0</v>
      </c>
      <c r="AD1059" t="s">
        <v>3442</v>
      </c>
      <c r="AE1059" t="s">
        <v>3476</v>
      </c>
      <c r="AF1059" t="s">
        <v>4309</v>
      </c>
      <c r="AG1059" t="s">
        <v>3370</v>
      </c>
      <c r="AH1059" t="s">
        <v>3408</v>
      </c>
      <c r="AK1059" t="s">
        <v>4911</v>
      </c>
      <c r="AL1059" t="s">
        <v>2127</v>
      </c>
      <c r="AN1059" t="s">
        <v>3431</v>
      </c>
    </row>
    <row r="1060" spans="1:41">
      <c r="A1060" s="1" t="s">
        <v>1096</v>
      </c>
      <c r="B1060" t="s">
        <v>2016</v>
      </c>
      <c r="C1060" t="s">
        <v>2000</v>
      </c>
      <c r="D1060" t="s">
        <v>2055</v>
      </c>
      <c r="E1060" t="s">
        <v>2111</v>
      </c>
      <c r="F1060" t="s">
        <v>2139</v>
      </c>
      <c r="G1060" t="s">
        <v>2214</v>
      </c>
      <c r="H1060">
        <v>11207</v>
      </c>
      <c r="I1060" t="s">
        <v>2230</v>
      </c>
      <c r="J1060">
        <v>2</v>
      </c>
      <c r="K1060">
        <v>0</v>
      </c>
      <c r="L1060" t="s">
        <v>2413</v>
      </c>
      <c r="M1060" t="s">
        <v>2677</v>
      </c>
      <c r="P1060" t="s">
        <v>2922</v>
      </c>
      <c r="Q1060" t="s">
        <v>2113</v>
      </c>
      <c r="R1060" t="s">
        <v>3258</v>
      </c>
      <c r="S1060" t="s">
        <v>3271</v>
      </c>
      <c r="X1060" t="s">
        <v>3354</v>
      </c>
      <c r="Y1060" t="s">
        <v>2677</v>
      </c>
      <c r="Z1060" t="s">
        <v>3362</v>
      </c>
      <c r="AA1060" t="s">
        <v>3406</v>
      </c>
      <c r="AB1060" t="s">
        <v>3419</v>
      </c>
      <c r="AC1060">
        <f>HYPERLINK("https://lsnyc.legalserver.org/matter/dynamic-profile/view/1886763","18-1886763")</f>
        <v>0</v>
      </c>
      <c r="AD1060" t="s">
        <v>3445</v>
      </c>
      <c r="AE1060" t="s">
        <v>3455</v>
      </c>
      <c r="AF1060" t="s">
        <v>3954</v>
      </c>
      <c r="AG1060" t="s">
        <v>3362</v>
      </c>
      <c r="AH1060" t="s">
        <v>4904</v>
      </c>
      <c r="AK1060" t="s">
        <v>4911</v>
      </c>
      <c r="AL1060" t="s">
        <v>2139</v>
      </c>
      <c r="AN1060" t="s">
        <v>3419</v>
      </c>
    </row>
    <row r="1061" spans="1:41">
      <c r="A1061" s="1" t="s">
        <v>1097</v>
      </c>
      <c r="B1061" t="s">
        <v>2001</v>
      </c>
      <c r="C1061" t="s">
        <v>1998</v>
      </c>
      <c r="D1061" t="s">
        <v>2048</v>
      </c>
      <c r="E1061" t="s">
        <v>2112</v>
      </c>
      <c r="F1061" t="s">
        <v>2116</v>
      </c>
      <c r="G1061" t="s">
        <v>2212</v>
      </c>
      <c r="H1061">
        <v>11433</v>
      </c>
      <c r="I1061" t="s">
        <v>2229</v>
      </c>
      <c r="J1061">
        <v>4</v>
      </c>
      <c r="K1061">
        <v>3</v>
      </c>
      <c r="L1061" t="s">
        <v>2260</v>
      </c>
      <c r="M1061" t="s">
        <v>2677</v>
      </c>
      <c r="P1061" t="s">
        <v>2922</v>
      </c>
      <c r="Q1061" t="s">
        <v>2113</v>
      </c>
      <c r="R1061" t="s">
        <v>3259</v>
      </c>
      <c r="S1061" t="s">
        <v>3276</v>
      </c>
      <c r="X1061" t="s">
        <v>3354</v>
      </c>
      <c r="Y1061" t="s">
        <v>2678</v>
      </c>
      <c r="Z1061" t="s">
        <v>3373</v>
      </c>
      <c r="AA1061" t="s">
        <v>3406</v>
      </c>
      <c r="AB1061" t="s">
        <v>3424</v>
      </c>
      <c r="AC1061">
        <f>HYPERLINK("https://lsnyc.legalserver.org/matter/dynamic-profile/view/1886710","18-1886710")</f>
        <v>0</v>
      </c>
      <c r="AD1061" t="s">
        <v>3443</v>
      </c>
      <c r="AE1061" t="s">
        <v>3471</v>
      </c>
      <c r="AF1061" t="s">
        <v>4310</v>
      </c>
      <c r="AG1061" t="s">
        <v>3373</v>
      </c>
      <c r="AH1061" t="s">
        <v>4904</v>
      </c>
      <c r="AK1061" t="s">
        <v>4911</v>
      </c>
      <c r="AL1061" t="s">
        <v>2116</v>
      </c>
      <c r="AN1061" t="s">
        <v>3424</v>
      </c>
    </row>
    <row r="1062" spans="1:41">
      <c r="A1062" s="1" t="s">
        <v>1098</v>
      </c>
      <c r="B1062" t="s">
        <v>2011</v>
      </c>
      <c r="C1062" t="s">
        <v>2001</v>
      </c>
      <c r="D1062" t="s">
        <v>2040</v>
      </c>
      <c r="E1062" t="s">
        <v>2111</v>
      </c>
      <c r="F1062" t="s">
        <v>2115</v>
      </c>
      <c r="G1062" t="s">
        <v>2216</v>
      </c>
      <c r="H1062">
        <v>10304</v>
      </c>
      <c r="I1062" t="s">
        <v>2229</v>
      </c>
      <c r="J1062">
        <v>5</v>
      </c>
      <c r="K1062">
        <v>2</v>
      </c>
      <c r="L1062" t="s">
        <v>2260</v>
      </c>
      <c r="M1062" t="s">
        <v>2677</v>
      </c>
      <c r="P1062" t="s">
        <v>2923</v>
      </c>
      <c r="Q1062" t="s">
        <v>3255</v>
      </c>
      <c r="R1062" t="s">
        <v>3259</v>
      </c>
      <c r="S1062" t="s">
        <v>3267</v>
      </c>
      <c r="X1062" t="s">
        <v>3354</v>
      </c>
      <c r="Y1062" t="s">
        <v>2678</v>
      </c>
      <c r="Z1062" t="s">
        <v>3359</v>
      </c>
      <c r="AA1062" t="s">
        <v>3406</v>
      </c>
      <c r="AB1062" t="s">
        <v>3415</v>
      </c>
      <c r="AC1062">
        <f>HYPERLINK("https://lsnyc.legalserver.org/matter/dynamic-profile/view/1886924","19-1886924")</f>
        <v>0</v>
      </c>
      <c r="AD1062" t="s">
        <v>3447</v>
      </c>
      <c r="AE1062" t="s">
        <v>3459</v>
      </c>
      <c r="AF1062" t="s">
        <v>4311</v>
      </c>
      <c r="AG1062" t="s">
        <v>3359</v>
      </c>
      <c r="AH1062" t="s">
        <v>4906</v>
      </c>
      <c r="AK1062" t="s">
        <v>4911</v>
      </c>
      <c r="AL1062" t="s">
        <v>2115</v>
      </c>
      <c r="AN1062" t="s">
        <v>3415</v>
      </c>
    </row>
    <row r="1063" spans="1:41">
      <c r="A1063" s="1" t="s">
        <v>1099</v>
      </c>
      <c r="B1063" t="s">
        <v>2011</v>
      </c>
      <c r="C1063" t="s">
        <v>2002</v>
      </c>
      <c r="D1063" t="s">
        <v>2037</v>
      </c>
      <c r="E1063" t="s">
        <v>2112</v>
      </c>
      <c r="F1063" t="s">
        <v>2115</v>
      </c>
      <c r="G1063" t="s">
        <v>2216</v>
      </c>
      <c r="H1063">
        <v>10304</v>
      </c>
      <c r="I1063" t="s">
        <v>2229</v>
      </c>
      <c r="J1063">
        <v>5</v>
      </c>
      <c r="K1063">
        <v>2</v>
      </c>
      <c r="L1063" t="s">
        <v>2260</v>
      </c>
      <c r="M1063" t="s">
        <v>2677</v>
      </c>
      <c r="P1063" t="s">
        <v>2923</v>
      </c>
      <c r="Q1063" t="s">
        <v>3255</v>
      </c>
      <c r="R1063" t="s">
        <v>3259</v>
      </c>
      <c r="S1063" t="s">
        <v>3267</v>
      </c>
      <c r="X1063" t="s">
        <v>3354</v>
      </c>
      <c r="Y1063" t="s">
        <v>2678</v>
      </c>
      <c r="Z1063" t="s">
        <v>3359</v>
      </c>
      <c r="AA1063" t="s">
        <v>3406</v>
      </c>
      <c r="AB1063" t="s">
        <v>3415</v>
      </c>
      <c r="AC1063">
        <f>HYPERLINK("https://lsnyc.legalserver.org/matter/dynamic-profile/view/1887251","19-1887251")</f>
        <v>0</v>
      </c>
      <c r="AD1063" t="s">
        <v>3447</v>
      </c>
      <c r="AE1063" t="s">
        <v>3459</v>
      </c>
      <c r="AF1063" t="s">
        <v>4312</v>
      </c>
      <c r="AG1063" t="s">
        <v>3359</v>
      </c>
      <c r="AH1063" t="s">
        <v>4906</v>
      </c>
      <c r="AK1063" t="s">
        <v>4911</v>
      </c>
      <c r="AL1063" t="s">
        <v>2115</v>
      </c>
      <c r="AN1063" t="s">
        <v>3415</v>
      </c>
    </row>
    <row r="1064" spans="1:41">
      <c r="A1064" s="1" t="s">
        <v>1100</v>
      </c>
      <c r="B1064" t="s">
        <v>2012</v>
      </c>
      <c r="C1064" t="s">
        <v>1998</v>
      </c>
      <c r="D1064" t="s">
        <v>2047</v>
      </c>
      <c r="E1064" t="s">
        <v>2112</v>
      </c>
      <c r="F1064" t="s">
        <v>2123</v>
      </c>
      <c r="G1064" t="s">
        <v>2213</v>
      </c>
      <c r="H1064">
        <v>10456</v>
      </c>
      <c r="I1064" t="s">
        <v>2229</v>
      </c>
      <c r="J1064">
        <v>2</v>
      </c>
      <c r="K1064">
        <v>0</v>
      </c>
      <c r="L1064" t="s">
        <v>2485</v>
      </c>
      <c r="M1064" t="s">
        <v>2677</v>
      </c>
      <c r="P1064" t="s">
        <v>2923</v>
      </c>
      <c r="Q1064" t="s">
        <v>2113</v>
      </c>
      <c r="R1064" t="s">
        <v>3260</v>
      </c>
      <c r="S1064" t="s">
        <v>3266</v>
      </c>
      <c r="X1064" t="s">
        <v>3354</v>
      </c>
      <c r="Y1064" t="s">
        <v>2677</v>
      </c>
      <c r="AB1064" t="s">
        <v>3414</v>
      </c>
      <c r="AC1064">
        <f>HYPERLINK("https://lsnyc.legalserver.org/matter/dynamic-profile/view/1917866","20-1917866")</f>
        <v>0</v>
      </c>
      <c r="AD1064" t="s">
        <v>3445</v>
      </c>
      <c r="AE1064" t="s">
        <v>3452</v>
      </c>
      <c r="AF1064" t="s">
        <v>4313</v>
      </c>
      <c r="AI1064" t="s">
        <v>4909</v>
      </c>
      <c r="AL1064" t="s">
        <v>2123</v>
      </c>
      <c r="AN1064" t="s">
        <v>3414</v>
      </c>
    </row>
    <row r="1065" spans="1:41">
      <c r="A1065" s="1" t="s">
        <v>1101</v>
      </c>
      <c r="B1065" t="s">
        <v>2016</v>
      </c>
      <c r="C1065" t="s">
        <v>2001</v>
      </c>
      <c r="D1065" t="s">
        <v>2049</v>
      </c>
      <c r="E1065" t="s">
        <v>2111</v>
      </c>
      <c r="F1065" t="s">
        <v>2123</v>
      </c>
      <c r="G1065" t="s">
        <v>2213</v>
      </c>
      <c r="H1065">
        <v>10466</v>
      </c>
      <c r="I1065" t="s">
        <v>2229</v>
      </c>
      <c r="J1065">
        <v>5</v>
      </c>
      <c r="K1065">
        <v>1</v>
      </c>
      <c r="L1065" t="s">
        <v>2260</v>
      </c>
      <c r="M1065" t="s">
        <v>2677</v>
      </c>
      <c r="P1065" t="s">
        <v>2924</v>
      </c>
      <c r="Q1065" t="s">
        <v>2113</v>
      </c>
      <c r="R1065" t="s">
        <v>3258</v>
      </c>
      <c r="S1065" t="s">
        <v>3271</v>
      </c>
      <c r="X1065" t="s">
        <v>3354</v>
      </c>
      <c r="Y1065" t="s">
        <v>2677</v>
      </c>
      <c r="Z1065" t="s">
        <v>3362</v>
      </c>
      <c r="AA1065" t="s">
        <v>3406</v>
      </c>
      <c r="AB1065" t="s">
        <v>3419</v>
      </c>
      <c r="AC1065">
        <f>HYPERLINK("https://lsnyc.legalserver.org/matter/dynamic-profile/view/1886553","18-1886553")</f>
        <v>0</v>
      </c>
      <c r="AD1065" t="s">
        <v>3445</v>
      </c>
      <c r="AE1065" t="s">
        <v>3452</v>
      </c>
      <c r="AF1065" t="s">
        <v>4032</v>
      </c>
      <c r="AG1065" t="s">
        <v>3362</v>
      </c>
      <c r="AH1065" t="s">
        <v>4904</v>
      </c>
      <c r="AK1065" t="s">
        <v>4911</v>
      </c>
      <c r="AL1065" t="s">
        <v>2123</v>
      </c>
      <c r="AN1065" t="s">
        <v>3419</v>
      </c>
    </row>
    <row r="1066" spans="1:41">
      <c r="A1066" s="1" t="s">
        <v>1102</v>
      </c>
      <c r="B1066" t="s">
        <v>1998</v>
      </c>
      <c r="C1066" t="s">
        <v>2004</v>
      </c>
      <c r="D1066" t="s">
        <v>2069</v>
      </c>
      <c r="E1066" t="s">
        <v>2112</v>
      </c>
      <c r="F1066" t="s">
        <v>2117</v>
      </c>
      <c r="G1066" t="s">
        <v>2213</v>
      </c>
      <c r="H1066">
        <v>10459</v>
      </c>
      <c r="I1066" t="s">
        <v>2229</v>
      </c>
      <c r="J1066">
        <v>3</v>
      </c>
      <c r="K1066">
        <v>0</v>
      </c>
      <c r="L1066" t="s">
        <v>2260</v>
      </c>
      <c r="M1066" t="s">
        <v>2677</v>
      </c>
      <c r="P1066" t="s">
        <v>2924</v>
      </c>
      <c r="Q1066" t="s">
        <v>2113</v>
      </c>
      <c r="R1066" t="s">
        <v>3259</v>
      </c>
      <c r="S1066" t="s">
        <v>3272</v>
      </c>
      <c r="X1066" t="s">
        <v>3354</v>
      </c>
      <c r="Y1066" t="s">
        <v>2678</v>
      </c>
      <c r="Z1066" t="s">
        <v>3364</v>
      </c>
      <c r="AA1066" t="s">
        <v>3406</v>
      </c>
      <c r="AB1066" t="s">
        <v>3420</v>
      </c>
      <c r="AC1066">
        <f>HYPERLINK("https://lsnyc.legalserver.org/matter/dynamic-profile/view/1886556","18-1886556")</f>
        <v>0</v>
      </c>
      <c r="AD1066" t="s">
        <v>3444</v>
      </c>
      <c r="AE1066" t="s">
        <v>3466</v>
      </c>
      <c r="AF1066" t="s">
        <v>3701</v>
      </c>
      <c r="AG1066" t="s">
        <v>3364</v>
      </c>
      <c r="AH1066" t="s">
        <v>4904</v>
      </c>
      <c r="AK1066" t="s">
        <v>4911</v>
      </c>
      <c r="AL1066" t="s">
        <v>2117</v>
      </c>
      <c r="AN1066" t="s">
        <v>3420</v>
      </c>
    </row>
    <row r="1067" spans="1:41">
      <c r="A1067" s="1" t="s">
        <v>1103</v>
      </c>
      <c r="B1067" t="s">
        <v>2000</v>
      </c>
      <c r="C1067" t="s">
        <v>2002</v>
      </c>
      <c r="D1067" t="s">
        <v>2042</v>
      </c>
      <c r="E1067" t="s">
        <v>2112</v>
      </c>
      <c r="F1067" t="s">
        <v>2156</v>
      </c>
      <c r="G1067" t="s">
        <v>2216</v>
      </c>
      <c r="H1067">
        <v>10304</v>
      </c>
      <c r="I1067" t="s">
        <v>2113</v>
      </c>
      <c r="J1067">
        <v>1</v>
      </c>
      <c r="K1067">
        <v>0</v>
      </c>
      <c r="L1067" t="s">
        <v>2493</v>
      </c>
      <c r="M1067" t="s">
        <v>2677</v>
      </c>
      <c r="P1067" t="s">
        <v>2924</v>
      </c>
      <c r="Q1067" t="s">
        <v>2113</v>
      </c>
      <c r="R1067" t="s">
        <v>3258</v>
      </c>
      <c r="S1067" t="s">
        <v>3271</v>
      </c>
      <c r="X1067" t="s">
        <v>3354</v>
      </c>
      <c r="Y1067" t="s">
        <v>2677</v>
      </c>
      <c r="Z1067" t="s">
        <v>3362</v>
      </c>
      <c r="AA1067" t="s">
        <v>3406</v>
      </c>
      <c r="AB1067" t="s">
        <v>3419</v>
      </c>
      <c r="AC1067">
        <f>HYPERLINK("https://lsnyc.legalserver.org/matter/dynamic-profile/view/1886608","18-1886608")</f>
        <v>0</v>
      </c>
      <c r="AD1067" t="s">
        <v>3445</v>
      </c>
      <c r="AE1067" t="s">
        <v>3452</v>
      </c>
      <c r="AF1067" t="s">
        <v>4314</v>
      </c>
      <c r="AG1067" t="s">
        <v>3362</v>
      </c>
      <c r="AH1067" t="s">
        <v>4904</v>
      </c>
      <c r="AK1067" t="s">
        <v>4911</v>
      </c>
      <c r="AL1067" t="s">
        <v>2156</v>
      </c>
      <c r="AN1067" t="s">
        <v>3419</v>
      </c>
    </row>
    <row r="1068" spans="1:41">
      <c r="A1068" s="1" t="s">
        <v>1104</v>
      </c>
      <c r="B1068" t="s">
        <v>2012</v>
      </c>
      <c r="C1068" t="s">
        <v>2002</v>
      </c>
      <c r="D1068" t="s">
        <v>2082</v>
      </c>
      <c r="E1068" t="s">
        <v>2112</v>
      </c>
      <c r="F1068" t="s">
        <v>2123</v>
      </c>
      <c r="G1068" t="s">
        <v>2213</v>
      </c>
      <c r="H1068">
        <v>10466</v>
      </c>
      <c r="I1068" t="s">
        <v>2229</v>
      </c>
      <c r="J1068">
        <v>1</v>
      </c>
      <c r="K1068">
        <v>0</v>
      </c>
      <c r="L1068" t="s">
        <v>2494</v>
      </c>
      <c r="M1068" t="s">
        <v>2677</v>
      </c>
      <c r="P1068" t="s">
        <v>2925</v>
      </c>
      <c r="Q1068" t="s">
        <v>2113</v>
      </c>
      <c r="R1068" t="s">
        <v>3261</v>
      </c>
      <c r="S1068" t="s">
        <v>3283</v>
      </c>
      <c r="X1068" t="s">
        <v>3354</v>
      </c>
      <c r="Y1068" t="s">
        <v>2677</v>
      </c>
      <c r="Z1068" t="s">
        <v>3362</v>
      </c>
      <c r="AA1068" t="s">
        <v>3409</v>
      </c>
      <c r="AB1068" t="s">
        <v>3431</v>
      </c>
      <c r="AC1068">
        <f>HYPERLINK("https://lsnyc.legalserver.org/matter/dynamic-profile/view/1886472","18-1886472")</f>
        <v>0</v>
      </c>
      <c r="AD1068" t="s">
        <v>3445</v>
      </c>
      <c r="AE1068" t="s">
        <v>3469</v>
      </c>
      <c r="AF1068" t="s">
        <v>4315</v>
      </c>
      <c r="AG1068" t="s">
        <v>3362</v>
      </c>
      <c r="AH1068" t="s">
        <v>3409</v>
      </c>
      <c r="AK1068" t="s">
        <v>4911</v>
      </c>
      <c r="AL1068" t="s">
        <v>2123</v>
      </c>
      <c r="AN1068" t="s">
        <v>3431</v>
      </c>
    </row>
    <row r="1069" spans="1:41">
      <c r="A1069" s="1" t="s">
        <v>1105</v>
      </c>
      <c r="B1069" t="s">
        <v>2001</v>
      </c>
      <c r="C1069" t="s">
        <v>2002</v>
      </c>
      <c r="D1069" t="s">
        <v>2029</v>
      </c>
      <c r="E1069" t="s">
        <v>2111</v>
      </c>
      <c r="F1069" t="s">
        <v>2116</v>
      </c>
      <c r="G1069" t="s">
        <v>2213</v>
      </c>
      <c r="H1069">
        <v>10456</v>
      </c>
      <c r="I1069" t="s">
        <v>2229</v>
      </c>
      <c r="J1069">
        <v>7</v>
      </c>
      <c r="K1069">
        <v>5</v>
      </c>
      <c r="L1069" t="s">
        <v>2271</v>
      </c>
      <c r="M1069" t="s">
        <v>2677</v>
      </c>
      <c r="P1069" t="s">
        <v>2925</v>
      </c>
      <c r="Q1069" t="s">
        <v>3255</v>
      </c>
      <c r="R1069" t="s">
        <v>3259</v>
      </c>
      <c r="S1069" t="s">
        <v>3267</v>
      </c>
      <c r="X1069" t="s">
        <v>3354</v>
      </c>
      <c r="Y1069" t="s">
        <v>2678</v>
      </c>
      <c r="Z1069" t="s">
        <v>3367</v>
      </c>
      <c r="AA1069" t="s">
        <v>3406</v>
      </c>
      <c r="AB1069" t="s">
        <v>3415</v>
      </c>
      <c r="AC1069">
        <f>HYPERLINK("https://lsnyc.legalserver.org/matter/dynamic-profile/view/1886509","18-1886509")</f>
        <v>0</v>
      </c>
      <c r="AD1069" t="s">
        <v>3444</v>
      </c>
      <c r="AE1069" t="s">
        <v>3464</v>
      </c>
      <c r="AF1069" t="s">
        <v>4316</v>
      </c>
      <c r="AG1069" t="s">
        <v>3367</v>
      </c>
      <c r="AH1069" t="s">
        <v>4904</v>
      </c>
      <c r="AK1069" t="s">
        <v>4911</v>
      </c>
      <c r="AL1069" t="s">
        <v>2116</v>
      </c>
      <c r="AN1069" t="s">
        <v>3415</v>
      </c>
    </row>
    <row r="1070" spans="1:41">
      <c r="A1070" s="1" t="s">
        <v>1106</v>
      </c>
      <c r="B1070" t="s">
        <v>2016</v>
      </c>
      <c r="C1070" t="s">
        <v>2001</v>
      </c>
      <c r="D1070" t="s">
        <v>2058</v>
      </c>
      <c r="E1070" t="s">
        <v>2111</v>
      </c>
      <c r="F1070" t="s">
        <v>2117</v>
      </c>
      <c r="G1070" t="s">
        <v>2213</v>
      </c>
      <c r="H1070">
        <v>10454</v>
      </c>
      <c r="I1070" t="s">
        <v>2229</v>
      </c>
      <c r="J1070">
        <v>2</v>
      </c>
      <c r="K1070">
        <v>1</v>
      </c>
      <c r="L1070" t="s">
        <v>2260</v>
      </c>
      <c r="M1070" t="s">
        <v>2677</v>
      </c>
      <c r="P1070" t="s">
        <v>2925</v>
      </c>
      <c r="Q1070" t="s">
        <v>3255</v>
      </c>
      <c r="R1070" t="s">
        <v>3259</v>
      </c>
      <c r="S1070" t="s">
        <v>3267</v>
      </c>
      <c r="X1070" t="s">
        <v>3354</v>
      </c>
      <c r="Y1070" t="s">
        <v>2678</v>
      </c>
      <c r="Z1070" t="s">
        <v>3380</v>
      </c>
      <c r="AA1070" t="s">
        <v>3406</v>
      </c>
      <c r="AB1070" t="s">
        <v>3415</v>
      </c>
      <c r="AC1070">
        <f>HYPERLINK("https://lsnyc.legalserver.org/matter/dynamic-profile/view/1886527","18-1886527")</f>
        <v>0</v>
      </c>
      <c r="AD1070" t="s">
        <v>3444</v>
      </c>
      <c r="AE1070" t="s">
        <v>3464</v>
      </c>
      <c r="AF1070" t="s">
        <v>4143</v>
      </c>
      <c r="AG1070" t="s">
        <v>3380</v>
      </c>
      <c r="AH1070" t="s">
        <v>4906</v>
      </c>
      <c r="AK1070" t="s">
        <v>4911</v>
      </c>
      <c r="AL1070" t="s">
        <v>2117</v>
      </c>
      <c r="AN1070" t="s">
        <v>3415</v>
      </c>
    </row>
    <row r="1071" spans="1:41">
      <c r="A1071" s="1" t="s">
        <v>1107</v>
      </c>
      <c r="B1071" t="s">
        <v>1998</v>
      </c>
      <c r="C1071" t="s">
        <v>1998</v>
      </c>
      <c r="D1071" t="s">
        <v>2034</v>
      </c>
      <c r="E1071" t="s">
        <v>2112</v>
      </c>
      <c r="F1071" t="s">
        <v>2164</v>
      </c>
      <c r="G1071" t="s">
        <v>2213</v>
      </c>
      <c r="H1071">
        <v>10456</v>
      </c>
      <c r="I1071" t="s">
        <v>2230</v>
      </c>
      <c r="J1071">
        <v>1</v>
      </c>
      <c r="K1071">
        <v>0</v>
      </c>
      <c r="L1071" t="s">
        <v>2331</v>
      </c>
      <c r="M1071" t="s">
        <v>2677</v>
      </c>
      <c r="P1071" t="s">
        <v>2925</v>
      </c>
      <c r="Q1071" t="s">
        <v>3255</v>
      </c>
      <c r="R1071" t="s">
        <v>3259</v>
      </c>
      <c r="S1071" t="s">
        <v>3267</v>
      </c>
      <c r="X1071" t="s">
        <v>3354</v>
      </c>
      <c r="Y1071" t="s">
        <v>2678</v>
      </c>
      <c r="Z1071" t="s">
        <v>3367</v>
      </c>
      <c r="AA1071" t="s">
        <v>3406</v>
      </c>
      <c r="AB1071" t="s">
        <v>3415</v>
      </c>
      <c r="AC1071">
        <f>HYPERLINK("https://lsnyc.legalserver.org/matter/dynamic-profile/view/1886528","18-1886528")</f>
        <v>0</v>
      </c>
      <c r="AD1071" t="s">
        <v>3444</v>
      </c>
      <c r="AE1071" t="s">
        <v>3464</v>
      </c>
      <c r="AF1071" t="s">
        <v>4317</v>
      </c>
      <c r="AG1071" t="s">
        <v>3367</v>
      </c>
      <c r="AH1071" t="s">
        <v>4904</v>
      </c>
      <c r="AK1071" t="s">
        <v>4911</v>
      </c>
      <c r="AL1071" t="s">
        <v>2164</v>
      </c>
      <c r="AN1071" t="s">
        <v>3415</v>
      </c>
    </row>
    <row r="1072" spans="1:41">
      <c r="A1072" s="1" t="s">
        <v>1108</v>
      </c>
      <c r="B1072" t="s">
        <v>2000</v>
      </c>
      <c r="C1072" t="s">
        <v>1998</v>
      </c>
      <c r="D1072" t="s">
        <v>2053</v>
      </c>
      <c r="E1072" t="s">
        <v>2112</v>
      </c>
      <c r="F1072" t="s">
        <v>2117</v>
      </c>
      <c r="G1072" t="s">
        <v>2213</v>
      </c>
      <c r="H1072">
        <v>10457</v>
      </c>
      <c r="I1072" t="s">
        <v>2229</v>
      </c>
      <c r="J1072">
        <v>2</v>
      </c>
      <c r="K1072">
        <v>1</v>
      </c>
      <c r="L1072" t="s">
        <v>2260</v>
      </c>
      <c r="M1072" t="s">
        <v>2677</v>
      </c>
      <c r="P1072" t="s">
        <v>2758</v>
      </c>
      <c r="Q1072" t="s">
        <v>2113</v>
      </c>
      <c r="R1072" t="s">
        <v>3259</v>
      </c>
      <c r="S1072" t="s">
        <v>3267</v>
      </c>
      <c r="X1072" t="s">
        <v>3354</v>
      </c>
      <c r="Y1072" t="s">
        <v>2678</v>
      </c>
      <c r="Z1072" t="s">
        <v>3359</v>
      </c>
      <c r="AA1072" t="s">
        <v>3406</v>
      </c>
      <c r="AB1072" t="s">
        <v>3415</v>
      </c>
      <c r="AC1072">
        <f>HYPERLINK("https://lsnyc.legalserver.org/matter/dynamic-profile/view/1886429","18-1886429")</f>
        <v>0</v>
      </c>
      <c r="AD1072" t="s">
        <v>3442</v>
      </c>
      <c r="AE1072" t="s">
        <v>3470</v>
      </c>
      <c r="AF1072" t="s">
        <v>4069</v>
      </c>
      <c r="AG1072" t="s">
        <v>3359</v>
      </c>
      <c r="AH1072" t="s">
        <v>4906</v>
      </c>
      <c r="AL1072" t="s">
        <v>2117</v>
      </c>
      <c r="AN1072" t="s">
        <v>3415</v>
      </c>
    </row>
    <row r="1073" spans="1:40">
      <c r="A1073" s="1" t="s">
        <v>1109</v>
      </c>
      <c r="B1073" t="s">
        <v>2000</v>
      </c>
      <c r="C1073" t="s">
        <v>1998</v>
      </c>
      <c r="D1073" t="s">
        <v>2088</v>
      </c>
      <c r="E1073" t="s">
        <v>2112</v>
      </c>
      <c r="F1073" t="s">
        <v>2116</v>
      </c>
      <c r="G1073" t="s">
        <v>2214</v>
      </c>
      <c r="H1073">
        <v>11232</v>
      </c>
      <c r="I1073" t="s">
        <v>2229</v>
      </c>
      <c r="J1073">
        <v>4</v>
      </c>
      <c r="K1073">
        <v>3</v>
      </c>
      <c r="L1073" t="s">
        <v>2260</v>
      </c>
      <c r="M1073" t="s">
        <v>2677</v>
      </c>
      <c r="P1073" t="s">
        <v>2926</v>
      </c>
      <c r="Q1073" t="s">
        <v>3257</v>
      </c>
      <c r="R1073" t="s">
        <v>3259</v>
      </c>
      <c r="S1073" t="s">
        <v>3272</v>
      </c>
      <c r="T1073" t="s">
        <v>3294</v>
      </c>
      <c r="X1073" t="s">
        <v>3354</v>
      </c>
      <c r="Y1073" t="s">
        <v>2678</v>
      </c>
      <c r="Z1073" t="s">
        <v>3364</v>
      </c>
      <c r="AA1073" t="s">
        <v>3406</v>
      </c>
      <c r="AB1073" t="s">
        <v>3420</v>
      </c>
      <c r="AC1073">
        <f>HYPERLINK("https://lsnyc.legalserver.org/matter/dynamic-profile/view/1902576","19-1902576")</f>
        <v>0</v>
      </c>
      <c r="AD1073" t="s">
        <v>3446</v>
      </c>
      <c r="AE1073" t="s">
        <v>3481</v>
      </c>
      <c r="AF1073" t="s">
        <v>4318</v>
      </c>
      <c r="AG1073" t="s">
        <v>3364</v>
      </c>
      <c r="AH1073" t="s">
        <v>4905</v>
      </c>
      <c r="AK1073" t="s">
        <v>4911</v>
      </c>
      <c r="AL1073" t="s">
        <v>2116</v>
      </c>
      <c r="AM1073" t="s">
        <v>3294</v>
      </c>
      <c r="AN1073" t="s">
        <v>3420</v>
      </c>
    </row>
    <row r="1074" spans="1:40">
      <c r="A1074" s="1" t="s">
        <v>1110</v>
      </c>
      <c r="B1074" t="s">
        <v>1998</v>
      </c>
      <c r="C1074" t="s">
        <v>2000</v>
      </c>
      <c r="D1074" t="s">
        <v>2080</v>
      </c>
      <c r="E1074" t="s">
        <v>2112</v>
      </c>
      <c r="F1074" t="s">
        <v>2117</v>
      </c>
      <c r="G1074" t="s">
        <v>2213</v>
      </c>
      <c r="H1074">
        <v>10454</v>
      </c>
      <c r="I1074" t="s">
        <v>2229</v>
      </c>
      <c r="J1074">
        <v>2</v>
      </c>
      <c r="K1074">
        <v>1</v>
      </c>
      <c r="L1074" t="s">
        <v>2392</v>
      </c>
      <c r="M1074" t="s">
        <v>2677</v>
      </c>
      <c r="P1074" t="s">
        <v>2927</v>
      </c>
      <c r="Q1074" t="s">
        <v>2113</v>
      </c>
      <c r="R1074" t="s">
        <v>3259</v>
      </c>
      <c r="S1074" t="s">
        <v>3288</v>
      </c>
      <c r="X1074" t="s">
        <v>3354</v>
      </c>
      <c r="Y1074" t="s">
        <v>2678</v>
      </c>
      <c r="Z1074" t="s">
        <v>3389</v>
      </c>
      <c r="AA1074" t="s">
        <v>3406</v>
      </c>
      <c r="AB1074" t="s">
        <v>3436</v>
      </c>
      <c r="AC1074">
        <f>HYPERLINK("https://lsnyc.legalserver.org/matter/dynamic-profile/view/1886157","18-1886157")</f>
        <v>0</v>
      </c>
      <c r="AD1074" t="s">
        <v>3444</v>
      </c>
      <c r="AE1074" t="s">
        <v>3466</v>
      </c>
      <c r="AF1074" t="s">
        <v>3886</v>
      </c>
      <c r="AG1074" t="s">
        <v>3389</v>
      </c>
      <c r="AH1074" t="s">
        <v>4905</v>
      </c>
      <c r="AK1074" t="s">
        <v>4911</v>
      </c>
      <c r="AL1074" t="s">
        <v>2117</v>
      </c>
      <c r="AN1074" t="s">
        <v>3436</v>
      </c>
    </row>
    <row r="1075" spans="1:40">
      <c r="A1075" s="1" t="s">
        <v>1111</v>
      </c>
      <c r="B1075" t="s">
        <v>2001</v>
      </c>
      <c r="C1075" t="s">
        <v>2018</v>
      </c>
      <c r="D1075" t="s">
        <v>2026</v>
      </c>
      <c r="E1075" t="s">
        <v>2112</v>
      </c>
      <c r="F1075" t="s">
        <v>2117</v>
      </c>
      <c r="G1075" t="s">
        <v>2213</v>
      </c>
      <c r="H1075">
        <v>10454</v>
      </c>
      <c r="I1075" t="s">
        <v>2229</v>
      </c>
      <c r="J1075">
        <v>2</v>
      </c>
      <c r="K1075">
        <v>1</v>
      </c>
      <c r="L1075" t="s">
        <v>2260</v>
      </c>
      <c r="M1075" t="s">
        <v>2677</v>
      </c>
      <c r="P1075" t="s">
        <v>2927</v>
      </c>
      <c r="Q1075" t="s">
        <v>2113</v>
      </c>
      <c r="R1075" t="s">
        <v>3259</v>
      </c>
      <c r="S1075" t="s">
        <v>3267</v>
      </c>
      <c r="X1075" t="s">
        <v>3354</v>
      </c>
      <c r="Y1075" t="s">
        <v>2678</v>
      </c>
      <c r="Z1075" t="s">
        <v>3380</v>
      </c>
      <c r="AA1075" t="s">
        <v>3406</v>
      </c>
      <c r="AB1075" t="s">
        <v>3415</v>
      </c>
      <c r="AC1075">
        <f>HYPERLINK("https://lsnyc.legalserver.org/matter/dynamic-profile/view/1886214","18-1886214")</f>
        <v>0</v>
      </c>
      <c r="AD1075" t="s">
        <v>3444</v>
      </c>
      <c r="AE1075" t="s">
        <v>3466</v>
      </c>
      <c r="AF1075" t="s">
        <v>4319</v>
      </c>
      <c r="AG1075" t="s">
        <v>3380</v>
      </c>
      <c r="AH1075" t="s">
        <v>4906</v>
      </c>
      <c r="AK1075" t="s">
        <v>4911</v>
      </c>
      <c r="AL1075" t="s">
        <v>2117</v>
      </c>
      <c r="AN1075" t="s">
        <v>3415</v>
      </c>
    </row>
    <row r="1076" spans="1:40">
      <c r="A1076" s="1" t="s">
        <v>1112</v>
      </c>
      <c r="B1076" t="s">
        <v>2001</v>
      </c>
      <c r="C1076" t="s">
        <v>2018</v>
      </c>
      <c r="D1076" t="s">
        <v>2026</v>
      </c>
      <c r="E1076" t="s">
        <v>2112</v>
      </c>
      <c r="F1076" t="s">
        <v>2117</v>
      </c>
      <c r="G1076" t="s">
        <v>2213</v>
      </c>
      <c r="H1076">
        <v>10454</v>
      </c>
      <c r="I1076" t="s">
        <v>2229</v>
      </c>
      <c r="J1076">
        <v>2</v>
      </c>
      <c r="K1076">
        <v>1</v>
      </c>
      <c r="L1076" t="s">
        <v>2260</v>
      </c>
      <c r="M1076" t="s">
        <v>2677</v>
      </c>
      <c r="P1076" t="s">
        <v>2927</v>
      </c>
      <c r="Q1076" t="s">
        <v>2113</v>
      </c>
      <c r="R1076" t="s">
        <v>3259</v>
      </c>
      <c r="S1076" t="s">
        <v>3272</v>
      </c>
      <c r="X1076" t="s">
        <v>3354</v>
      </c>
      <c r="Y1076" t="s">
        <v>2678</v>
      </c>
      <c r="Z1076" t="s">
        <v>3364</v>
      </c>
      <c r="AA1076" t="s">
        <v>3406</v>
      </c>
      <c r="AB1076" t="s">
        <v>3420</v>
      </c>
      <c r="AC1076">
        <f>HYPERLINK("https://lsnyc.legalserver.org/matter/dynamic-profile/view/1886292","18-1886292")</f>
        <v>0</v>
      </c>
      <c r="AD1076" t="s">
        <v>3444</v>
      </c>
      <c r="AE1076" t="s">
        <v>3466</v>
      </c>
      <c r="AF1076" t="s">
        <v>4319</v>
      </c>
      <c r="AG1076" t="s">
        <v>3364</v>
      </c>
      <c r="AH1076" t="s">
        <v>4904</v>
      </c>
      <c r="AK1076" t="s">
        <v>4911</v>
      </c>
      <c r="AL1076" t="s">
        <v>2117</v>
      </c>
      <c r="AN1076" t="s">
        <v>3420</v>
      </c>
    </row>
    <row r="1077" spans="1:40">
      <c r="A1077" s="1" t="s">
        <v>1113</v>
      </c>
      <c r="B1077" t="s">
        <v>2001</v>
      </c>
      <c r="C1077" t="s">
        <v>2001</v>
      </c>
      <c r="D1077" t="s">
        <v>2064</v>
      </c>
      <c r="E1077" t="s">
        <v>2112</v>
      </c>
      <c r="F1077" t="s">
        <v>2117</v>
      </c>
      <c r="G1077" t="s">
        <v>2213</v>
      </c>
      <c r="H1077">
        <v>10474</v>
      </c>
      <c r="I1077" t="s">
        <v>2229</v>
      </c>
      <c r="J1077">
        <v>5</v>
      </c>
      <c r="K1077">
        <v>4</v>
      </c>
      <c r="L1077" t="s">
        <v>2293</v>
      </c>
      <c r="M1077" t="s">
        <v>2677</v>
      </c>
      <c r="P1077" t="s">
        <v>2917</v>
      </c>
      <c r="Q1077" t="s">
        <v>3255</v>
      </c>
      <c r="R1077" t="s">
        <v>3259</v>
      </c>
      <c r="S1077" t="s">
        <v>3272</v>
      </c>
      <c r="T1077" t="s">
        <v>3294</v>
      </c>
      <c r="U1077" t="s">
        <v>2917</v>
      </c>
      <c r="X1077" t="s">
        <v>3354</v>
      </c>
      <c r="Y1077" t="s">
        <v>2678</v>
      </c>
      <c r="Z1077" t="s">
        <v>3364</v>
      </c>
      <c r="AA1077" t="s">
        <v>3406</v>
      </c>
      <c r="AB1077" t="s">
        <v>3420</v>
      </c>
      <c r="AC1077">
        <f>HYPERLINK("https://lsnyc.legalserver.org/matter/dynamic-profile/view/1886144","18-1886144")</f>
        <v>0</v>
      </c>
      <c r="AD1077" t="s">
        <v>3444</v>
      </c>
      <c r="AE1077" t="s">
        <v>3451</v>
      </c>
      <c r="AF1077" t="s">
        <v>3559</v>
      </c>
      <c r="AG1077" t="s">
        <v>3364</v>
      </c>
      <c r="AH1077" t="s">
        <v>4904</v>
      </c>
      <c r="AK1077" t="s">
        <v>4911</v>
      </c>
      <c r="AL1077" t="s">
        <v>2117</v>
      </c>
      <c r="AM1077" t="s">
        <v>3294</v>
      </c>
      <c r="AN1077" t="s">
        <v>3420</v>
      </c>
    </row>
    <row r="1078" spans="1:40">
      <c r="A1078" s="1" t="s">
        <v>1114</v>
      </c>
      <c r="B1078" t="s">
        <v>2002</v>
      </c>
      <c r="C1078" t="s">
        <v>1998</v>
      </c>
      <c r="D1078" t="s">
        <v>2049</v>
      </c>
      <c r="E1078" t="s">
        <v>2112</v>
      </c>
      <c r="F1078" t="s">
        <v>2138</v>
      </c>
      <c r="G1078" t="s">
        <v>2214</v>
      </c>
      <c r="H1078">
        <v>11204</v>
      </c>
      <c r="I1078" t="s">
        <v>2230</v>
      </c>
      <c r="J1078">
        <v>3</v>
      </c>
      <c r="K1078">
        <v>1</v>
      </c>
      <c r="L1078" t="s">
        <v>2286</v>
      </c>
      <c r="M1078" t="s">
        <v>2677</v>
      </c>
      <c r="P1078" t="s">
        <v>2928</v>
      </c>
      <c r="Q1078" t="s">
        <v>2113</v>
      </c>
      <c r="R1078" t="s">
        <v>3258</v>
      </c>
      <c r="S1078" t="s">
        <v>3271</v>
      </c>
      <c r="T1078" t="s">
        <v>3294</v>
      </c>
      <c r="U1078" t="s">
        <v>2831</v>
      </c>
      <c r="X1078" t="s">
        <v>3354</v>
      </c>
      <c r="Y1078" t="s">
        <v>2677</v>
      </c>
      <c r="Z1078" t="s">
        <v>3362</v>
      </c>
      <c r="AA1078" t="s">
        <v>3406</v>
      </c>
      <c r="AB1078" t="s">
        <v>3419</v>
      </c>
      <c r="AC1078">
        <f>HYPERLINK("https://lsnyc.legalserver.org/matter/dynamic-profile/view/1886147","18-1886147")</f>
        <v>0</v>
      </c>
      <c r="AD1078" t="s">
        <v>3445</v>
      </c>
      <c r="AE1078" t="s">
        <v>3452</v>
      </c>
      <c r="AF1078" t="s">
        <v>4320</v>
      </c>
      <c r="AG1078" t="s">
        <v>3362</v>
      </c>
      <c r="AH1078" t="s">
        <v>4904</v>
      </c>
      <c r="AK1078" t="s">
        <v>4911</v>
      </c>
      <c r="AL1078" t="s">
        <v>2138</v>
      </c>
      <c r="AM1078" t="s">
        <v>3294</v>
      </c>
      <c r="AN1078" t="s">
        <v>3419</v>
      </c>
    </row>
    <row r="1079" spans="1:40">
      <c r="A1079" s="1" t="s">
        <v>1115</v>
      </c>
      <c r="B1079" t="s">
        <v>2001</v>
      </c>
      <c r="C1079" t="s">
        <v>2002</v>
      </c>
      <c r="D1079" t="s">
        <v>2036</v>
      </c>
      <c r="E1079" t="s">
        <v>2111</v>
      </c>
      <c r="F1079" t="s">
        <v>2115</v>
      </c>
      <c r="G1079" t="s">
        <v>2216</v>
      </c>
      <c r="H1079">
        <v>10302</v>
      </c>
      <c r="I1079" t="s">
        <v>2229</v>
      </c>
      <c r="J1079">
        <v>2</v>
      </c>
      <c r="K1079">
        <v>0</v>
      </c>
      <c r="L1079" t="s">
        <v>2260</v>
      </c>
      <c r="M1079" t="s">
        <v>2677</v>
      </c>
      <c r="P1079" t="s">
        <v>2929</v>
      </c>
      <c r="Q1079" t="s">
        <v>3255</v>
      </c>
      <c r="R1079" t="s">
        <v>3259</v>
      </c>
      <c r="S1079" t="s">
        <v>3268</v>
      </c>
      <c r="T1079" t="s">
        <v>3294</v>
      </c>
      <c r="U1079" t="s">
        <v>2871</v>
      </c>
      <c r="X1079" t="s">
        <v>3354</v>
      </c>
      <c r="Y1079" t="s">
        <v>2678</v>
      </c>
      <c r="Z1079" t="s">
        <v>3368</v>
      </c>
      <c r="AA1079" t="s">
        <v>3406</v>
      </c>
      <c r="AB1079" t="s">
        <v>3416</v>
      </c>
      <c r="AC1079">
        <f>HYPERLINK("https://lsnyc.legalserver.org/matter/dynamic-profile/view/1881289","18-1881289")</f>
        <v>0</v>
      </c>
      <c r="AD1079" t="s">
        <v>3447</v>
      </c>
      <c r="AE1079" t="s">
        <v>3459</v>
      </c>
      <c r="AF1079" t="s">
        <v>3693</v>
      </c>
      <c r="AG1079" t="s">
        <v>3368</v>
      </c>
      <c r="AH1079" t="s">
        <v>4904</v>
      </c>
      <c r="AK1079" t="s">
        <v>4911</v>
      </c>
      <c r="AL1079" t="s">
        <v>2115</v>
      </c>
      <c r="AM1079" t="s">
        <v>3294</v>
      </c>
      <c r="AN1079" t="s">
        <v>3416</v>
      </c>
    </row>
    <row r="1080" spans="1:40">
      <c r="A1080" s="1" t="s">
        <v>1116</v>
      </c>
      <c r="B1080" t="s">
        <v>1998</v>
      </c>
      <c r="C1080" t="s">
        <v>2004</v>
      </c>
      <c r="D1080" t="s">
        <v>2051</v>
      </c>
      <c r="E1080" t="s">
        <v>2112</v>
      </c>
      <c r="F1080" t="s">
        <v>2117</v>
      </c>
      <c r="G1080" t="s">
        <v>2213</v>
      </c>
      <c r="H1080">
        <v>10451</v>
      </c>
      <c r="I1080" t="s">
        <v>2229</v>
      </c>
      <c r="J1080">
        <v>4</v>
      </c>
      <c r="K1080">
        <v>3</v>
      </c>
      <c r="L1080" t="s">
        <v>2381</v>
      </c>
      <c r="M1080" t="s">
        <v>2677</v>
      </c>
      <c r="P1080" t="s">
        <v>2929</v>
      </c>
      <c r="Q1080" t="s">
        <v>2113</v>
      </c>
      <c r="R1080" t="s">
        <v>3259</v>
      </c>
      <c r="S1080" t="s">
        <v>3288</v>
      </c>
      <c r="X1080" t="s">
        <v>3354</v>
      </c>
      <c r="Y1080" t="s">
        <v>2678</v>
      </c>
      <c r="Z1080" t="s">
        <v>3389</v>
      </c>
      <c r="AA1080" t="s">
        <v>3406</v>
      </c>
      <c r="AB1080" t="s">
        <v>3436</v>
      </c>
      <c r="AC1080">
        <f>HYPERLINK("https://lsnyc.legalserver.org/matter/dynamic-profile/view/1885954","18-1885954")</f>
        <v>0</v>
      </c>
      <c r="AD1080" t="s">
        <v>3444</v>
      </c>
      <c r="AE1080" t="s">
        <v>3466</v>
      </c>
      <c r="AF1080" t="s">
        <v>3853</v>
      </c>
      <c r="AG1080" t="s">
        <v>3389</v>
      </c>
      <c r="AH1080" t="s">
        <v>4905</v>
      </c>
      <c r="AK1080" t="s">
        <v>4911</v>
      </c>
      <c r="AL1080" t="s">
        <v>2117</v>
      </c>
      <c r="AN1080" t="s">
        <v>3436</v>
      </c>
    </row>
    <row r="1081" spans="1:40">
      <c r="A1081" s="1" t="s">
        <v>1117</v>
      </c>
      <c r="B1081" t="s">
        <v>2004</v>
      </c>
      <c r="C1081" t="s">
        <v>2018</v>
      </c>
      <c r="D1081" t="s">
        <v>2088</v>
      </c>
      <c r="E1081" t="s">
        <v>2112</v>
      </c>
      <c r="F1081" t="s">
        <v>2117</v>
      </c>
      <c r="G1081" t="s">
        <v>2213</v>
      </c>
      <c r="H1081">
        <v>10451</v>
      </c>
      <c r="I1081" t="s">
        <v>2229</v>
      </c>
      <c r="J1081">
        <v>3</v>
      </c>
      <c r="K1081">
        <v>2</v>
      </c>
      <c r="L1081" t="s">
        <v>2260</v>
      </c>
      <c r="M1081" t="s">
        <v>2677</v>
      </c>
      <c r="P1081" t="s">
        <v>2929</v>
      </c>
      <c r="Q1081" t="s">
        <v>2113</v>
      </c>
      <c r="R1081" t="s">
        <v>3259</v>
      </c>
      <c r="S1081" t="s">
        <v>3267</v>
      </c>
      <c r="X1081" t="s">
        <v>3354</v>
      </c>
      <c r="Y1081" t="s">
        <v>2678</v>
      </c>
      <c r="Z1081" t="s">
        <v>3380</v>
      </c>
      <c r="AA1081" t="s">
        <v>3406</v>
      </c>
      <c r="AB1081" t="s">
        <v>3415</v>
      </c>
      <c r="AC1081">
        <f>HYPERLINK("https://lsnyc.legalserver.org/matter/dynamic-profile/view/1885960","18-1885960")</f>
        <v>0</v>
      </c>
      <c r="AD1081" t="s">
        <v>3444</v>
      </c>
      <c r="AE1081" t="s">
        <v>3466</v>
      </c>
      <c r="AF1081" t="s">
        <v>3759</v>
      </c>
      <c r="AG1081" t="s">
        <v>3380</v>
      </c>
      <c r="AH1081" t="s">
        <v>4906</v>
      </c>
      <c r="AK1081" t="s">
        <v>4911</v>
      </c>
      <c r="AL1081" t="s">
        <v>2117</v>
      </c>
      <c r="AN1081" t="s">
        <v>3415</v>
      </c>
    </row>
    <row r="1082" spans="1:40">
      <c r="A1082" s="1" t="s">
        <v>1118</v>
      </c>
      <c r="B1082" t="s">
        <v>2004</v>
      </c>
      <c r="C1082" t="s">
        <v>2018</v>
      </c>
      <c r="D1082" t="s">
        <v>2088</v>
      </c>
      <c r="E1082" t="s">
        <v>2112</v>
      </c>
      <c r="F1082" t="s">
        <v>2117</v>
      </c>
      <c r="G1082" t="s">
        <v>2213</v>
      </c>
      <c r="H1082">
        <v>10451</v>
      </c>
      <c r="I1082" t="s">
        <v>2229</v>
      </c>
      <c r="J1082">
        <v>3</v>
      </c>
      <c r="K1082">
        <v>2</v>
      </c>
      <c r="L1082" t="s">
        <v>2260</v>
      </c>
      <c r="M1082" t="s">
        <v>2677</v>
      </c>
      <c r="P1082" t="s">
        <v>2929</v>
      </c>
      <c r="Q1082" t="s">
        <v>2113</v>
      </c>
      <c r="R1082" t="s">
        <v>3259</v>
      </c>
      <c r="S1082" t="s">
        <v>3272</v>
      </c>
      <c r="X1082" t="s">
        <v>3354</v>
      </c>
      <c r="Y1082" t="s">
        <v>2678</v>
      </c>
      <c r="Z1082" t="s">
        <v>3364</v>
      </c>
      <c r="AA1082" t="s">
        <v>3406</v>
      </c>
      <c r="AB1082" t="s">
        <v>3420</v>
      </c>
      <c r="AC1082">
        <f>HYPERLINK("https://lsnyc.legalserver.org/matter/dynamic-profile/view/1885968","18-1885968")</f>
        <v>0</v>
      </c>
      <c r="AD1082" t="s">
        <v>3444</v>
      </c>
      <c r="AE1082" t="s">
        <v>3466</v>
      </c>
      <c r="AF1082" t="s">
        <v>3759</v>
      </c>
      <c r="AG1082" t="s">
        <v>3364</v>
      </c>
      <c r="AH1082" t="s">
        <v>4906</v>
      </c>
      <c r="AK1082" t="s">
        <v>4911</v>
      </c>
      <c r="AL1082" t="s">
        <v>2117</v>
      </c>
      <c r="AN1082" t="s">
        <v>3420</v>
      </c>
    </row>
    <row r="1083" spans="1:40">
      <c r="A1083" s="1" t="s">
        <v>1119</v>
      </c>
      <c r="B1083" t="s">
        <v>2004</v>
      </c>
      <c r="C1083" t="s">
        <v>2009</v>
      </c>
      <c r="D1083" t="s">
        <v>2027</v>
      </c>
      <c r="E1083" t="s">
        <v>2112</v>
      </c>
      <c r="F1083" t="s">
        <v>2117</v>
      </c>
      <c r="G1083" t="s">
        <v>2213</v>
      </c>
      <c r="H1083">
        <v>10451</v>
      </c>
      <c r="I1083" t="s">
        <v>2229</v>
      </c>
      <c r="J1083">
        <v>3</v>
      </c>
      <c r="K1083">
        <v>2</v>
      </c>
      <c r="L1083" t="s">
        <v>2260</v>
      </c>
      <c r="M1083" t="s">
        <v>2677</v>
      </c>
      <c r="P1083" t="s">
        <v>2929</v>
      </c>
      <c r="Q1083" t="s">
        <v>2113</v>
      </c>
      <c r="R1083" t="s">
        <v>3259</v>
      </c>
      <c r="S1083" t="s">
        <v>3267</v>
      </c>
      <c r="X1083" t="s">
        <v>3354</v>
      </c>
      <c r="Y1083" t="s">
        <v>2678</v>
      </c>
      <c r="Z1083" t="s">
        <v>3380</v>
      </c>
      <c r="AA1083" t="s">
        <v>3406</v>
      </c>
      <c r="AB1083" t="s">
        <v>3415</v>
      </c>
      <c r="AC1083">
        <f>HYPERLINK("https://lsnyc.legalserver.org/matter/dynamic-profile/view/1885996","18-1885996")</f>
        <v>0</v>
      </c>
      <c r="AD1083" t="s">
        <v>3444</v>
      </c>
      <c r="AE1083" t="s">
        <v>3466</v>
      </c>
      <c r="AF1083" t="s">
        <v>3758</v>
      </c>
      <c r="AG1083" t="s">
        <v>3380</v>
      </c>
      <c r="AH1083" t="s">
        <v>4906</v>
      </c>
      <c r="AK1083" t="s">
        <v>4911</v>
      </c>
      <c r="AL1083" t="s">
        <v>2117</v>
      </c>
      <c r="AN1083" t="s">
        <v>3415</v>
      </c>
    </row>
    <row r="1084" spans="1:40">
      <c r="A1084" s="1" t="s">
        <v>1120</v>
      </c>
      <c r="B1084" t="s">
        <v>2004</v>
      </c>
      <c r="C1084" t="s">
        <v>2009</v>
      </c>
      <c r="D1084" t="s">
        <v>2027</v>
      </c>
      <c r="E1084" t="s">
        <v>2112</v>
      </c>
      <c r="F1084" t="s">
        <v>2117</v>
      </c>
      <c r="G1084" t="s">
        <v>2213</v>
      </c>
      <c r="H1084">
        <v>10451</v>
      </c>
      <c r="I1084" t="s">
        <v>2229</v>
      </c>
      <c r="J1084">
        <v>3</v>
      </c>
      <c r="K1084">
        <v>2</v>
      </c>
      <c r="L1084" t="s">
        <v>2260</v>
      </c>
      <c r="M1084" t="s">
        <v>2677</v>
      </c>
      <c r="P1084" t="s">
        <v>2929</v>
      </c>
      <c r="Q1084" t="s">
        <v>2113</v>
      </c>
      <c r="R1084" t="s">
        <v>3259</v>
      </c>
      <c r="S1084" t="s">
        <v>3272</v>
      </c>
      <c r="X1084" t="s">
        <v>3354</v>
      </c>
      <c r="Y1084" t="s">
        <v>2678</v>
      </c>
      <c r="Z1084" t="s">
        <v>3364</v>
      </c>
      <c r="AA1084" t="s">
        <v>3406</v>
      </c>
      <c r="AB1084" t="s">
        <v>3420</v>
      </c>
      <c r="AC1084">
        <f>HYPERLINK("https://lsnyc.legalserver.org/matter/dynamic-profile/view/1885998","18-1885998")</f>
        <v>0</v>
      </c>
      <c r="AD1084" t="s">
        <v>3444</v>
      </c>
      <c r="AE1084" t="s">
        <v>3466</v>
      </c>
      <c r="AF1084" t="s">
        <v>3758</v>
      </c>
      <c r="AG1084" t="s">
        <v>3364</v>
      </c>
      <c r="AH1084" t="s">
        <v>4906</v>
      </c>
      <c r="AK1084" t="s">
        <v>4911</v>
      </c>
      <c r="AL1084" t="s">
        <v>2117</v>
      </c>
      <c r="AN1084" t="s">
        <v>3420</v>
      </c>
    </row>
    <row r="1085" spans="1:40">
      <c r="A1085" s="1" t="s">
        <v>1121</v>
      </c>
      <c r="B1085" t="s">
        <v>2018</v>
      </c>
      <c r="C1085" t="s">
        <v>1998</v>
      </c>
      <c r="D1085" t="s">
        <v>2097</v>
      </c>
      <c r="E1085" t="s">
        <v>2112</v>
      </c>
      <c r="F1085" t="s">
        <v>2144</v>
      </c>
      <c r="G1085" t="s">
        <v>2216</v>
      </c>
      <c r="H1085">
        <v>10303</v>
      </c>
      <c r="I1085" t="s">
        <v>2230</v>
      </c>
      <c r="J1085">
        <v>1</v>
      </c>
      <c r="K1085">
        <v>0</v>
      </c>
      <c r="L1085" t="s">
        <v>2434</v>
      </c>
      <c r="M1085" t="s">
        <v>2677</v>
      </c>
      <c r="P1085" t="s">
        <v>2929</v>
      </c>
      <c r="Q1085" t="s">
        <v>2113</v>
      </c>
      <c r="R1085" t="s">
        <v>3258</v>
      </c>
      <c r="S1085" t="s">
        <v>3271</v>
      </c>
      <c r="T1085" t="s">
        <v>3294</v>
      </c>
      <c r="U1085" t="s">
        <v>2822</v>
      </c>
      <c r="X1085" t="s">
        <v>3354</v>
      </c>
      <c r="Y1085" t="s">
        <v>2677</v>
      </c>
      <c r="Z1085" t="s">
        <v>3362</v>
      </c>
      <c r="AA1085" t="s">
        <v>3406</v>
      </c>
      <c r="AB1085" t="s">
        <v>3419</v>
      </c>
      <c r="AC1085">
        <f>HYPERLINK("https://lsnyc.legalserver.org/matter/dynamic-profile/view/1886026","18-1886026")</f>
        <v>0</v>
      </c>
      <c r="AD1085" t="s">
        <v>3445</v>
      </c>
      <c r="AE1085" t="s">
        <v>3452</v>
      </c>
      <c r="AF1085" t="s">
        <v>4029</v>
      </c>
      <c r="AG1085" t="s">
        <v>3362</v>
      </c>
      <c r="AH1085" t="s">
        <v>4904</v>
      </c>
      <c r="AK1085" t="s">
        <v>4911</v>
      </c>
      <c r="AL1085" t="s">
        <v>2144</v>
      </c>
      <c r="AM1085" t="s">
        <v>3294</v>
      </c>
      <c r="AN1085" t="s">
        <v>3419</v>
      </c>
    </row>
    <row r="1086" spans="1:40">
      <c r="A1086" s="1" t="s">
        <v>1122</v>
      </c>
      <c r="B1086" t="s">
        <v>2000</v>
      </c>
      <c r="C1086" t="s">
        <v>2001</v>
      </c>
      <c r="D1086" t="s">
        <v>2094</v>
      </c>
      <c r="E1086" t="s">
        <v>2112</v>
      </c>
      <c r="F1086" t="s">
        <v>2123</v>
      </c>
      <c r="G1086" t="s">
        <v>2213</v>
      </c>
      <c r="H1086">
        <v>10452</v>
      </c>
      <c r="I1086" t="s">
        <v>2230</v>
      </c>
      <c r="J1086">
        <v>2</v>
      </c>
      <c r="K1086">
        <v>0</v>
      </c>
      <c r="L1086" t="s">
        <v>2304</v>
      </c>
      <c r="M1086" t="s">
        <v>2677</v>
      </c>
      <c r="P1086" t="s">
        <v>2929</v>
      </c>
      <c r="Q1086" t="s">
        <v>2113</v>
      </c>
      <c r="R1086" t="s">
        <v>3260</v>
      </c>
      <c r="S1086" t="s">
        <v>3266</v>
      </c>
      <c r="X1086" t="s">
        <v>3354</v>
      </c>
      <c r="Y1086" t="s">
        <v>2677</v>
      </c>
      <c r="AB1086" t="s">
        <v>3414</v>
      </c>
      <c r="AC1086">
        <f>HYPERLINK("https://lsnyc.legalserver.org/matter/dynamic-profile/view/1917939","20-1917939")</f>
        <v>0</v>
      </c>
      <c r="AD1086" t="s">
        <v>3445</v>
      </c>
      <c r="AE1086" t="s">
        <v>3452</v>
      </c>
      <c r="AF1086" t="s">
        <v>4321</v>
      </c>
      <c r="AI1086" t="s">
        <v>4909</v>
      </c>
      <c r="AL1086" t="s">
        <v>2123</v>
      </c>
      <c r="AN1086" t="s">
        <v>3414</v>
      </c>
    </row>
    <row r="1087" spans="1:40">
      <c r="A1087" s="1" t="s">
        <v>1123</v>
      </c>
      <c r="B1087" t="s">
        <v>1998</v>
      </c>
      <c r="C1087" t="s">
        <v>2001</v>
      </c>
      <c r="D1087" t="s">
        <v>2084</v>
      </c>
      <c r="E1087" t="s">
        <v>2112</v>
      </c>
      <c r="F1087" t="s">
        <v>2116</v>
      </c>
      <c r="G1087" t="s">
        <v>2212</v>
      </c>
      <c r="H1087">
        <v>11368</v>
      </c>
      <c r="I1087" t="s">
        <v>2229</v>
      </c>
      <c r="J1087">
        <v>2</v>
      </c>
      <c r="K1087">
        <v>1</v>
      </c>
      <c r="L1087" t="s">
        <v>2285</v>
      </c>
      <c r="M1087" t="s">
        <v>2677</v>
      </c>
      <c r="P1087" t="s">
        <v>2756</v>
      </c>
      <c r="Q1087" t="s">
        <v>3255</v>
      </c>
      <c r="R1087" t="s">
        <v>3259</v>
      </c>
      <c r="S1087" t="s">
        <v>3276</v>
      </c>
      <c r="X1087" t="s">
        <v>3354</v>
      </c>
      <c r="Y1087" t="s">
        <v>2678</v>
      </c>
      <c r="Z1087" t="s">
        <v>3373</v>
      </c>
      <c r="AA1087" t="s">
        <v>3406</v>
      </c>
      <c r="AB1087" t="s">
        <v>3424</v>
      </c>
      <c r="AC1087">
        <f>HYPERLINK("https://lsnyc.legalserver.org/matter/dynamic-profile/view/1885866","18-1885866")</f>
        <v>0</v>
      </c>
      <c r="AD1087" t="s">
        <v>3443</v>
      </c>
      <c r="AE1087" t="s">
        <v>3471</v>
      </c>
      <c r="AF1087" t="s">
        <v>4322</v>
      </c>
      <c r="AG1087" t="s">
        <v>3373</v>
      </c>
      <c r="AH1087" t="s">
        <v>4904</v>
      </c>
      <c r="AL1087" t="s">
        <v>2116</v>
      </c>
      <c r="AN1087" t="s">
        <v>3424</v>
      </c>
    </row>
    <row r="1088" spans="1:40">
      <c r="A1088" s="1" t="s">
        <v>1124</v>
      </c>
      <c r="B1088" t="s">
        <v>1998</v>
      </c>
      <c r="C1088" t="s">
        <v>2001</v>
      </c>
      <c r="D1088" t="s">
        <v>2084</v>
      </c>
      <c r="E1088" t="s">
        <v>2112</v>
      </c>
      <c r="F1088" t="s">
        <v>2135</v>
      </c>
      <c r="G1088" t="s">
        <v>2212</v>
      </c>
      <c r="H1088">
        <v>11368</v>
      </c>
      <c r="I1088" t="s">
        <v>2229</v>
      </c>
      <c r="J1088">
        <v>2</v>
      </c>
      <c r="K1088">
        <v>1</v>
      </c>
      <c r="L1088" t="s">
        <v>2285</v>
      </c>
      <c r="M1088" t="s">
        <v>2677</v>
      </c>
      <c r="P1088" t="s">
        <v>2930</v>
      </c>
      <c r="Q1088" t="s">
        <v>3255</v>
      </c>
      <c r="R1088" t="s">
        <v>3258</v>
      </c>
      <c r="S1088" t="s">
        <v>3262</v>
      </c>
      <c r="X1088" t="s">
        <v>3354</v>
      </c>
      <c r="Y1088" t="s">
        <v>2678</v>
      </c>
      <c r="Z1088" t="s">
        <v>3355</v>
      </c>
      <c r="AA1088" t="s">
        <v>3406</v>
      </c>
      <c r="AB1088" t="s">
        <v>3410</v>
      </c>
      <c r="AC1088">
        <f>HYPERLINK("https://lsnyc.legalserver.org/matter/dynamic-profile/view/1885895","18-1885895")</f>
        <v>0</v>
      </c>
      <c r="AD1088" t="s">
        <v>3443</v>
      </c>
      <c r="AE1088" t="s">
        <v>3471</v>
      </c>
      <c r="AF1088" t="s">
        <v>4322</v>
      </c>
      <c r="AG1088" t="s">
        <v>3355</v>
      </c>
      <c r="AH1088" t="s">
        <v>4904</v>
      </c>
      <c r="AK1088" t="s">
        <v>4911</v>
      </c>
      <c r="AL1088" t="s">
        <v>2135</v>
      </c>
      <c r="AN1088" t="s">
        <v>3410</v>
      </c>
    </row>
    <row r="1089" spans="1:41">
      <c r="A1089" s="1" t="s">
        <v>1125</v>
      </c>
      <c r="B1089" t="s">
        <v>1998</v>
      </c>
      <c r="C1089" t="s">
        <v>2009</v>
      </c>
      <c r="D1089" t="s">
        <v>2101</v>
      </c>
      <c r="E1089" t="s">
        <v>2111</v>
      </c>
      <c r="F1089" t="s">
        <v>2165</v>
      </c>
      <c r="G1089" t="s">
        <v>2212</v>
      </c>
      <c r="H1089">
        <v>11419</v>
      </c>
      <c r="I1089" t="s">
        <v>2230</v>
      </c>
      <c r="J1089">
        <v>5</v>
      </c>
      <c r="K1089">
        <v>1</v>
      </c>
      <c r="L1089" t="s">
        <v>2423</v>
      </c>
      <c r="M1089" t="s">
        <v>2677</v>
      </c>
      <c r="P1089" t="s">
        <v>2931</v>
      </c>
      <c r="Q1089" t="s">
        <v>2113</v>
      </c>
      <c r="R1089" t="s">
        <v>3258</v>
      </c>
      <c r="S1089" t="s">
        <v>3271</v>
      </c>
      <c r="X1089" t="s">
        <v>3354</v>
      </c>
      <c r="Y1089" t="s">
        <v>2677</v>
      </c>
      <c r="Z1089" t="s">
        <v>3362</v>
      </c>
      <c r="AA1089" t="s">
        <v>3406</v>
      </c>
      <c r="AB1089" t="s">
        <v>3419</v>
      </c>
      <c r="AC1089">
        <f>HYPERLINK("https://lsnyc.legalserver.org/matter/dynamic-profile/view/1885760","18-1885760")</f>
        <v>0</v>
      </c>
      <c r="AD1089" t="s">
        <v>3445</v>
      </c>
      <c r="AE1089" t="s">
        <v>3452</v>
      </c>
      <c r="AF1089" t="s">
        <v>3989</v>
      </c>
      <c r="AG1089" t="s">
        <v>3362</v>
      </c>
      <c r="AH1089" t="s">
        <v>4904</v>
      </c>
      <c r="AK1089" t="s">
        <v>4911</v>
      </c>
      <c r="AL1089" t="s">
        <v>2165</v>
      </c>
      <c r="AN1089" t="s">
        <v>3419</v>
      </c>
    </row>
    <row r="1090" spans="1:41">
      <c r="A1090" s="1" t="s">
        <v>1126</v>
      </c>
      <c r="B1090" t="s">
        <v>2001</v>
      </c>
      <c r="C1090" t="s">
        <v>2016</v>
      </c>
      <c r="D1090" t="s">
        <v>2036</v>
      </c>
      <c r="E1090" t="s">
        <v>2112</v>
      </c>
      <c r="F1090" t="s">
        <v>2117</v>
      </c>
      <c r="G1090" t="s">
        <v>2211</v>
      </c>
      <c r="H1090">
        <v>10036</v>
      </c>
      <c r="I1090" t="s">
        <v>2229</v>
      </c>
      <c r="J1090">
        <v>3</v>
      </c>
      <c r="K1090">
        <v>2</v>
      </c>
      <c r="L1090" t="s">
        <v>2260</v>
      </c>
      <c r="M1090" t="s">
        <v>2677</v>
      </c>
      <c r="P1090" t="s">
        <v>2747</v>
      </c>
      <c r="Q1090" t="s">
        <v>2113</v>
      </c>
      <c r="R1090" t="s">
        <v>3259</v>
      </c>
      <c r="S1090" t="s">
        <v>3272</v>
      </c>
      <c r="T1090" t="s">
        <v>3294</v>
      </c>
      <c r="U1090" t="s">
        <v>2746</v>
      </c>
      <c r="V1090" t="s">
        <v>3353</v>
      </c>
      <c r="X1090" t="s">
        <v>3354</v>
      </c>
      <c r="Y1090" t="s">
        <v>2678</v>
      </c>
      <c r="Z1090" t="s">
        <v>3364</v>
      </c>
      <c r="AA1090" t="s">
        <v>3406</v>
      </c>
      <c r="AB1090" t="s">
        <v>3420</v>
      </c>
      <c r="AC1090">
        <f>HYPERLINK("https://lsnyc.legalserver.org/matter/dynamic-profile/view/1885784","18-1885784")</f>
        <v>0</v>
      </c>
      <c r="AD1090" t="s">
        <v>3446</v>
      </c>
      <c r="AE1090" t="s">
        <v>3456</v>
      </c>
      <c r="AF1090" t="s">
        <v>3506</v>
      </c>
      <c r="AG1090" t="s">
        <v>3364</v>
      </c>
      <c r="AH1090" t="s">
        <v>4904</v>
      </c>
      <c r="AL1090" t="s">
        <v>2117</v>
      </c>
      <c r="AM1090" t="s">
        <v>3294</v>
      </c>
      <c r="AN1090" t="s">
        <v>3420</v>
      </c>
      <c r="AO1090" t="s">
        <v>3353</v>
      </c>
    </row>
    <row r="1091" spans="1:41">
      <c r="A1091" s="1" t="s">
        <v>1127</v>
      </c>
      <c r="B1091" t="s">
        <v>2001</v>
      </c>
      <c r="C1091" t="s">
        <v>2016</v>
      </c>
      <c r="D1091" t="s">
        <v>2037</v>
      </c>
      <c r="E1091" t="s">
        <v>2112</v>
      </c>
      <c r="F1091" t="s">
        <v>2117</v>
      </c>
      <c r="G1091" t="s">
        <v>2211</v>
      </c>
      <c r="H1091">
        <v>10036</v>
      </c>
      <c r="I1091" t="s">
        <v>2229</v>
      </c>
      <c r="J1091">
        <v>3</v>
      </c>
      <c r="K1091">
        <v>2</v>
      </c>
      <c r="L1091" t="s">
        <v>2260</v>
      </c>
      <c r="M1091" t="s">
        <v>2677</v>
      </c>
      <c r="P1091" t="s">
        <v>2746</v>
      </c>
      <c r="Q1091" t="s">
        <v>2113</v>
      </c>
      <c r="R1091" t="s">
        <v>3259</v>
      </c>
      <c r="S1091" t="s">
        <v>3272</v>
      </c>
      <c r="T1091" t="s">
        <v>3294</v>
      </c>
      <c r="U1091" t="s">
        <v>2746</v>
      </c>
      <c r="V1091" t="s">
        <v>3353</v>
      </c>
      <c r="X1091" t="s">
        <v>3354</v>
      </c>
      <c r="Y1091" t="s">
        <v>2678</v>
      </c>
      <c r="Z1091" t="s">
        <v>3364</v>
      </c>
      <c r="AA1091" t="s">
        <v>3406</v>
      </c>
      <c r="AB1091" t="s">
        <v>3420</v>
      </c>
      <c r="AC1091">
        <f>HYPERLINK("https://lsnyc.legalserver.org/matter/dynamic-profile/view/1885785","18-1885785")</f>
        <v>0</v>
      </c>
      <c r="AD1091" t="s">
        <v>3446</v>
      </c>
      <c r="AE1091" t="s">
        <v>3456</v>
      </c>
      <c r="AF1091" t="s">
        <v>3507</v>
      </c>
      <c r="AG1091" t="s">
        <v>3364</v>
      </c>
      <c r="AH1091" t="s">
        <v>4904</v>
      </c>
      <c r="AL1091" t="s">
        <v>2117</v>
      </c>
      <c r="AM1091" t="s">
        <v>3294</v>
      </c>
      <c r="AN1091" t="s">
        <v>3420</v>
      </c>
      <c r="AO1091" t="s">
        <v>3353</v>
      </c>
    </row>
    <row r="1092" spans="1:41">
      <c r="A1092" s="1" t="s">
        <v>1128</v>
      </c>
      <c r="B1092" t="s">
        <v>1998</v>
      </c>
      <c r="C1092" t="s">
        <v>2000</v>
      </c>
      <c r="D1092" t="s">
        <v>2062</v>
      </c>
      <c r="E1092" t="s">
        <v>2111</v>
      </c>
      <c r="F1092" t="s">
        <v>2122</v>
      </c>
      <c r="G1092" t="s">
        <v>2212</v>
      </c>
      <c r="H1092">
        <v>11418</v>
      </c>
      <c r="J1092">
        <v>4</v>
      </c>
      <c r="K1092">
        <v>2</v>
      </c>
      <c r="L1092" t="s">
        <v>2301</v>
      </c>
      <c r="M1092" t="s">
        <v>2677</v>
      </c>
      <c r="P1092" t="s">
        <v>2932</v>
      </c>
      <c r="Q1092" t="s">
        <v>2113</v>
      </c>
      <c r="R1092" t="s">
        <v>3258</v>
      </c>
      <c r="S1092" t="s">
        <v>3286</v>
      </c>
      <c r="T1092" t="s">
        <v>3294</v>
      </c>
      <c r="U1092" t="s">
        <v>3306</v>
      </c>
      <c r="X1092" t="s">
        <v>3354</v>
      </c>
      <c r="Y1092" t="s">
        <v>2677</v>
      </c>
      <c r="Z1092" t="s">
        <v>3388</v>
      </c>
      <c r="AA1092" t="s">
        <v>3406</v>
      </c>
      <c r="AB1092" t="s">
        <v>3434</v>
      </c>
      <c r="AC1092">
        <f>HYPERLINK("https://lsnyc.legalserver.org/matter/dynamic-profile/view/1885538","18-1885538")</f>
        <v>0</v>
      </c>
      <c r="AD1092" t="s">
        <v>3445</v>
      </c>
      <c r="AE1092" t="s">
        <v>3452</v>
      </c>
      <c r="AF1092" t="s">
        <v>4323</v>
      </c>
      <c r="AG1092" t="s">
        <v>3388</v>
      </c>
      <c r="AH1092" t="s">
        <v>4904</v>
      </c>
      <c r="AK1092" t="s">
        <v>4911</v>
      </c>
      <c r="AL1092" t="s">
        <v>2122</v>
      </c>
      <c r="AM1092" t="s">
        <v>3294</v>
      </c>
      <c r="AN1092" t="s">
        <v>3434</v>
      </c>
    </row>
    <row r="1093" spans="1:41">
      <c r="A1093" s="1" t="s">
        <v>1129</v>
      </c>
      <c r="B1093" t="s">
        <v>2016</v>
      </c>
      <c r="C1093" t="s">
        <v>2012</v>
      </c>
      <c r="D1093" t="s">
        <v>2084</v>
      </c>
      <c r="E1093" t="s">
        <v>2112</v>
      </c>
      <c r="F1093" t="s">
        <v>2116</v>
      </c>
      <c r="G1093" t="s">
        <v>2213</v>
      </c>
      <c r="H1093">
        <v>10454</v>
      </c>
      <c r="I1093" t="s">
        <v>2229</v>
      </c>
      <c r="J1093">
        <v>5</v>
      </c>
      <c r="K1093">
        <v>3</v>
      </c>
      <c r="L1093" t="s">
        <v>2294</v>
      </c>
      <c r="M1093" t="s">
        <v>2677</v>
      </c>
      <c r="P1093" t="s">
        <v>2842</v>
      </c>
      <c r="Q1093" t="s">
        <v>3255</v>
      </c>
      <c r="R1093" t="s">
        <v>3259</v>
      </c>
      <c r="S1093" t="s">
        <v>3267</v>
      </c>
      <c r="T1093" t="s">
        <v>3294</v>
      </c>
      <c r="U1093" t="s">
        <v>2842</v>
      </c>
      <c r="X1093" t="s">
        <v>3354</v>
      </c>
      <c r="Y1093" t="s">
        <v>2678</v>
      </c>
      <c r="Z1093" t="s">
        <v>3380</v>
      </c>
      <c r="AA1093" t="s">
        <v>3406</v>
      </c>
      <c r="AB1093" t="s">
        <v>3415</v>
      </c>
      <c r="AC1093">
        <f>HYPERLINK("https://lsnyc.legalserver.org/matter/dynamic-profile/view/1885542","18-1885542")</f>
        <v>0</v>
      </c>
      <c r="AD1093" t="s">
        <v>3444</v>
      </c>
      <c r="AE1093" t="s">
        <v>3451</v>
      </c>
      <c r="AF1093" t="s">
        <v>4324</v>
      </c>
      <c r="AG1093" t="s">
        <v>3380</v>
      </c>
      <c r="AH1093" t="s">
        <v>4906</v>
      </c>
      <c r="AK1093" t="s">
        <v>4911</v>
      </c>
      <c r="AL1093" t="s">
        <v>2116</v>
      </c>
      <c r="AM1093" t="s">
        <v>3294</v>
      </c>
      <c r="AN1093" t="s">
        <v>3415</v>
      </c>
    </row>
    <row r="1094" spans="1:41">
      <c r="A1094" s="1" t="s">
        <v>1130</v>
      </c>
      <c r="B1094" t="s">
        <v>2002</v>
      </c>
      <c r="C1094" t="s">
        <v>2012</v>
      </c>
      <c r="D1094" t="s">
        <v>2032</v>
      </c>
      <c r="E1094" t="s">
        <v>2112</v>
      </c>
      <c r="F1094" t="s">
        <v>2116</v>
      </c>
      <c r="G1094" t="s">
        <v>2216</v>
      </c>
      <c r="H1094">
        <v>10301</v>
      </c>
      <c r="I1094" t="s">
        <v>2229</v>
      </c>
      <c r="J1094">
        <v>1</v>
      </c>
      <c r="K1094">
        <v>0</v>
      </c>
      <c r="L1094" t="s">
        <v>2260</v>
      </c>
      <c r="M1094" t="s">
        <v>2677</v>
      </c>
      <c r="P1094" t="s">
        <v>2932</v>
      </c>
      <c r="Q1094" t="s">
        <v>3255</v>
      </c>
      <c r="R1094" t="s">
        <v>3259</v>
      </c>
      <c r="S1094" t="s">
        <v>3268</v>
      </c>
      <c r="X1094" t="s">
        <v>3354</v>
      </c>
      <c r="Y1094" t="s">
        <v>2678</v>
      </c>
      <c r="Z1094" t="s">
        <v>3368</v>
      </c>
      <c r="AA1094" t="s">
        <v>3406</v>
      </c>
      <c r="AB1094" t="s">
        <v>3416</v>
      </c>
      <c r="AC1094">
        <f>HYPERLINK("https://lsnyc.legalserver.org/matter/dynamic-profile/view/1885565","18-1885565")</f>
        <v>0</v>
      </c>
      <c r="AD1094" t="s">
        <v>3447</v>
      </c>
      <c r="AE1094" t="s">
        <v>3458</v>
      </c>
      <c r="AF1094" t="s">
        <v>4325</v>
      </c>
      <c r="AG1094" t="s">
        <v>3368</v>
      </c>
      <c r="AH1094" t="s">
        <v>4904</v>
      </c>
      <c r="AK1094" t="s">
        <v>4911</v>
      </c>
      <c r="AL1094" t="s">
        <v>2116</v>
      </c>
      <c r="AN1094" t="s">
        <v>3416</v>
      </c>
    </row>
    <row r="1095" spans="1:41">
      <c r="A1095" s="1" t="s">
        <v>1131</v>
      </c>
      <c r="B1095" t="s">
        <v>2002</v>
      </c>
      <c r="C1095" t="s">
        <v>2009</v>
      </c>
      <c r="D1095" t="s">
        <v>2097</v>
      </c>
      <c r="E1095" t="s">
        <v>2112</v>
      </c>
      <c r="F1095" t="s">
        <v>2121</v>
      </c>
      <c r="G1095" t="s">
        <v>2214</v>
      </c>
      <c r="H1095">
        <v>11203</v>
      </c>
      <c r="I1095" t="s">
        <v>2229</v>
      </c>
      <c r="J1095">
        <v>1</v>
      </c>
      <c r="K1095">
        <v>0</v>
      </c>
      <c r="L1095" t="s">
        <v>2266</v>
      </c>
      <c r="M1095" t="s">
        <v>2677</v>
      </c>
      <c r="P1095" t="s">
        <v>2932</v>
      </c>
      <c r="Q1095" t="s">
        <v>2113</v>
      </c>
      <c r="R1095" t="s">
        <v>3258</v>
      </c>
      <c r="S1095" t="s">
        <v>3271</v>
      </c>
      <c r="X1095" t="s">
        <v>3354</v>
      </c>
      <c r="Y1095" t="s">
        <v>2677</v>
      </c>
      <c r="Z1095" t="s">
        <v>3362</v>
      </c>
      <c r="AA1095" t="s">
        <v>3406</v>
      </c>
      <c r="AB1095" t="s">
        <v>3419</v>
      </c>
      <c r="AC1095">
        <f>HYPERLINK("https://lsnyc.legalserver.org/matter/dynamic-profile/view/1885609","18-1885609")</f>
        <v>0</v>
      </c>
      <c r="AD1095" t="s">
        <v>3445</v>
      </c>
      <c r="AE1095" t="s">
        <v>3452</v>
      </c>
      <c r="AF1095" t="s">
        <v>4326</v>
      </c>
      <c r="AG1095" t="s">
        <v>3362</v>
      </c>
      <c r="AH1095" t="s">
        <v>4904</v>
      </c>
      <c r="AK1095" t="s">
        <v>4911</v>
      </c>
      <c r="AL1095" t="s">
        <v>2121</v>
      </c>
      <c r="AN1095" t="s">
        <v>3419</v>
      </c>
    </row>
    <row r="1096" spans="1:41">
      <c r="A1096" s="1" t="s">
        <v>1132</v>
      </c>
      <c r="B1096" t="s">
        <v>1998</v>
      </c>
      <c r="C1096" t="s">
        <v>2000</v>
      </c>
      <c r="D1096" t="s">
        <v>2062</v>
      </c>
      <c r="E1096" t="s">
        <v>2112</v>
      </c>
      <c r="F1096" t="s">
        <v>2123</v>
      </c>
      <c r="G1096" t="s">
        <v>2212</v>
      </c>
      <c r="H1096">
        <v>11369</v>
      </c>
      <c r="I1096" t="s">
        <v>2229</v>
      </c>
      <c r="J1096">
        <v>4</v>
      </c>
      <c r="K1096">
        <v>1</v>
      </c>
      <c r="L1096" t="s">
        <v>2495</v>
      </c>
      <c r="M1096" t="s">
        <v>2677</v>
      </c>
      <c r="P1096" t="s">
        <v>2932</v>
      </c>
      <c r="Q1096" t="s">
        <v>2113</v>
      </c>
      <c r="R1096" t="s">
        <v>3258</v>
      </c>
      <c r="S1096" t="s">
        <v>3271</v>
      </c>
      <c r="X1096" t="s">
        <v>3354</v>
      </c>
      <c r="Y1096" t="s">
        <v>2677</v>
      </c>
      <c r="Z1096" t="s">
        <v>3362</v>
      </c>
      <c r="AA1096" t="s">
        <v>3406</v>
      </c>
      <c r="AB1096" t="s">
        <v>3419</v>
      </c>
      <c r="AC1096">
        <f>HYPERLINK("https://lsnyc.legalserver.org/matter/dynamic-profile/view/1885617","18-1885617")</f>
        <v>0</v>
      </c>
      <c r="AD1096" t="s">
        <v>3445</v>
      </c>
      <c r="AE1096" t="s">
        <v>3455</v>
      </c>
      <c r="AF1096" t="s">
        <v>4327</v>
      </c>
      <c r="AG1096" t="s">
        <v>3362</v>
      </c>
      <c r="AH1096" t="s">
        <v>4904</v>
      </c>
      <c r="AK1096" t="s">
        <v>4911</v>
      </c>
      <c r="AL1096" t="s">
        <v>2123</v>
      </c>
      <c r="AN1096" t="s">
        <v>3419</v>
      </c>
    </row>
    <row r="1097" spans="1:41">
      <c r="A1097" s="1" t="s">
        <v>1133</v>
      </c>
      <c r="B1097" t="s">
        <v>2001</v>
      </c>
      <c r="C1097" t="s">
        <v>2012</v>
      </c>
      <c r="D1097" t="s">
        <v>2036</v>
      </c>
      <c r="E1097" t="s">
        <v>2112</v>
      </c>
      <c r="F1097" t="s">
        <v>2117</v>
      </c>
      <c r="G1097" t="s">
        <v>2221</v>
      </c>
      <c r="H1097">
        <v>11550</v>
      </c>
      <c r="I1097" t="s">
        <v>2229</v>
      </c>
      <c r="J1097">
        <v>6</v>
      </c>
      <c r="K1097">
        <v>3</v>
      </c>
      <c r="L1097" t="s">
        <v>2260</v>
      </c>
      <c r="M1097" t="s">
        <v>2677</v>
      </c>
      <c r="P1097" t="s">
        <v>2801</v>
      </c>
      <c r="Q1097" t="s">
        <v>2113</v>
      </c>
      <c r="R1097" t="s">
        <v>3259</v>
      </c>
      <c r="S1097" t="s">
        <v>3272</v>
      </c>
      <c r="X1097" t="s">
        <v>3354</v>
      </c>
      <c r="Y1097" t="s">
        <v>2678</v>
      </c>
      <c r="Z1097" t="s">
        <v>3364</v>
      </c>
      <c r="AA1097" t="s">
        <v>3406</v>
      </c>
      <c r="AB1097" t="s">
        <v>3420</v>
      </c>
      <c r="AC1097">
        <f>HYPERLINK("https://lsnyc.legalserver.org/matter/dynamic-profile/view/1885629","18-1885629")</f>
        <v>0</v>
      </c>
      <c r="AD1097" t="s">
        <v>3443</v>
      </c>
      <c r="AE1097" t="s">
        <v>3450</v>
      </c>
      <c r="AF1097" t="s">
        <v>3887</v>
      </c>
      <c r="AG1097" t="s">
        <v>3364</v>
      </c>
      <c r="AH1097" t="s">
        <v>4904</v>
      </c>
      <c r="AL1097" t="s">
        <v>2117</v>
      </c>
      <c r="AN1097" t="s">
        <v>3420</v>
      </c>
    </row>
    <row r="1098" spans="1:41">
      <c r="A1098" s="1" t="s">
        <v>1134</v>
      </c>
      <c r="B1098" t="s">
        <v>2016</v>
      </c>
      <c r="C1098" t="s">
        <v>2001</v>
      </c>
      <c r="D1098" t="s">
        <v>2029</v>
      </c>
      <c r="E1098" t="s">
        <v>2112</v>
      </c>
      <c r="F1098" t="s">
        <v>2123</v>
      </c>
      <c r="G1098" t="s">
        <v>2213</v>
      </c>
      <c r="H1098">
        <v>10451</v>
      </c>
      <c r="I1098" t="s">
        <v>2229</v>
      </c>
      <c r="J1098">
        <v>4</v>
      </c>
      <c r="K1098">
        <v>1</v>
      </c>
      <c r="L1098" t="s">
        <v>2264</v>
      </c>
      <c r="M1098" t="s">
        <v>2677</v>
      </c>
      <c r="P1098" t="s">
        <v>2932</v>
      </c>
      <c r="Q1098" t="s">
        <v>2113</v>
      </c>
      <c r="R1098" t="s">
        <v>3258</v>
      </c>
      <c r="S1098" t="s">
        <v>3271</v>
      </c>
      <c r="X1098" t="s">
        <v>3354</v>
      </c>
      <c r="Y1098" t="s">
        <v>2677</v>
      </c>
      <c r="Z1098" t="s">
        <v>3362</v>
      </c>
      <c r="AB1098" t="s">
        <v>3419</v>
      </c>
      <c r="AC1098">
        <f>HYPERLINK("https://lsnyc.legalserver.org/matter/dynamic-profile/view/1917935","20-1917935")</f>
        <v>0</v>
      </c>
      <c r="AD1098" t="s">
        <v>3445</v>
      </c>
      <c r="AE1098" t="s">
        <v>3452</v>
      </c>
      <c r="AF1098" t="s">
        <v>4328</v>
      </c>
      <c r="AG1098" t="s">
        <v>3362</v>
      </c>
      <c r="AI1098" t="s">
        <v>4909</v>
      </c>
      <c r="AL1098" t="s">
        <v>2123</v>
      </c>
      <c r="AN1098" t="s">
        <v>3419</v>
      </c>
    </row>
    <row r="1099" spans="1:41">
      <c r="A1099" s="1" t="s">
        <v>1135</v>
      </c>
      <c r="B1099" t="s">
        <v>2002</v>
      </c>
      <c r="C1099" t="s">
        <v>1998</v>
      </c>
      <c r="D1099" t="s">
        <v>2050</v>
      </c>
      <c r="E1099" t="s">
        <v>2112</v>
      </c>
      <c r="F1099" t="s">
        <v>2135</v>
      </c>
      <c r="G1099" t="s">
        <v>2213</v>
      </c>
      <c r="H1099">
        <v>10467</v>
      </c>
      <c r="I1099" t="s">
        <v>2230</v>
      </c>
      <c r="J1099">
        <v>3</v>
      </c>
      <c r="K1099">
        <v>0</v>
      </c>
      <c r="L1099" t="s">
        <v>2496</v>
      </c>
      <c r="M1099" t="s">
        <v>2677</v>
      </c>
      <c r="P1099" t="s">
        <v>2933</v>
      </c>
      <c r="Q1099" t="s">
        <v>2113</v>
      </c>
      <c r="R1099" t="s">
        <v>3258</v>
      </c>
      <c r="S1099" t="s">
        <v>3271</v>
      </c>
      <c r="X1099" t="s">
        <v>3354</v>
      </c>
      <c r="Y1099" t="s">
        <v>2677</v>
      </c>
      <c r="Z1099" t="s">
        <v>3362</v>
      </c>
      <c r="AA1099" t="s">
        <v>3406</v>
      </c>
      <c r="AB1099" t="s">
        <v>3419</v>
      </c>
      <c r="AC1099">
        <f>HYPERLINK("https://lsnyc.legalserver.org/matter/dynamic-profile/view/1885417","18-1885417")</f>
        <v>0</v>
      </c>
      <c r="AD1099" t="s">
        <v>3445</v>
      </c>
      <c r="AE1099" t="s">
        <v>3455</v>
      </c>
      <c r="AF1099" t="s">
        <v>3953</v>
      </c>
      <c r="AG1099" t="s">
        <v>3362</v>
      </c>
      <c r="AH1099" t="s">
        <v>4904</v>
      </c>
      <c r="AK1099" t="s">
        <v>4911</v>
      </c>
      <c r="AL1099" t="s">
        <v>2135</v>
      </c>
      <c r="AN1099" t="s">
        <v>3419</v>
      </c>
    </row>
    <row r="1100" spans="1:41">
      <c r="A1100" s="1" t="s">
        <v>1136</v>
      </c>
      <c r="B1100" t="s">
        <v>2002</v>
      </c>
      <c r="C1100" t="s">
        <v>1998</v>
      </c>
      <c r="D1100" t="s">
        <v>2057</v>
      </c>
      <c r="E1100" t="s">
        <v>2112</v>
      </c>
      <c r="F1100" t="s">
        <v>2117</v>
      </c>
      <c r="G1100" t="s">
        <v>2213</v>
      </c>
      <c r="H1100">
        <v>10457</v>
      </c>
      <c r="I1100" t="s">
        <v>2229</v>
      </c>
      <c r="J1100">
        <v>2</v>
      </c>
      <c r="K1100">
        <v>1</v>
      </c>
      <c r="L1100" t="s">
        <v>2260</v>
      </c>
      <c r="M1100" t="s">
        <v>2677</v>
      </c>
      <c r="P1100" t="s">
        <v>2791</v>
      </c>
      <c r="Q1100" t="s">
        <v>2113</v>
      </c>
      <c r="R1100" t="s">
        <v>3259</v>
      </c>
      <c r="S1100" t="s">
        <v>3267</v>
      </c>
      <c r="X1100" t="s">
        <v>3354</v>
      </c>
      <c r="Y1100" t="s">
        <v>2678</v>
      </c>
      <c r="Z1100" t="s">
        <v>3359</v>
      </c>
      <c r="AA1100" t="s">
        <v>3406</v>
      </c>
      <c r="AB1100" t="s">
        <v>3415</v>
      </c>
      <c r="AC1100">
        <f>HYPERLINK("https://lsnyc.legalserver.org/matter/dynamic-profile/view/1885428","18-1885428")</f>
        <v>0</v>
      </c>
      <c r="AD1100" t="s">
        <v>3442</v>
      </c>
      <c r="AE1100" t="s">
        <v>3470</v>
      </c>
      <c r="AF1100" t="s">
        <v>4005</v>
      </c>
      <c r="AG1100" t="s">
        <v>3359</v>
      </c>
      <c r="AH1100" t="s">
        <v>4906</v>
      </c>
      <c r="AL1100" t="s">
        <v>2117</v>
      </c>
      <c r="AN1100" t="s">
        <v>3415</v>
      </c>
    </row>
    <row r="1101" spans="1:41">
      <c r="A1101" s="1" t="s">
        <v>1137</v>
      </c>
      <c r="B1101" t="s">
        <v>2016</v>
      </c>
      <c r="C1101" t="s">
        <v>2003</v>
      </c>
      <c r="D1101" t="s">
        <v>2083</v>
      </c>
      <c r="E1101" t="s">
        <v>2112</v>
      </c>
      <c r="F1101" t="s">
        <v>2123</v>
      </c>
      <c r="G1101" t="s">
        <v>2214</v>
      </c>
      <c r="H1101">
        <v>11212</v>
      </c>
      <c r="J1101">
        <v>4</v>
      </c>
      <c r="K1101">
        <v>2</v>
      </c>
      <c r="L1101" t="s">
        <v>2497</v>
      </c>
      <c r="M1101" t="s">
        <v>2677</v>
      </c>
      <c r="P1101" t="s">
        <v>2933</v>
      </c>
      <c r="Q1101" t="s">
        <v>2113</v>
      </c>
      <c r="R1101" t="s">
        <v>3258</v>
      </c>
      <c r="S1101" t="s">
        <v>3279</v>
      </c>
      <c r="X1101" t="s">
        <v>3354</v>
      </c>
      <c r="Y1101" t="s">
        <v>2677</v>
      </c>
      <c r="Z1101" t="s">
        <v>3377</v>
      </c>
      <c r="AA1101" t="s">
        <v>3406</v>
      </c>
      <c r="AB1101" t="s">
        <v>3427</v>
      </c>
      <c r="AC1101">
        <f>HYPERLINK("https://lsnyc.legalserver.org/matter/dynamic-profile/view/1885441","18-1885441")</f>
        <v>0</v>
      </c>
      <c r="AD1101" t="s">
        <v>3445</v>
      </c>
      <c r="AE1101" t="s">
        <v>3455</v>
      </c>
      <c r="AF1101" t="s">
        <v>4329</v>
      </c>
      <c r="AG1101" t="s">
        <v>3377</v>
      </c>
      <c r="AH1101" t="s">
        <v>4904</v>
      </c>
      <c r="AK1101" t="s">
        <v>4911</v>
      </c>
      <c r="AL1101" t="s">
        <v>2123</v>
      </c>
      <c r="AN1101" t="s">
        <v>3427</v>
      </c>
    </row>
    <row r="1102" spans="1:41">
      <c r="A1102" s="1" t="s">
        <v>1138</v>
      </c>
      <c r="B1102" t="s">
        <v>1998</v>
      </c>
      <c r="C1102" t="s">
        <v>1998</v>
      </c>
      <c r="D1102" t="s">
        <v>2029</v>
      </c>
      <c r="E1102" t="s">
        <v>2112</v>
      </c>
      <c r="F1102" t="s">
        <v>2117</v>
      </c>
      <c r="G1102" t="s">
        <v>2213</v>
      </c>
      <c r="H1102">
        <v>10456</v>
      </c>
      <c r="I1102" t="s">
        <v>2229</v>
      </c>
      <c r="J1102">
        <v>3</v>
      </c>
      <c r="K1102">
        <v>2</v>
      </c>
      <c r="L1102" t="s">
        <v>2260</v>
      </c>
      <c r="M1102" t="s">
        <v>2677</v>
      </c>
      <c r="P1102" t="s">
        <v>2933</v>
      </c>
      <c r="Q1102" t="s">
        <v>2113</v>
      </c>
      <c r="R1102" t="s">
        <v>3259</v>
      </c>
      <c r="S1102" t="s">
        <v>3267</v>
      </c>
      <c r="X1102" t="s">
        <v>3354</v>
      </c>
      <c r="Y1102" t="s">
        <v>2678</v>
      </c>
      <c r="Z1102" t="s">
        <v>3380</v>
      </c>
      <c r="AA1102" t="s">
        <v>3406</v>
      </c>
      <c r="AB1102" t="s">
        <v>3415</v>
      </c>
      <c r="AC1102">
        <f>HYPERLINK("https://lsnyc.legalserver.org/matter/dynamic-profile/view/1885514","18-1885514")</f>
        <v>0</v>
      </c>
      <c r="AD1102" t="s">
        <v>3444</v>
      </c>
      <c r="AE1102" t="s">
        <v>3466</v>
      </c>
      <c r="AF1102" t="s">
        <v>3861</v>
      </c>
      <c r="AG1102" t="s">
        <v>3380</v>
      </c>
      <c r="AH1102" t="s">
        <v>4906</v>
      </c>
      <c r="AK1102" t="s">
        <v>4911</v>
      </c>
      <c r="AL1102" t="s">
        <v>2117</v>
      </c>
      <c r="AN1102" t="s">
        <v>3415</v>
      </c>
    </row>
    <row r="1103" spans="1:41">
      <c r="A1103" s="1" t="s">
        <v>1139</v>
      </c>
      <c r="B1103" t="s">
        <v>1998</v>
      </c>
      <c r="C1103" t="s">
        <v>2001</v>
      </c>
      <c r="D1103" t="s">
        <v>2037</v>
      </c>
      <c r="E1103" t="s">
        <v>2111</v>
      </c>
      <c r="F1103" t="s">
        <v>2117</v>
      </c>
      <c r="G1103" t="s">
        <v>2213</v>
      </c>
      <c r="H1103">
        <v>10451</v>
      </c>
      <c r="I1103" t="s">
        <v>2229</v>
      </c>
      <c r="J1103">
        <v>4</v>
      </c>
      <c r="K1103">
        <v>2</v>
      </c>
      <c r="L1103" t="s">
        <v>2300</v>
      </c>
      <c r="M1103" t="s">
        <v>2677</v>
      </c>
      <c r="P1103" t="s">
        <v>2933</v>
      </c>
      <c r="Q1103" t="s">
        <v>3255</v>
      </c>
      <c r="R1103" t="s">
        <v>3259</v>
      </c>
      <c r="S1103" t="s">
        <v>3272</v>
      </c>
      <c r="T1103" t="s">
        <v>3294</v>
      </c>
      <c r="U1103" t="s">
        <v>3314</v>
      </c>
      <c r="V1103" t="s">
        <v>3353</v>
      </c>
      <c r="X1103" t="s">
        <v>3354</v>
      </c>
      <c r="Y1103" t="s">
        <v>2678</v>
      </c>
      <c r="Z1103" t="s">
        <v>3364</v>
      </c>
      <c r="AA1103" t="s">
        <v>3406</v>
      </c>
      <c r="AB1103" t="s">
        <v>3420</v>
      </c>
      <c r="AC1103">
        <f>HYPERLINK("https://lsnyc.legalserver.org/matter/dynamic-profile/view/1885516","18-1885516")</f>
        <v>0</v>
      </c>
      <c r="AD1103" t="s">
        <v>3444</v>
      </c>
      <c r="AE1103" t="s">
        <v>3468</v>
      </c>
      <c r="AF1103" t="s">
        <v>4330</v>
      </c>
      <c r="AG1103" t="s">
        <v>3364</v>
      </c>
      <c r="AH1103" t="s">
        <v>4905</v>
      </c>
      <c r="AI1103" t="s">
        <v>4909</v>
      </c>
      <c r="AK1103" t="s">
        <v>4911</v>
      </c>
      <c r="AL1103" t="s">
        <v>2117</v>
      </c>
      <c r="AM1103" t="s">
        <v>3294</v>
      </c>
      <c r="AN1103" t="s">
        <v>3420</v>
      </c>
      <c r="AO1103" t="s">
        <v>3353</v>
      </c>
    </row>
    <row r="1104" spans="1:41">
      <c r="A1104" s="1" t="s">
        <v>1140</v>
      </c>
      <c r="B1104" t="s">
        <v>1998</v>
      </c>
      <c r="C1104" t="s">
        <v>2001</v>
      </c>
      <c r="D1104" t="s">
        <v>2037</v>
      </c>
      <c r="E1104" t="s">
        <v>2111</v>
      </c>
      <c r="F1104" t="s">
        <v>2117</v>
      </c>
      <c r="G1104" t="s">
        <v>2213</v>
      </c>
      <c r="H1104">
        <v>10451</v>
      </c>
      <c r="I1104" t="s">
        <v>2229</v>
      </c>
      <c r="J1104">
        <v>4</v>
      </c>
      <c r="K1104">
        <v>2</v>
      </c>
      <c r="L1104" t="s">
        <v>2300</v>
      </c>
      <c r="M1104" t="s">
        <v>2677</v>
      </c>
      <c r="P1104" t="s">
        <v>2933</v>
      </c>
      <c r="Q1104" t="s">
        <v>2113</v>
      </c>
      <c r="R1104" t="s">
        <v>3258</v>
      </c>
      <c r="S1104" t="s">
        <v>3262</v>
      </c>
      <c r="T1104" t="s">
        <v>3294</v>
      </c>
      <c r="U1104" t="s">
        <v>2990</v>
      </c>
      <c r="V1104" t="s">
        <v>3353</v>
      </c>
      <c r="X1104" t="s">
        <v>3354</v>
      </c>
      <c r="Y1104" t="s">
        <v>2678</v>
      </c>
      <c r="Z1104" t="s">
        <v>3355</v>
      </c>
      <c r="AA1104" t="s">
        <v>3406</v>
      </c>
      <c r="AB1104" t="s">
        <v>3410</v>
      </c>
      <c r="AC1104">
        <f>HYPERLINK("https://lsnyc.legalserver.org/matter/dynamic-profile/view/1885518","18-1885518")</f>
        <v>0</v>
      </c>
      <c r="AD1104" t="s">
        <v>3444</v>
      </c>
      <c r="AE1104" t="s">
        <v>3468</v>
      </c>
      <c r="AF1104" t="s">
        <v>4330</v>
      </c>
      <c r="AG1104" t="s">
        <v>3355</v>
      </c>
      <c r="AH1104" t="s">
        <v>4904</v>
      </c>
      <c r="AI1104" t="s">
        <v>4909</v>
      </c>
      <c r="AK1104" t="s">
        <v>4911</v>
      </c>
      <c r="AL1104" t="s">
        <v>2117</v>
      </c>
      <c r="AM1104" t="s">
        <v>3294</v>
      </c>
      <c r="AN1104" t="s">
        <v>3410</v>
      </c>
      <c r="AO1104" t="s">
        <v>3353</v>
      </c>
    </row>
    <row r="1105" spans="1:41">
      <c r="A1105" s="1" t="s">
        <v>1141</v>
      </c>
      <c r="B1105" t="s">
        <v>1998</v>
      </c>
      <c r="C1105" t="s">
        <v>2005</v>
      </c>
      <c r="D1105" t="s">
        <v>2076</v>
      </c>
      <c r="E1105" t="s">
        <v>2112</v>
      </c>
      <c r="F1105" t="s">
        <v>2117</v>
      </c>
      <c r="G1105" t="s">
        <v>2212</v>
      </c>
      <c r="H1105">
        <v>11436</v>
      </c>
      <c r="I1105" t="s">
        <v>2229</v>
      </c>
      <c r="J1105">
        <v>3</v>
      </c>
      <c r="K1105">
        <v>1</v>
      </c>
      <c r="L1105" t="s">
        <v>2498</v>
      </c>
      <c r="M1105" t="s">
        <v>2678</v>
      </c>
      <c r="P1105" t="s">
        <v>2934</v>
      </c>
      <c r="Q1105" t="s">
        <v>3255</v>
      </c>
      <c r="R1105" t="s">
        <v>3259</v>
      </c>
      <c r="S1105" t="s">
        <v>3268</v>
      </c>
      <c r="X1105" t="s">
        <v>3354</v>
      </c>
      <c r="Y1105" t="s">
        <v>2678</v>
      </c>
      <c r="Z1105" t="s">
        <v>3368</v>
      </c>
      <c r="AB1105" t="s">
        <v>3416</v>
      </c>
      <c r="AC1105">
        <f>HYPERLINK("https://lsnyc.legalserver.org/matter/dynamic-profile/view/1880318","18-1880318")</f>
        <v>0</v>
      </c>
      <c r="AD1105" t="s">
        <v>3443</v>
      </c>
      <c r="AE1105" t="s">
        <v>3471</v>
      </c>
      <c r="AF1105" t="s">
        <v>4331</v>
      </c>
      <c r="AG1105" t="s">
        <v>3368</v>
      </c>
      <c r="AI1105" t="s">
        <v>4909</v>
      </c>
      <c r="AJ1105" t="s">
        <v>4910</v>
      </c>
      <c r="AL1105" t="s">
        <v>2117</v>
      </c>
      <c r="AN1105" t="s">
        <v>3416</v>
      </c>
    </row>
    <row r="1106" spans="1:41">
      <c r="A1106" s="1" t="s">
        <v>1142</v>
      </c>
      <c r="B1106" t="s">
        <v>2000</v>
      </c>
      <c r="C1106" t="s">
        <v>2001</v>
      </c>
      <c r="D1106" t="s">
        <v>2038</v>
      </c>
      <c r="E1106" t="s">
        <v>2112</v>
      </c>
      <c r="F1106" t="s">
        <v>2116</v>
      </c>
      <c r="G1106" t="s">
        <v>2214</v>
      </c>
      <c r="H1106">
        <v>11230</v>
      </c>
      <c r="I1106" t="s">
        <v>2230</v>
      </c>
      <c r="J1106">
        <v>5</v>
      </c>
      <c r="K1106">
        <v>4</v>
      </c>
      <c r="L1106" t="s">
        <v>2305</v>
      </c>
      <c r="M1106" t="s">
        <v>2677</v>
      </c>
      <c r="P1106" t="s">
        <v>2801</v>
      </c>
      <c r="Q1106" t="s">
        <v>3257</v>
      </c>
      <c r="R1106" t="s">
        <v>3259</v>
      </c>
      <c r="S1106" t="s">
        <v>3264</v>
      </c>
      <c r="T1106" t="s">
        <v>3294</v>
      </c>
      <c r="U1106" t="s">
        <v>2801</v>
      </c>
      <c r="X1106" t="s">
        <v>3354</v>
      </c>
      <c r="Y1106" t="s">
        <v>2678</v>
      </c>
      <c r="Z1106" t="s">
        <v>3357</v>
      </c>
      <c r="AA1106" t="s">
        <v>3406</v>
      </c>
      <c r="AB1106" t="s">
        <v>3412</v>
      </c>
      <c r="AC1106">
        <f>HYPERLINK("https://lsnyc.legalserver.org/matter/dynamic-profile/view/1885354","18-1885354")</f>
        <v>0</v>
      </c>
      <c r="AD1106" t="s">
        <v>3446</v>
      </c>
      <c r="AE1106" t="s">
        <v>3454</v>
      </c>
      <c r="AF1106" t="s">
        <v>3893</v>
      </c>
      <c r="AG1106" t="s">
        <v>3357</v>
      </c>
      <c r="AH1106" t="s">
        <v>4904</v>
      </c>
      <c r="AL1106" t="s">
        <v>2116</v>
      </c>
      <c r="AM1106" t="s">
        <v>3294</v>
      </c>
      <c r="AN1106" t="s">
        <v>3412</v>
      </c>
    </row>
    <row r="1107" spans="1:41">
      <c r="A1107" s="1" t="s">
        <v>1143</v>
      </c>
      <c r="B1107" t="s">
        <v>2016</v>
      </c>
      <c r="C1107" t="s">
        <v>1998</v>
      </c>
      <c r="D1107" t="s">
        <v>2096</v>
      </c>
      <c r="E1107" t="s">
        <v>2111</v>
      </c>
      <c r="F1107" t="s">
        <v>2164</v>
      </c>
      <c r="G1107" t="s">
        <v>2212</v>
      </c>
      <c r="H1107">
        <v>11434</v>
      </c>
      <c r="I1107" t="s">
        <v>2234</v>
      </c>
      <c r="J1107">
        <v>3</v>
      </c>
      <c r="K1107">
        <v>2</v>
      </c>
      <c r="L1107" t="s">
        <v>2260</v>
      </c>
      <c r="M1107" t="s">
        <v>2677</v>
      </c>
      <c r="P1107" t="s">
        <v>2934</v>
      </c>
      <c r="Q1107" t="s">
        <v>3257</v>
      </c>
      <c r="R1107" t="s">
        <v>3259</v>
      </c>
      <c r="S1107" t="s">
        <v>3268</v>
      </c>
      <c r="X1107" t="s">
        <v>3354</v>
      </c>
      <c r="Y1107" t="s">
        <v>2678</v>
      </c>
      <c r="Z1107" t="s">
        <v>3368</v>
      </c>
      <c r="AA1107" t="s">
        <v>3406</v>
      </c>
      <c r="AB1107" t="s">
        <v>3416</v>
      </c>
      <c r="AC1107">
        <f>HYPERLINK("https://lsnyc.legalserver.org/matter/dynamic-profile/view/1885360","18-1885360")</f>
        <v>0</v>
      </c>
      <c r="AD1107" t="s">
        <v>3443</v>
      </c>
      <c r="AE1107" t="s">
        <v>3471</v>
      </c>
      <c r="AF1107" t="s">
        <v>4332</v>
      </c>
      <c r="AG1107" t="s">
        <v>3368</v>
      </c>
      <c r="AH1107" t="s">
        <v>4904</v>
      </c>
      <c r="AK1107" t="s">
        <v>4911</v>
      </c>
      <c r="AL1107" t="s">
        <v>2164</v>
      </c>
      <c r="AN1107" t="s">
        <v>3416</v>
      </c>
    </row>
    <row r="1108" spans="1:41">
      <c r="A1108" s="1" t="s">
        <v>1144</v>
      </c>
      <c r="B1108" t="s">
        <v>2001</v>
      </c>
      <c r="C1108" t="s">
        <v>1998</v>
      </c>
      <c r="D1108" t="s">
        <v>2055</v>
      </c>
      <c r="E1108" t="s">
        <v>2111</v>
      </c>
      <c r="F1108" t="s">
        <v>2120</v>
      </c>
      <c r="G1108" t="s">
        <v>2218</v>
      </c>
      <c r="H1108">
        <v>10553</v>
      </c>
      <c r="I1108" t="s">
        <v>2230</v>
      </c>
      <c r="J1108">
        <v>1</v>
      </c>
      <c r="K1108">
        <v>0</v>
      </c>
      <c r="L1108" t="s">
        <v>2499</v>
      </c>
      <c r="M1108" t="s">
        <v>2677</v>
      </c>
      <c r="P1108" t="s">
        <v>2934</v>
      </c>
      <c r="Q1108" t="s">
        <v>2113</v>
      </c>
      <c r="R1108" t="s">
        <v>3258</v>
      </c>
      <c r="S1108" t="s">
        <v>3274</v>
      </c>
      <c r="T1108" t="s">
        <v>3294</v>
      </c>
      <c r="U1108" t="s">
        <v>2907</v>
      </c>
      <c r="V1108" t="s">
        <v>3352</v>
      </c>
      <c r="X1108" t="s">
        <v>3354</v>
      </c>
      <c r="Y1108" t="s">
        <v>2678</v>
      </c>
      <c r="Z1108" t="s">
        <v>3371</v>
      </c>
      <c r="AA1108" t="s">
        <v>3406</v>
      </c>
      <c r="AB1108" t="s">
        <v>3422</v>
      </c>
      <c r="AC1108">
        <f>HYPERLINK("https://lsnyc.legalserver.org/matter/dynamic-profile/view/1885389","18-1885389")</f>
        <v>0</v>
      </c>
      <c r="AD1108" t="s">
        <v>3444</v>
      </c>
      <c r="AE1108" t="s">
        <v>3468</v>
      </c>
      <c r="AF1108" t="s">
        <v>4333</v>
      </c>
      <c r="AG1108" t="s">
        <v>3371</v>
      </c>
      <c r="AH1108" t="s">
        <v>4904</v>
      </c>
      <c r="AI1108" t="s">
        <v>4909</v>
      </c>
      <c r="AK1108" t="s">
        <v>4911</v>
      </c>
      <c r="AL1108" t="s">
        <v>2120</v>
      </c>
      <c r="AM1108" t="s">
        <v>3294</v>
      </c>
      <c r="AN1108" t="s">
        <v>3422</v>
      </c>
      <c r="AO1108" t="s">
        <v>3352</v>
      </c>
    </row>
    <row r="1109" spans="1:41">
      <c r="A1109" s="1" t="s">
        <v>1145</v>
      </c>
      <c r="B1109" t="s">
        <v>2009</v>
      </c>
      <c r="C1109" t="s">
        <v>2005</v>
      </c>
      <c r="D1109" t="s">
        <v>2045</v>
      </c>
      <c r="E1109" t="s">
        <v>2112</v>
      </c>
      <c r="F1109" t="s">
        <v>2116</v>
      </c>
      <c r="G1109" t="s">
        <v>2212</v>
      </c>
      <c r="H1109">
        <v>11434</v>
      </c>
      <c r="I1109" t="s">
        <v>2230</v>
      </c>
      <c r="J1109">
        <v>4</v>
      </c>
      <c r="K1109">
        <v>3</v>
      </c>
      <c r="L1109" t="s">
        <v>2275</v>
      </c>
      <c r="M1109" t="s">
        <v>2677</v>
      </c>
      <c r="P1109" t="s">
        <v>2764</v>
      </c>
      <c r="Q1109" t="s">
        <v>3255</v>
      </c>
      <c r="R1109" t="s">
        <v>3259</v>
      </c>
      <c r="S1109" t="s">
        <v>3287</v>
      </c>
      <c r="X1109" t="s">
        <v>3354</v>
      </c>
      <c r="Y1109" t="s">
        <v>2678</v>
      </c>
      <c r="Z1109" t="s">
        <v>3378</v>
      </c>
      <c r="AA1109" t="s">
        <v>3406</v>
      </c>
      <c r="AB1109" t="s">
        <v>3435</v>
      </c>
      <c r="AC1109">
        <f>HYPERLINK("https://lsnyc.legalserver.org/matter/dynamic-profile/view/1880348","18-1880348")</f>
        <v>0</v>
      </c>
      <c r="AD1109" t="s">
        <v>3443</v>
      </c>
      <c r="AE1109" t="s">
        <v>3471</v>
      </c>
      <c r="AF1109" t="s">
        <v>4334</v>
      </c>
      <c r="AG1109" t="s">
        <v>3378</v>
      </c>
      <c r="AH1109" t="s">
        <v>4904</v>
      </c>
      <c r="AI1109" t="s">
        <v>4909</v>
      </c>
      <c r="AL1109" t="s">
        <v>2116</v>
      </c>
      <c r="AN1109" t="s">
        <v>3435</v>
      </c>
    </row>
    <row r="1110" spans="1:41">
      <c r="A1110" s="1" t="s">
        <v>1146</v>
      </c>
      <c r="B1110" t="s">
        <v>2000</v>
      </c>
      <c r="C1110" t="s">
        <v>1998</v>
      </c>
      <c r="D1110" t="s">
        <v>2101</v>
      </c>
      <c r="E1110" t="s">
        <v>2112</v>
      </c>
      <c r="F1110" t="s">
        <v>2121</v>
      </c>
      <c r="G1110" t="s">
        <v>2212</v>
      </c>
      <c r="H1110">
        <v>11375</v>
      </c>
      <c r="I1110" t="s">
        <v>2230</v>
      </c>
      <c r="J1110">
        <v>2</v>
      </c>
      <c r="K1110">
        <v>0</v>
      </c>
      <c r="L1110" t="s">
        <v>2500</v>
      </c>
      <c r="M1110" t="s">
        <v>2677</v>
      </c>
      <c r="P1110" t="s">
        <v>2935</v>
      </c>
      <c r="Q1110" t="s">
        <v>2113</v>
      </c>
      <c r="R1110" t="s">
        <v>3258</v>
      </c>
      <c r="S1110" t="s">
        <v>3274</v>
      </c>
      <c r="X1110" t="s">
        <v>3354</v>
      </c>
      <c r="Y1110" t="s">
        <v>2678</v>
      </c>
      <c r="Z1110" t="s">
        <v>3371</v>
      </c>
      <c r="AA1110" t="s">
        <v>3406</v>
      </c>
      <c r="AB1110" t="s">
        <v>3422</v>
      </c>
      <c r="AC1110">
        <f>HYPERLINK("https://lsnyc.legalserver.org/matter/dynamic-profile/view/1885253","18-1885253")</f>
        <v>0</v>
      </c>
      <c r="AD1110" t="s">
        <v>3443</v>
      </c>
      <c r="AE1110" t="s">
        <v>3479</v>
      </c>
      <c r="AF1110" t="s">
        <v>4335</v>
      </c>
      <c r="AG1110" t="s">
        <v>3371</v>
      </c>
      <c r="AH1110" t="s">
        <v>4904</v>
      </c>
      <c r="AL1110" t="s">
        <v>2121</v>
      </c>
      <c r="AN1110" t="s">
        <v>3422</v>
      </c>
    </row>
    <row r="1111" spans="1:41">
      <c r="A1111" s="1" t="s">
        <v>1147</v>
      </c>
      <c r="B1111" t="s">
        <v>2012</v>
      </c>
      <c r="C1111" t="s">
        <v>2001</v>
      </c>
      <c r="D1111" t="s">
        <v>2029</v>
      </c>
      <c r="E1111" t="s">
        <v>2112</v>
      </c>
      <c r="F1111" t="s">
        <v>2123</v>
      </c>
      <c r="G1111" t="s">
        <v>2213</v>
      </c>
      <c r="H1111">
        <v>10460</v>
      </c>
      <c r="I1111" t="s">
        <v>2229</v>
      </c>
      <c r="J1111">
        <v>3</v>
      </c>
      <c r="K1111">
        <v>0</v>
      </c>
      <c r="L1111" t="s">
        <v>2419</v>
      </c>
      <c r="M1111" t="s">
        <v>2677</v>
      </c>
      <c r="P1111" t="s">
        <v>2935</v>
      </c>
      <c r="Q1111" t="s">
        <v>2113</v>
      </c>
      <c r="R1111" t="s">
        <v>3258</v>
      </c>
      <c r="S1111" t="s">
        <v>3271</v>
      </c>
      <c r="X1111" t="s">
        <v>3354</v>
      </c>
      <c r="Y1111" t="s">
        <v>2677</v>
      </c>
      <c r="Z1111" t="s">
        <v>3362</v>
      </c>
      <c r="AA1111" t="s">
        <v>3406</v>
      </c>
      <c r="AB1111" t="s">
        <v>3419</v>
      </c>
      <c r="AC1111">
        <f>HYPERLINK("https://lsnyc.legalserver.org/matter/dynamic-profile/view/1885287","18-1885287")</f>
        <v>0</v>
      </c>
      <c r="AD1111" t="s">
        <v>3445</v>
      </c>
      <c r="AE1111" t="s">
        <v>3455</v>
      </c>
      <c r="AF1111" t="s">
        <v>3967</v>
      </c>
      <c r="AG1111" t="s">
        <v>3362</v>
      </c>
      <c r="AH1111" t="s">
        <v>4904</v>
      </c>
      <c r="AK1111" t="s">
        <v>4911</v>
      </c>
      <c r="AL1111" t="s">
        <v>2123</v>
      </c>
      <c r="AN1111" t="s">
        <v>3419</v>
      </c>
    </row>
    <row r="1112" spans="1:41">
      <c r="A1112" s="1" t="s">
        <v>1148</v>
      </c>
      <c r="B1112" t="s">
        <v>1998</v>
      </c>
      <c r="C1112" t="s">
        <v>2012</v>
      </c>
      <c r="D1112" t="s">
        <v>2084</v>
      </c>
      <c r="E1112" t="s">
        <v>2112</v>
      </c>
      <c r="F1112" t="s">
        <v>2116</v>
      </c>
      <c r="G1112" t="s">
        <v>2216</v>
      </c>
      <c r="H1112">
        <v>10302</v>
      </c>
      <c r="I1112" t="s">
        <v>2229</v>
      </c>
      <c r="J1112">
        <v>5</v>
      </c>
      <c r="K1112">
        <v>4</v>
      </c>
      <c r="L1112" t="s">
        <v>2260</v>
      </c>
      <c r="M1112" t="s">
        <v>2677</v>
      </c>
      <c r="P1112" t="s">
        <v>2935</v>
      </c>
      <c r="Q1112" t="s">
        <v>3255</v>
      </c>
      <c r="R1112" t="s">
        <v>3259</v>
      </c>
      <c r="S1112" t="s">
        <v>3276</v>
      </c>
      <c r="T1112" t="s">
        <v>3294</v>
      </c>
      <c r="U1112" t="s">
        <v>2879</v>
      </c>
      <c r="X1112" t="s">
        <v>3354</v>
      </c>
      <c r="Y1112" t="s">
        <v>2678</v>
      </c>
      <c r="Z1112" t="s">
        <v>3373</v>
      </c>
      <c r="AA1112" t="s">
        <v>3406</v>
      </c>
      <c r="AB1112" t="s">
        <v>3424</v>
      </c>
      <c r="AC1112">
        <f>HYPERLINK("https://lsnyc.legalserver.org/matter/dynamic-profile/view/1885296","18-1885296")</f>
        <v>0</v>
      </c>
      <c r="AD1112" t="s">
        <v>3447</v>
      </c>
      <c r="AE1112" t="s">
        <v>3462</v>
      </c>
      <c r="AF1112" t="s">
        <v>4336</v>
      </c>
      <c r="AG1112" t="s">
        <v>3373</v>
      </c>
      <c r="AH1112" t="s">
        <v>4904</v>
      </c>
      <c r="AK1112" t="s">
        <v>4911</v>
      </c>
      <c r="AL1112" t="s">
        <v>2116</v>
      </c>
      <c r="AM1112" t="s">
        <v>3294</v>
      </c>
      <c r="AN1112" t="s">
        <v>3424</v>
      </c>
    </row>
    <row r="1113" spans="1:41">
      <c r="A1113" s="1" t="s">
        <v>1149</v>
      </c>
      <c r="B1113" t="s">
        <v>2000</v>
      </c>
      <c r="C1113" t="s">
        <v>2000</v>
      </c>
      <c r="D1113" t="s">
        <v>2081</v>
      </c>
      <c r="E1113" t="s">
        <v>2112</v>
      </c>
      <c r="F1113" t="s">
        <v>2116</v>
      </c>
      <c r="G1113" t="s">
        <v>2213</v>
      </c>
      <c r="H1113">
        <v>10459</v>
      </c>
      <c r="I1113" t="s">
        <v>2229</v>
      </c>
      <c r="J1113">
        <v>2</v>
      </c>
      <c r="K1113">
        <v>0</v>
      </c>
      <c r="L1113" t="s">
        <v>2286</v>
      </c>
      <c r="M1113" t="s">
        <v>2677</v>
      </c>
      <c r="P1113" t="s">
        <v>2935</v>
      </c>
      <c r="Q1113" t="s">
        <v>2113</v>
      </c>
      <c r="R1113" t="s">
        <v>3259</v>
      </c>
      <c r="S1113" t="s">
        <v>3268</v>
      </c>
      <c r="X1113" t="s">
        <v>3354</v>
      </c>
      <c r="Y1113" t="s">
        <v>2677</v>
      </c>
      <c r="Z1113" t="s">
        <v>3368</v>
      </c>
      <c r="AA1113" t="s">
        <v>3406</v>
      </c>
      <c r="AB1113" t="s">
        <v>3416</v>
      </c>
      <c r="AC1113">
        <f>HYPERLINK("https://lsnyc.legalserver.org/matter/dynamic-profile/view/1885298","18-1885298")</f>
        <v>0</v>
      </c>
      <c r="AD1113" t="s">
        <v>3445</v>
      </c>
      <c r="AE1113" t="s">
        <v>3455</v>
      </c>
      <c r="AF1113" t="s">
        <v>4337</v>
      </c>
      <c r="AG1113" t="s">
        <v>3368</v>
      </c>
      <c r="AH1113" t="s">
        <v>4904</v>
      </c>
      <c r="AK1113" t="s">
        <v>4911</v>
      </c>
      <c r="AL1113" t="s">
        <v>2116</v>
      </c>
      <c r="AN1113" t="s">
        <v>3416</v>
      </c>
    </row>
    <row r="1114" spans="1:41">
      <c r="A1114" s="1" t="s">
        <v>1150</v>
      </c>
      <c r="B1114" t="s">
        <v>2000</v>
      </c>
      <c r="C1114" t="s">
        <v>2012</v>
      </c>
      <c r="D1114" t="s">
        <v>2084</v>
      </c>
      <c r="E1114" t="s">
        <v>2112</v>
      </c>
      <c r="F1114" t="s">
        <v>2161</v>
      </c>
      <c r="G1114" t="s">
        <v>2213</v>
      </c>
      <c r="H1114">
        <v>10453</v>
      </c>
      <c r="I1114" t="s">
        <v>2229</v>
      </c>
      <c r="J1114">
        <v>4</v>
      </c>
      <c r="K1114">
        <v>0</v>
      </c>
      <c r="L1114" t="s">
        <v>2501</v>
      </c>
      <c r="M1114" t="s">
        <v>2677</v>
      </c>
      <c r="P1114" t="s">
        <v>2936</v>
      </c>
      <c r="Q1114" t="s">
        <v>3257</v>
      </c>
      <c r="R1114" t="s">
        <v>3261</v>
      </c>
      <c r="S1114" t="s">
        <v>3283</v>
      </c>
      <c r="X1114" t="s">
        <v>3354</v>
      </c>
      <c r="Y1114" t="s">
        <v>2678</v>
      </c>
      <c r="Z1114" t="s">
        <v>3359</v>
      </c>
      <c r="AA1114" t="s">
        <v>3408</v>
      </c>
      <c r="AB1114" t="s">
        <v>3431</v>
      </c>
      <c r="AC1114">
        <f>HYPERLINK("https://lsnyc.legalserver.org/matter/dynamic-profile/view/1885105","18-1885105")</f>
        <v>0</v>
      </c>
      <c r="AD1114" t="s">
        <v>3442</v>
      </c>
      <c r="AE1114" t="s">
        <v>3476</v>
      </c>
      <c r="AF1114" t="s">
        <v>3757</v>
      </c>
      <c r="AG1114" t="s">
        <v>3359</v>
      </c>
      <c r="AH1114" t="s">
        <v>3408</v>
      </c>
      <c r="AK1114" t="s">
        <v>4911</v>
      </c>
      <c r="AL1114" t="s">
        <v>2161</v>
      </c>
      <c r="AN1114" t="s">
        <v>3431</v>
      </c>
    </row>
    <row r="1115" spans="1:41">
      <c r="A1115" s="1" t="s">
        <v>1151</v>
      </c>
      <c r="B1115" t="s">
        <v>1998</v>
      </c>
      <c r="C1115" t="s">
        <v>2001</v>
      </c>
      <c r="D1115" t="s">
        <v>2068</v>
      </c>
      <c r="E1115" t="s">
        <v>2111</v>
      </c>
      <c r="F1115" t="s">
        <v>2121</v>
      </c>
      <c r="G1115" t="s">
        <v>2212</v>
      </c>
      <c r="H1115">
        <v>11370</v>
      </c>
      <c r="I1115" t="s">
        <v>2229</v>
      </c>
      <c r="J1115">
        <v>1</v>
      </c>
      <c r="K1115">
        <v>0</v>
      </c>
      <c r="L1115" t="s">
        <v>2273</v>
      </c>
      <c r="M1115" t="s">
        <v>2677</v>
      </c>
      <c r="P1115" t="s">
        <v>2936</v>
      </c>
      <c r="Q1115" t="s">
        <v>2113</v>
      </c>
      <c r="R1115" t="s">
        <v>3259</v>
      </c>
      <c r="S1115" t="s">
        <v>3268</v>
      </c>
      <c r="X1115" t="s">
        <v>3354</v>
      </c>
      <c r="Y1115" t="s">
        <v>2677</v>
      </c>
      <c r="Z1115" t="s">
        <v>3368</v>
      </c>
      <c r="AA1115" t="s">
        <v>3406</v>
      </c>
      <c r="AB1115" t="s">
        <v>3416</v>
      </c>
      <c r="AC1115">
        <f>HYPERLINK("https://lsnyc.legalserver.org/matter/dynamic-profile/view/1885150","18-1885150")</f>
        <v>0</v>
      </c>
      <c r="AD1115" t="s">
        <v>3445</v>
      </c>
      <c r="AE1115" t="s">
        <v>3455</v>
      </c>
      <c r="AF1115" t="s">
        <v>4338</v>
      </c>
      <c r="AG1115" t="s">
        <v>3368</v>
      </c>
      <c r="AH1115" t="s">
        <v>4904</v>
      </c>
      <c r="AK1115" t="s">
        <v>4911</v>
      </c>
      <c r="AL1115" t="s">
        <v>2121</v>
      </c>
      <c r="AN1115" t="s">
        <v>3416</v>
      </c>
    </row>
    <row r="1116" spans="1:41">
      <c r="A1116" s="1" t="s">
        <v>1152</v>
      </c>
      <c r="B1116" t="s">
        <v>2000</v>
      </c>
      <c r="C1116" t="s">
        <v>2001</v>
      </c>
      <c r="D1116" t="s">
        <v>2061</v>
      </c>
      <c r="E1116" t="s">
        <v>2111</v>
      </c>
      <c r="F1116" t="s">
        <v>2117</v>
      </c>
      <c r="G1116" t="s">
        <v>2213</v>
      </c>
      <c r="H1116">
        <v>0</v>
      </c>
      <c r="I1116" t="s">
        <v>2229</v>
      </c>
      <c r="J1116">
        <v>2</v>
      </c>
      <c r="K1116">
        <v>1</v>
      </c>
      <c r="L1116" t="s">
        <v>2260</v>
      </c>
      <c r="M1116" t="s">
        <v>2677</v>
      </c>
      <c r="P1116" t="s">
        <v>2937</v>
      </c>
      <c r="Q1116" t="s">
        <v>2113</v>
      </c>
      <c r="R1116" t="s">
        <v>3259</v>
      </c>
      <c r="S1116" t="s">
        <v>3272</v>
      </c>
      <c r="X1116" t="s">
        <v>3354</v>
      </c>
      <c r="Y1116" t="s">
        <v>2678</v>
      </c>
      <c r="Z1116" t="s">
        <v>3364</v>
      </c>
      <c r="AA1116" t="s">
        <v>3406</v>
      </c>
      <c r="AB1116" t="s">
        <v>3420</v>
      </c>
      <c r="AC1116">
        <f>HYPERLINK("https://lsnyc.legalserver.org/matter/dynamic-profile/view/1884949","18-1884949")</f>
        <v>0</v>
      </c>
      <c r="AD1116" t="s">
        <v>3444</v>
      </c>
      <c r="AE1116" t="s">
        <v>3466</v>
      </c>
      <c r="AF1116" t="s">
        <v>4339</v>
      </c>
      <c r="AG1116" t="s">
        <v>3364</v>
      </c>
      <c r="AH1116" t="s">
        <v>4904</v>
      </c>
      <c r="AK1116" t="s">
        <v>4911</v>
      </c>
      <c r="AL1116" t="s">
        <v>2117</v>
      </c>
      <c r="AN1116" t="s">
        <v>3420</v>
      </c>
    </row>
    <row r="1117" spans="1:41">
      <c r="A1117" s="1" t="s">
        <v>1153</v>
      </c>
      <c r="B1117" t="s">
        <v>2016</v>
      </c>
      <c r="C1117" t="s">
        <v>1998</v>
      </c>
      <c r="D1117" t="s">
        <v>2029</v>
      </c>
      <c r="E1117" t="s">
        <v>2111</v>
      </c>
      <c r="F1117" t="s">
        <v>2121</v>
      </c>
      <c r="G1117" t="s">
        <v>2212</v>
      </c>
      <c r="H1117">
        <v>11369</v>
      </c>
      <c r="I1117" t="s">
        <v>2229</v>
      </c>
      <c r="J1117">
        <v>1</v>
      </c>
      <c r="K1117">
        <v>0</v>
      </c>
      <c r="L1117" t="s">
        <v>2260</v>
      </c>
      <c r="M1117" t="s">
        <v>2677</v>
      </c>
      <c r="P1117" t="s">
        <v>2744</v>
      </c>
      <c r="Q1117" t="s">
        <v>3257</v>
      </c>
      <c r="R1117" t="s">
        <v>3259</v>
      </c>
      <c r="S1117" t="s">
        <v>3267</v>
      </c>
      <c r="X1117" t="s">
        <v>3354</v>
      </c>
      <c r="Y1117" t="s">
        <v>2678</v>
      </c>
      <c r="Z1117" t="s">
        <v>3359</v>
      </c>
      <c r="AA1117" t="s">
        <v>3406</v>
      </c>
      <c r="AB1117" t="s">
        <v>3415</v>
      </c>
      <c r="AC1117">
        <f>HYPERLINK("https://lsnyc.legalserver.org/matter/dynamic-profile/view/1884957","18-1884957")</f>
        <v>0</v>
      </c>
      <c r="AD1117" t="s">
        <v>3443</v>
      </c>
      <c r="AE1117" t="s">
        <v>3472</v>
      </c>
      <c r="AF1117" t="s">
        <v>3648</v>
      </c>
      <c r="AG1117" t="s">
        <v>3359</v>
      </c>
      <c r="AH1117" t="s">
        <v>4906</v>
      </c>
      <c r="AL1117" t="s">
        <v>2121</v>
      </c>
      <c r="AN1117" t="s">
        <v>3415</v>
      </c>
    </row>
    <row r="1118" spans="1:41">
      <c r="A1118" s="1" t="s">
        <v>1154</v>
      </c>
      <c r="B1118" t="s">
        <v>2000</v>
      </c>
      <c r="C1118" t="s">
        <v>2019</v>
      </c>
      <c r="D1118" t="s">
        <v>2085</v>
      </c>
      <c r="E1118" t="s">
        <v>2111</v>
      </c>
      <c r="F1118" t="s">
        <v>2165</v>
      </c>
      <c r="G1118" t="s">
        <v>2211</v>
      </c>
      <c r="H1118">
        <v>10027</v>
      </c>
      <c r="I1118" t="s">
        <v>2230</v>
      </c>
      <c r="J1118">
        <v>1</v>
      </c>
      <c r="K1118">
        <v>0</v>
      </c>
      <c r="L1118" t="s">
        <v>2502</v>
      </c>
      <c r="M1118" t="s">
        <v>2677</v>
      </c>
      <c r="P1118" t="s">
        <v>2937</v>
      </c>
      <c r="Q1118" t="s">
        <v>2113</v>
      </c>
      <c r="R1118" t="s">
        <v>3261</v>
      </c>
      <c r="S1118" t="s">
        <v>3283</v>
      </c>
      <c r="X1118" t="s">
        <v>3354</v>
      </c>
      <c r="Y1118" t="s">
        <v>2678</v>
      </c>
      <c r="Z1118" t="s">
        <v>3377</v>
      </c>
      <c r="AA1118" t="s">
        <v>3408</v>
      </c>
      <c r="AB1118" t="s">
        <v>3431</v>
      </c>
      <c r="AC1118">
        <f>HYPERLINK("https://lsnyc.legalserver.org/matter/dynamic-profile/view/1884971","18-1884971")</f>
        <v>0</v>
      </c>
      <c r="AD1118" t="s">
        <v>3442</v>
      </c>
      <c r="AE1118" t="s">
        <v>3476</v>
      </c>
      <c r="AF1118" t="s">
        <v>4340</v>
      </c>
      <c r="AG1118" t="s">
        <v>3377</v>
      </c>
      <c r="AH1118" t="s">
        <v>3408</v>
      </c>
      <c r="AK1118" t="s">
        <v>4911</v>
      </c>
      <c r="AL1118" t="s">
        <v>2165</v>
      </c>
      <c r="AN1118" t="s">
        <v>3431</v>
      </c>
    </row>
    <row r="1119" spans="1:41">
      <c r="A1119" s="1" t="s">
        <v>1155</v>
      </c>
      <c r="B1119" t="s">
        <v>2001</v>
      </c>
      <c r="C1119" t="s">
        <v>2000</v>
      </c>
      <c r="D1119" t="s">
        <v>2094</v>
      </c>
      <c r="E1119" t="s">
        <v>2112</v>
      </c>
      <c r="F1119" t="s">
        <v>2123</v>
      </c>
      <c r="G1119" t="s">
        <v>2211</v>
      </c>
      <c r="H1119">
        <v>10035</v>
      </c>
      <c r="I1119" t="s">
        <v>2229</v>
      </c>
      <c r="J1119">
        <v>4</v>
      </c>
      <c r="K1119">
        <v>2</v>
      </c>
      <c r="L1119" t="s">
        <v>2503</v>
      </c>
      <c r="M1119" t="s">
        <v>2677</v>
      </c>
      <c r="P1119" t="s">
        <v>2937</v>
      </c>
      <c r="Q1119" t="s">
        <v>2113</v>
      </c>
      <c r="R1119" t="s">
        <v>3258</v>
      </c>
      <c r="S1119" t="s">
        <v>3271</v>
      </c>
      <c r="T1119" t="s">
        <v>3294</v>
      </c>
      <c r="U1119" t="s">
        <v>2768</v>
      </c>
      <c r="X1119" t="s">
        <v>3354</v>
      </c>
      <c r="Y1119" t="s">
        <v>2677</v>
      </c>
      <c r="Z1119" t="s">
        <v>3362</v>
      </c>
      <c r="AA1119" t="s">
        <v>3406</v>
      </c>
      <c r="AB1119" t="s">
        <v>3419</v>
      </c>
      <c r="AC1119">
        <f>HYPERLINK("https://lsnyc.legalserver.org/matter/dynamic-profile/view/1884980","18-1884980")</f>
        <v>0</v>
      </c>
      <c r="AD1119" t="s">
        <v>3445</v>
      </c>
      <c r="AE1119" t="s">
        <v>3452</v>
      </c>
      <c r="AF1119" t="s">
        <v>4341</v>
      </c>
      <c r="AG1119" t="s">
        <v>3362</v>
      </c>
      <c r="AH1119" t="s">
        <v>4904</v>
      </c>
      <c r="AK1119" t="s">
        <v>4911</v>
      </c>
      <c r="AL1119" t="s">
        <v>2123</v>
      </c>
      <c r="AM1119" t="s">
        <v>3294</v>
      </c>
      <c r="AN1119" t="s">
        <v>3419</v>
      </c>
    </row>
    <row r="1120" spans="1:41">
      <c r="A1120" s="1" t="s">
        <v>1156</v>
      </c>
      <c r="B1120" t="s">
        <v>1998</v>
      </c>
      <c r="C1120" t="s">
        <v>2000</v>
      </c>
      <c r="D1120" t="s">
        <v>2039</v>
      </c>
      <c r="E1120" t="s">
        <v>2112</v>
      </c>
      <c r="F1120" t="s">
        <v>2116</v>
      </c>
      <c r="G1120" t="s">
        <v>2212</v>
      </c>
      <c r="H1120">
        <v>11373</v>
      </c>
      <c r="I1120" t="s">
        <v>2229</v>
      </c>
      <c r="J1120">
        <v>7</v>
      </c>
      <c r="K1120">
        <v>4</v>
      </c>
      <c r="L1120" t="s">
        <v>2504</v>
      </c>
      <c r="M1120" t="s">
        <v>2677</v>
      </c>
      <c r="P1120" t="s">
        <v>2750</v>
      </c>
      <c r="Q1120" t="s">
        <v>2113</v>
      </c>
      <c r="R1120" t="s">
        <v>3259</v>
      </c>
      <c r="S1120" t="s">
        <v>3264</v>
      </c>
      <c r="X1120" t="s">
        <v>3354</v>
      </c>
      <c r="Y1120" t="s">
        <v>2677</v>
      </c>
      <c r="Z1120" t="s">
        <v>3397</v>
      </c>
      <c r="AA1120" t="s">
        <v>3406</v>
      </c>
      <c r="AB1120" t="s">
        <v>3412</v>
      </c>
      <c r="AC1120">
        <f>HYPERLINK("https://lsnyc.legalserver.org/matter/dynamic-profile/view/1885002","18-1885002")</f>
        <v>0</v>
      </c>
      <c r="AD1120" t="s">
        <v>3443</v>
      </c>
      <c r="AE1120" t="s">
        <v>3450</v>
      </c>
      <c r="AF1120" t="s">
        <v>4342</v>
      </c>
      <c r="AG1120" t="s">
        <v>3397</v>
      </c>
      <c r="AH1120" t="s">
        <v>4904</v>
      </c>
      <c r="AL1120" t="s">
        <v>2116</v>
      </c>
      <c r="AN1120" t="s">
        <v>3412</v>
      </c>
    </row>
    <row r="1121" spans="1:41">
      <c r="A1121" s="1" t="s">
        <v>1157</v>
      </c>
      <c r="B1121" t="s">
        <v>2000</v>
      </c>
      <c r="C1121" t="s">
        <v>2001</v>
      </c>
      <c r="D1121" t="s">
        <v>2057</v>
      </c>
      <c r="E1121" t="s">
        <v>2112</v>
      </c>
      <c r="F1121" t="s">
        <v>2155</v>
      </c>
      <c r="G1121" t="s">
        <v>2211</v>
      </c>
      <c r="H1121">
        <v>10002</v>
      </c>
      <c r="I1121" t="s">
        <v>2230</v>
      </c>
      <c r="J1121">
        <v>1</v>
      </c>
      <c r="K1121">
        <v>0</v>
      </c>
      <c r="L1121" t="s">
        <v>2446</v>
      </c>
      <c r="M1121" t="s">
        <v>2677</v>
      </c>
      <c r="P1121" t="s">
        <v>2787</v>
      </c>
      <c r="Q1121" t="s">
        <v>3255</v>
      </c>
      <c r="R1121" t="s">
        <v>3259</v>
      </c>
      <c r="S1121" t="s">
        <v>3267</v>
      </c>
      <c r="X1121" t="s">
        <v>3354</v>
      </c>
      <c r="Y1121" t="s">
        <v>2678</v>
      </c>
      <c r="Z1121" t="s">
        <v>3359</v>
      </c>
      <c r="AA1121" t="s">
        <v>3406</v>
      </c>
      <c r="AB1121" t="s">
        <v>3415</v>
      </c>
      <c r="AC1121">
        <f>HYPERLINK("https://lsnyc.legalserver.org/matter/dynamic-profile/view/1885035","18-1885035")</f>
        <v>0</v>
      </c>
      <c r="AD1121" t="s">
        <v>3442</v>
      </c>
      <c r="AE1121" t="s">
        <v>3470</v>
      </c>
      <c r="AF1121" t="s">
        <v>4343</v>
      </c>
      <c r="AG1121" t="s">
        <v>3359</v>
      </c>
      <c r="AH1121" t="s">
        <v>4906</v>
      </c>
      <c r="AL1121" t="s">
        <v>2155</v>
      </c>
      <c r="AN1121" t="s">
        <v>3415</v>
      </c>
    </row>
    <row r="1122" spans="1:41">
      <c r="A1122" s="1" t="s">
        <v>1158</v>
      </c>
      <c r="B1122" t="s">
        <v>1998</v>
      </c>
      <c r="C1122" t="s">
        <v>1998</v>
      </c>
      <c r="D1122" t="s">
        <v>2040</v>
      </c>
      <c r="E1122" t="s">
        <v>2111</v>
      </c>
      <c r="F1122" t="s">
        <v>2115</v>
      </c>
      <c r="G1122" t="s">
        <v>2216</v>
      </c>
      <c r="H1122">
        <v>10304</v>
      </c>
      <c r="I1122" t="s">
        <v>2229</v>
      </c>
      <c r="J1122">
        <v>3</v>
      </c>
      <c r="K1122">
        <v>2</v>
      </c>
      <c r="L1122" t="s">
        <v>2260</v>
      </c>
      <c r="M1122" t="s">
        <v>2677</v>
      </c>
      <c r="P1122" t="s">
        <v>2937</v>
      </c>
      <c r="Q1122" t="s">
        <v>3255</v>
      </c>
      <c r="R1122" t="s">
        <v>3259</v>
      </c>
      <c r="S1122" t="s">
        <v>3272</v>
      </c>
      <c r="T1122" t="s">
        <v>3294</v>
      </c>
      <c r="U1122" t="s">
        <v>2931</v>
      </c>
      <c r="X1122" t="s">
        <v>3354</v>
      </c>
      <c r="Y1122" t="s">
        <v>2678</v>
      </c>
      <c r="Z1122" t="s">
        <v>3364</v>
      </c>
      <c r="AA1122" t="s">
        <v>3406</v>
      </c>
      <c r="AB1122" t="s">
        <v>3420</v>
      </c>
      <c r="AC1122">
        <f>HYPERLINK("https://lsnyc.legalserver.org/matter/dynamic-profile/view/1885041","18-1885041")</f>
        <v>0</v>
      </c>
      <c r="AD1122" t="s">
        <v>3447</v>
      </c>
      <c r="AE1122" t="s">
        <v>3459</v>
      </c>
      <c r="AF1122" t="s">
        <v>4114</v>
      </c>
      <c r="AG1122" t="s">
        <v>3364</v>
      </c>
      <c r="AH1122" t="s">
        <v>4904</v>
      </c>
      <c r="AK1122" t="s">
        <v>4911</v>
      </c>
      <c r="AL1122" t="s">
        <v>2115</v>
      </c>
      <c r="AM1122" t="s">
        <v>3294</v>
      </c>
      <c r="AN1122" t="s">
        <v>3420</v>
      </c>
    </row>
    <row r="1123" spans="1:41">
      <c r="A1123" s="1" t="s">
        <v>1159</v>
      </c>
      <c r="B1123" t="s">
        <v>2000</v>
      </c>
      <c r="C1123" t="s">
        <v>1998</v>
      </c>
      <c r="D1123" t="s">
        <v>2077</v>
      </c>
      <c r="E1123" t="s">
        <v>2111</v>
      </c>
      <c r="F1123" t="s">
        <v>2133</v>
      </c>
      <c r="G1123" t="s">
        <v>2216</v>
      </c>
      <c r="H1123">
        <v>10314</v>
      </c>
      <c r="I1123" t="s">
        <v>2230</v>
      </c>
      <c r="J1123">
        <v>1</v>
      </c>
      <c r="K1123">
        <v>0</v>
      </c>
      <c r="L1123" t="s">
        <v>2260</v>
      </c>
      <c r="M1123" t="s">
        <v>2677</v>
      </c>
      <c r="P1123" t="s">
        <v>2938</v>
      </c>
      <c r="Q1123" t="s">
        <v>2113</v>
      </c>
      <c r="R1123" t="s">
        <v>3258</v>
      </c>
      <c r="S1123" t="s">
        <v>3269</v>
      </c>
      <c r="T1123" t="s">
        <v>3294</v>
      </c>
      <c r="U1123" t="s">
        <v>2918</v>
      </c>
      <c r="X1123" t="s">
        <v>3354</v>
      </c>
      <c r="Y1123" t="s">
        <v>2678</v>
      </c>
      <c r="Z1123" t="s">
        <v>3361</v>
      </c>
      <c r="AA1123" t="s">
        <v>3406</v>
      </c>
      <c r="AB1123" t="s">
        <v>3417</v>
      </c>
      <c r="AC1123">
        <f>HYPERLINK("https://lsnyc.legalserver.org/matter/dynamic-profile/view/1884773","18-1884773")</f>
        <v>0</v>
      </c>
      <c r="AD1123" t="s">
        <v>3447</v>
      </c>
      <c r="AE1123" t="s">
        <v>3463</v>
      </c>
      <c r="AF1123" t="s">
        <v>4344</v>
      </c>
      <c r="AG1123" t="s">
        <v>3361</v>
      </c>
      <c r="AH1123" t="s">
        <v>4904</v>
      </c>
      <c r="AK1123" t="s">
        <v>4911</v>
      </c>
      <c r="AL1123" t="s">
        <v>2133</v>
      </c>
      <c r="AM1123" t="s">
        <v>3294</v>
      </c>
      <c r="AN1123" t="s">
        <v>3417</v>
      </c>
    </row>
    <row r="1124" spans="1:41">
      <c r="A1124" s="1" t="s">
        <v>1160</v>
      </c>
      <c r="B1124" t="s">
        <v>2001</v>
      </c>
      <c r="C1124" t="s">
        <v>2012</v>
      </c>
      <c r="D1124" t="s">
        <v>2067</v>
      </c>
      <c r="E1124" t="s">
        <v>2112</v>
      </c>
      <c r="F1124" t="s">
        <v>2115</v>
      </c>
      <c r="G1124" t="s">
        <v>2213</v>
      </c>
      <c r="H1124">
        <v>10460</v>
      </c>
      <c r="I1124" t="s">
        <v>2229</v>
      </c>
      <c r="J1124">
        <v>4</v>
      </c>
      <c r="K1124">
        <v>2</v>
      </c>
      <c r="L1124" t="s">
        <v>2275</v>
      </c>
      <c r="M1124" t="s">
        <v>2677</v>
      </c>
      <c r="P1124" t="s">
        <v>2938</v>
      </c>
      <c r="Q1124" t="s">
        <v>2113</v>
      </c>
      <c r="R1124" t="s">
        <v>3259</v>
      </c>
      <c r="S1124" t="s">
        <v>3272</v>
      </c>
      <c r="T1124" t="s">
        <v>3294</v>
      </c>
      <c r="U1124" t="s">
        <v>2923</v>
      </c>
      <c r="V1124" t="s">
        <v>3353</v>
      </c>
      <c r="X1124" t="s">
        <v>3354</v>
      </c>
      <c r="Y1124" t="s">
        <v>2678</v>
      </c>
      <c r="Z1124" t="s">
        <v>3364</v>
      </c>
      <c r="AA1124" t="s">
        <v>3406</v>
      </c>
      <c r="AB1124" t="s">
        <v>3420</v>
      </c>
      <c r="AC1124">
        <f>HYPERLINK("https://lsnyc.legalserver.org/matter/dynamic-profile/view/1884817","18-1884817")</f>
        <v>0</v>
      </c>
      <c r="AD1124" t="s">
        <v>3444</v>
      </c>
      <c r="AE1124" t="s">
        <v>3466</v>
      </c>
      <c r="AF1124" t="s">
        <v>4279</v>
      </c>
      <c r="AG1124" t="s">
        <v>3364</v>
      </c>
      <c r="AH1124" t="s">
        <v>4904</v>
      </c>
      <c r="AK1124" t="s">
        <v>4911</v>
      </c>
      <c r="AL1124" t="s">
        <v>2115</v>
      </c>
      <c r="AM1124" t="s">
        <v>3294</v>
      </c>
      <c r="AN1124" t="s">
        <v>3420</v>
      </c>
      <c r="AO1124" t="s">
        <v>3353</v>
      </c>
    </row>
    <row r="1125" spans="1:41">
      <c r="A1125" s="1" t="s">
        <v>1161</v>
      </c>
      <c r="B1125" t="s">
        <v>2016</v>
      </c>
      <c r="C1125" t="s">
        <v>1998</v>
      </c>
      <c r="D1125" t="s">
        <v>2050</v>
      </c>
      <c r="E1125" t="s">
        <v>2111</v>
      </c>
      <c r="F1125" t="s">
        <v>2114</v>
      </c>
      <c r="G1125" t="s">
        <v>2212</v>
      </c>
      <c r="H1125">
        <v>11104</v>
      </c>
      <c r="I1125" t="s">
        <v>2229</v>
      </c>
      <c r="J1125">
        <v>1</v>
      </c>
      <c r="K1125">
        <v>0</v>
      </c>
      <c r="L1125" t="s">
        <v>2260</v>
      </c>
      <c r="M1125" t="s">
        <v>2677</v>
      </c>
      <c r="P1125" t="s">
        <v>2938</v>
      </c>
      <c r="Q1125" t="s">
        <v>3255</v>
      </c>
      <c r="R1125" t="s">
        <v>3261</v>
      </c>
      <c r="S1125" t="s">
        <v>3285</v>
      </c>
      <c r="X1125" t="s">
        <v>3354</v>
      </c>
      <c r="Y1125" t="s">
        <v>2678</v>
      </c>
      <c r="Z1125" t="s">
        <v>3371</v>
      </c>
      <c r="AA1125" t="s">
        <v>3409</v>
      </c>
      <c r="AB1125" t="s">
        <v>3433</v>
      </c>
      <c r="AC1125">
        <f>HYPERLINK("https://lsnyc.legalserver.org/matter/dynamic-profile/view/1884834","18-1884834")</f>
        <v>0</v>
      </c>
      <c r="AD1125" t="s">
        <v>3443</v>
      </c>
      <c r="AE1125" t="s">
        <v>3472</v>
      </c>
      <c r="AF1125" t="s">
        <v>4345</v>
      </c>
      <c r="AG1125" t="s">
        <v>3371</v>
      </c>
      <c r="AH1125" t="s">
        <v>3409</v>
      </c>
      <c r="AK1125" t="s">
        <v>4911</v>
      </c>
      <c r="AL1125" t="s">
        <v>2114</v>
      </c>
      <c r="AN1125" t="s">
        <v>3433</v>
      </c>
    </row>
    <row r="1126" spans="1:41">
      <c r="A1126" s="1" t="s">
        <v>1162</v>
      </c>
      <c r="B1126" t="s">
        <v>2009</v>
      </c>
      <c r="C1126" t="s">
        <v>2001</v>
      </c>
      <c r="D1126" t="s">
        <v>2076</v>
      </c>
      <c r="E1126" t="s">
        <v>2112</v>
      </c>
      <c r="F1126" t="s">
        <v>2116</v>
      </c>
      <c r="G1126" t="s">
        <v>2213</v>
      </c>
      <c r="H1126">
        <v>10472</v>
      </c>
      <c r="I1126" t="s">
        <v>2229</v>
      </c>
      <c r="J1126">
        <v>2</v>
      </c>
      <c r="K1126">
        <v>0</v>
      </c>
      <c r="L1126" t="s">
        <v>2266</v>
      </c>
      <c r="M1126" t="s">
        <v>2677</v>
      </c>
      <c r="P1126" t="s">
        <v>2938</v>
      </c>
      <c r="Q1126" t="s">
        <v>2113</v>
      </c>
      <c r="R1126" t="s">
        <v>3259</v>
      </c>
      <c r="S1126" t="s">
        <v>3268</v>
      </c>
      <c r="X1126" t="s">
        <v>3354</v>
      </c>
      <c r="Y1126" t="s">
        <v>2677</v>
      </c>
      <c r="Z1126" t="s">
        <v>3368</v>
      </c>
      <c r="AA1126" t="s">
        <v>3406</v>
      </c>
      <c r="AB1126" t="s">
        <v>3416</v>
      </c>
      <c r="AC1126">
        <f>HYPERLINK("https://lsnyc.legalserver.org/matter/dynamic-profile/view/1884859","18-1884859")</f>
        <v>0</v>
      </c>
      <c r="AD1126" t="s">
        <v>3445</v>
      </c>
      <c r="AE1126" t="s">
        <v>3455</v>
      </c>
      <c r="AF1126" t="s">
        <v>4346</v>
      </c>
      <c r="AG1126" t="s">
        <v>3368</v>
      </c>
      <c r="AH1126" t="s">
        <v>4904</v>
      </c>
      <c r="AK1126" t="s">
        <v>4911</v>
      </c>
      <c r="AL1126" t="s">
        <v>2116</v>
      </c>
      <c r="AN1126" t="s">
        <v>3416</v>
      </c>
    </row>
    <row r="1127" spans="1:41">
      <c r="A1127" s="1" t="s">
        <v>1163</v>
      </c>
      <c r="B1127" t="s">
        <v>1998</v>
      </c>
      <c r="C1127" t="s">
        <v>2017</v>
      </c>
      <c r="D1127" t="s">
        <v>2029</v>
      </c>
      <c r="E1127" t="s">
        <v>2111</v>
      </c>
      <c r="F1127" t="s">
        <v>2116</v>
      </c>
      <c r="G1127" t="s">
        <v>2213</v>
      </c>
      <c r="H1127">
        <v>10468</v>
      </c>
      <c r="I1127" t="s">
        <v>2229</v>
      </c>
      <c r="J1127">
        <v>1</v>
      </c>
      <c r="K1127">
        <v>0</v>
      </c>
      <c r="L1127" t="s">
        <v>2422</v>
      </c>
      <c r="M1127" t="s">
        <v>2677</v>
      </c>
      <c r="P1127" t="s">
        <v>2939</v>
      </c>
      <c r="Q1127" t="s">
        <v>2113</v>
      </c>
      <c r="R1127" t="s">
        <v>3258</v>
      </c>
      <c r="S1127" t="s">
        <v>3271</v>
      </c>
      <c r="X1127" t="s">
        <v>3354</v>
      </c>
      <c r="Y1127" t="s">
        <v>2677</v>
      </c>
      <c r="Z1127" t="s">
        <v>3362</v>
      </c>
      <c r="AA1127" t="s">
        <v>3406</v>
      </c>
      <c r="AB1127" t="s">
        <v>3419</v>
      </c>
      <c r="AC1127">
        <f>HYPERLINK("https://lsnyc.legalserver.org/matter/dynamic-profile/view/1884672","18-1884672")</f>
        <v>0</v>
      </c>
      <c r="AD1127" t="s">
        <v>3445</v>
      </c>
      <c r="AE1127" t="s">
        <v>3452</v>
      </c>
      <c r="AF1127" t="s">
        <v>3975</v>
      </c>
      <c r="AG1127" t="s">
        <v>3362</v>
      </c>
      <c r="AH1127" t="s">
        <v>4904</v>
      </c>
      <c r="AK1127" t="s">
        <v>4911</v>
      </c>
      <c r="AL1127" t="s">
        <v>2116</v>
      </c>
      <c r="AN1127" t="s">
        <v>3419</v>
      </c>
    </row>
    <row r="1128" spans="1:41">
      <c r="A1128" s="1" t="s">
        <v>1164</v>
      </c>
      <c r="B1128" t="s">
        <v>2000</v>
      </c>
      <c r="C1128" t="s">
        <v>2012</v>
      </c>
      <c r="D1128" t="s">
        <v>2066</v>
      </c>
      <c r="E1128" t="s">
        <v>2112</v>
      </c>
      <c r="F1128" t="s">
        <v>2123</v>
      </c>
      <c r="G1128" t="s">
        <v>2213</v>
      </c>
      <c r="H1128">
        <v>10460</v>
      </c>
      <c r="I1128" t="s">
        <v>2229</v>
      </c>
      <c r="J1128">
        <v>1</v>
      </c>
      <c r="K1128">
        <v>0</v>
      </c>
      <c r="L1128" t="s">
        <v>2275</v>
      </c>
      <c r="M1128" t="s">
        <v>2677</v>
      </c>
      <c r="P1128" t="s">
        <v>2939</v>
      </c>
      <c r="Q1128" t="s">
        <v>2113</v>
      </c>
      <c r="R1128" t="s">
        <v>3258</v>
      </c>
      <c r="S1128" t="s">
        <v>3271</v>
      </c>
      <c r="X1128" t="s">
        <v>3354</v>
      </c>
      <c r="Y1128" t="s">
        <v>2677</v>
      </c>
      <c r="Z1128" t="s">
        <v>3362</v>
      </c>
      <c r="AA1128" t="s">
        <v>3406</v>
      </c>
      <c r="AB1128" t="s">
        <v>3419</v>
      </c>
      <c r="AC1128">
        <f>HYPERLINK("https://lsnyc.legalserver.org/matter/dynamic-profile/view/1884695","18-1884695")</f>
        <v>0</v>
      </c>
      <c r="AD1128" t="s">
        <v>3445</v>
      </c>
      <c r="AE1128" t="s">
        <v>3452</v>
      </c>
      <c r="AF1128" t="s">
        <v>4347</v>
      </c>
      <c r="AG1128" t="s">
        <v>3362</v>
      </c>
      <c r="AH1128" t="s">
        <v>4904</v>
      </c>
      <c r="AK1128" t="s">
        <v>4911</v>
      </c>
      <c r="AL1128" t="s">
        <v>2123</v>
      </c>
      <c r="AN1128" t="s">
        <v>3419</v>
      </c>
    </row>
    <row r="1129" spans="1:41">
      <c r="A1129" s="1" t="s">
        <v>1165</v>
      </c>
      <c r="B1129" t="s">
        <v>2001</v>
      </c>
      <c r="C1129" t="s">
        <v>2009</v>
      </c>
      <c r="D1129" t="s">
        <v>2048</v>
      </c>
      <c r="E1129" t="s">
        <v>2112</v>
      </c>
      <c r="F1129" t="s">
        <v>2116</v>
      </c>
      <c r="G1129" t="s">
        <v>2212</v>
      </c>
      <c r="H1129">
        <v>11102</v>
      </c>
      <c r="I1129" t="s">
        <v>2229</v>
      </c>
      <c r="J1129">
        <v>4</v>
      </c>
      <c r="K1129">
        <v>3</v>
      </c>
      <c r="L1129" t="s">
        <v>2299</v>
      </c>
      <c r="M1129" t="s">
        <v>2677</v>
      </c>
      <c r="P1129" t="s">
        <v>2940</v>
      </c>
      <c r="Q1129" t="s">
        <v>2113</v>
      </c>
      <c r="R1129" t="s">
        <v>3258</v>
      </c>
      <c r="S1129" t="s">
        <v>3262</v>
      </c>
      <c r="T1129" t="s">
        <v>3294</v>
      </c>
      <c r="V1129" t="s">
        <v>3352</v>
      </c>
      <c r="X1129" t="s">
        <v>3354</v>
      </c>
      <c r="Y1129" t="s">
        <v>2678</v>
      </c>
      <c r="Z1129" t="s">
        <v>3355</v>
      </c>
      <c r="AA1129" t="s">
        <v>3406</v>
      </c>
      <c r="AB1129" t="s">
        <v>3410</v>
      </c>
      <c r="AC1129">
        <f>HYPERLINK("https://lsnyc.legalserver.org/matter/dynamic-profile/view/1885237","18-1885237")</f>
        <v>0</v>
      </c>
      <c r="AD1129" t="s">
        <v>3443</v>
      </c>
      <c r="AE1129" t="s">
        <v>3450</v>
      </c>
      <c r="AF1129" t="s">
        <v>4348</v>
      </c>
      <c r="AG1129" t="s">
        <v>3355</v>
      </c>
      <c r="AH1129" t="s">
        <v>4904</v>
      </c>
      <c r="AL1129" t="s">
        <v>2116</v>
      </c>
      <c r="AM1129" t="s">
        <v>3294</v>
      </c>
      <c r="AN1129" t="s">
        <v>3410</v>
      </c>
      <c r="AO1129" t="s">
        <v>3352</v>
      </c>
    </row>
    <row r="1130" spans="1:41">
      <c r="A1130" s="1" t="s">
        <v>1166</v>
      </c>
      <c r="B1130" t="s">
        <v>2001</v>
      </c>
      <c r="C1130" t="s">
        <v>2001</v>
      </c>
      <c r="D1130" t="s">
        <v>2057</v>
      </c>
      <c r="E1130" t="s">
        <v>2111</v>
      </c>
      <c r="F1130" t="s">
        <v>2140</v>
      </c>
      <c r="G1130" t="s">
        <v>2211</v>
      </c>
      <c r="H1130">
        <v>10011</v>
      </c>
      <c r="I1130" t="s">
        <v>2230</v>
      </c>
      <c r="J1130">
        <v>1</v>
      </c>
      <c r="K1130">
        <v>0</v>
      </c>
      <c r="L1130" t="s">
        <v>2447</v>
      </c>
      <c r="M1130" t="s">
        <v>2677</v>
      </c>
      <c r="P1130" t="s">
        <v>2941</v>
      </c>
      <c r="Q1130" t="s">
        <v>2113</v>
      </c>
      <c r="R1130" t="s">
        <v>3259</v>
      </c>
      <c r="S1130" t="s">
        <v>3268</v>
      </c>
      <c r="X1130" t="s">
        <v>3354</v>
      </c>
      <c r="Y1130" t="s">
        <v>2677</v>
      </c>
      <c r="Z1130" t="s">
        <v>3368</v>
      </c>
      <c r="AA1130" t="s">
        <v>3406</v>
      </c>
      <c r="AB1130" t="s">
        <v>3416</v>
      </c>
      <c r="AC1130">
        <f>HYPERLINK("https://lsnyc.legalserver.org/matter/dynamic-profile/view/1884530","18-1884530")</f>
        <v>0</v>
      </c>
      <c r="AD1130" t="s">
        <v>3445</v>
      </c>
      <c r="AE1130" t="s">
        <v>3455</v>
      </c>
      <c r="AF1130" t="s">
        <v>4349</v>
      </c>
      <c r="AG1130" t="s">
        <v>3368</v>
      </c>
      <c r="AH1130" t="s">
        <v>4904</v>
      </c>
      <c r="AK1130" t="s">
        <v>4911</v>
      </c>
      <c r="AL1130" t="s">
        <v>2140</v>
      </c>
      <c r="AN1130" t="s">
        <v>3416</v>
      </c>
    </row>
    <row r="1131" spans="1:41">
      <c r="A1131" s="1" t="s">
        <v>1167</v>
      </c>
      <c r="B1131" t="s">
        <v>2001</v>
      </c>
      <c r="C1131" t="s">
        <v>1998</v>
      </c>
      <c r="D1131" t="s">
        <v>2045</v>
      </c>
      <c r="E1131" t="s">
        <v>2111</v>
      </c>
      <c r="F1131" t="s">
        <v>2175</v>
      </c>
      <c r="G1131" t="s">
        <v>2216</v>
      </c>
      <c r="H1131">
        <v>10314</v>
      </c>
      <c r="I1131" t="s">
        <v>2230</v>
      </c>
      <c r="J1131">
        <v>4</v>
      </c>
      <c r="K1131">
        <v>2</v>
      </c>
      <c r="L1131" t="s">
        <v>2286</v>
      </c>
      <c r="M1131" t="s">
        <v>2677</v>
      </c>
      <c r="P1131" t="s">
        <v>2941</v>
      </c>
      <c r="Q1131" t="s">
        <v>2113</v>
      </c>
      <c r="R1131" t="s">
        <v>3258</v>
      </c>
      <c r="S1131" t="s">
        <v>3269</v>
      </c>
      <c r="T1131" t="s">
        <v>3294</v>
      </c>
      <c r="U1131" t="s">
        <v>2896</v>
      </c>
      <c r="X1131" t="s">
        <v>3354</v>
      </c>
      <c r="Y1131" t="s">
        <v>2678</v>
      </c>
      <c r="Z1131" t="s">
        <v>3361</v>
      </c>
      <c r="AA1131" t="s">
        <v>3406</v>
      </c>
      <c r="AB1131" t="s">
        <v>3417</v>
      </c>
      <c r="AC1131">
        <f>HYPERLINK("https://lsnyc.legalserver.org/matter/dynamic-profile/view/1884647","18-1884647")</f>
        <v>0</v>
      </c>
      <c r="AD1131" t="s">
        <v>3447</v>
      </c>
      <c r="AE1131" t="s">
        <v>3478</v>
      </c>
      <c r="AF1131" t="s">
        <v>4350</v>
      </c>
      <c r="AG1131" t="s">
        <v>3361</v>
      </c>
      <c r="AH1131" t="s">
        <v>4904</v>
      </c>
      <c r="AK1131" t="s">
        <v>4911</v>
      </c>
      <c r="AL1131" t="s">
        <v>2175</v>
      </c>
      <c r="AM1131" t="s">
        <v>3294</v>
      </c>
      <c r="AN1131" t="s">
        <v>3417</v>
      </c>
    </row>
    <row r="1132" spans="1:41">
      <c r="A1132" s="1" t="s">
        <v>1168</v>
      </c>
      <c r="B1132" t="s">
        <v>2000</v>
      </c>
      <c r="C1132" t="s">
        <v>2003</v>
      </c>
      <c r="D1132" t="s">
        <v>2083</v>
      </c>
      <c r="E1132" t="s">
        <v>2111</v>
      </c>
      <c r="F1132" t="s">
        <v>2192</v>
      </c>
      <c r="G1132" t="s">
        <v>2211</v>
      </c>
      <c r="H1132">
        <v>10032</v>
      </c>
      <c r="I1132" t="s">
        <v>2229</v>
      </c>
      <c r="J1132">
        <v>2</v>
      </c>
      <c r="K1132">
        <v>1</v>
      </c>
      <c r="L1132" t="s">
        <v>2316</v>
      </c>
      <c r="M1132" t="s">
        <v>2677</v>
      </c>
      <c r="P1132" t="s">
        <v>2758</v>
      </c>
      <c r="Q1132" t="s">
        <v>2113</v>
      </c>
      <c r="R1132" t="s">
        <v>3258</v>
      </c>
      <c r="S1132" t="s">
        <v>3273</v>
      </c>
      <c r="T1132" t="s">
        <v>3294</v>
      </c>
      <c r="U1132" t="s">
        <v>2758</v>
      </c>
      <c r="X1132" t="s">
        <v>3354</v>
      </c>
      <c r="Y1132" t="s">
        <v>2678</v>
      </c>
      <c r="Z1132" t="s">
        <v>3365</v>
      </c>
      <c r="AA1132" t="s">
        <v>3406</v>
      </c>
      <c r="AB1132" t="s">
        <v>3421</v>
      </c>
      <c r="AC1132">
        <f>HYPERLINK("https://lsnyc.legalserver.org/matter/dynamic-profile/view/1884390","18-1884390")</f>
        <v>0</v>
      </c>
      <c r="AD1132" t="s">
        <v>3442</v>
      </c>
      <c r="AE1132" t="s">
        <v>3448</v>
      </c>
      <c r="AF1132" t="s">
        <v>4351</v>
      </c>
      <c r="AG1132" t="s">
        <v>3365</v>
      </c>
      <c r="AH1132" t="s">
        <v>4904</v>
      </c>
      <c r="AL1132" t="s">
        <v>2192</v>
      </c>
      <c r="AM1132" t="s">
        <v>3294</v>
      </c>
      <c r="AN1132" t="s">
        <v>3421</v>
      </c>
    </row>
    <row r="1133" spans="1:41">
      <c r="A1133" s="1" t="s">
        <v>1169</v>
      </c>
      <c r="B1133" t="s">
        <v>2000</v>
      </c>
      <c r="C1133" t="s">
        <v>2004</v>
      </c>
      <c r="D1133" t="s">
        <v>2094</v>
      </c>
      <c r="E1133" t="s">
        <v>2112</v>
      </c>
      <c r="F1133" t="s">
        <v>2120</v>
      </c>
      <c r="G1133" t="s">
        <v>2212</v>
      </c>
      <c r="H1133">
        <v>11429</v>
      </c>
      <c r="I1133" t="s">
        <v>2230</v>
      </c>
      <c r="J1133">
        <v>3</v>
      </c>
      <c r="K1133">
        <v>1</v>
      </c>
      <c r="L1133" t="s">
        <v>2420</v>
      </c>
      <c r="M1133" t="s">
        <v>2678</v>
      </c>
      <c r="P1133" t="s">
        <v>2763</v>
      </c>
      <c r="Q1133" t="s">
        <v>3255</v>
      </c>
      <c r="R1133" t="s">
        <v>3258</v>
      </c>
      <c r="S1133" t="s">
        <v>3269</v>
      </c>
      <c r="T1133" t="s">
        <v>3294</v>
      </c>
      <c r="U1133" t="s">
        <v>2739</v>
      </c>
      <c r="X1133" t="s">
        <v>3354</v>
      </c>
      <c r="Y1133" t="s">
        <v>2678</v>
      </c>
      <c r="Z1133" t="s">
        <v>3361</v>
      </c>
      <c r="AA1133" t="s">
        <v>3406</v>
      </c>
      <c r="AB1133" t="s">
        <v>3417</v>
      </c>
      <c r="AC1133">
        <f>HYPERLINK("https://lsnyc.legalserver.org/matter/dynamic-profile/view/1884452","18-1884452")</f>
        <v>0</v>
      </c>
      <c r="AD1133" t="s">
        <v>3443</v>
      </c>
      <c r="AE1133" t="s">
        <v>3449</v>
      </c>
      <c r="AF1133" t="s">
        <v>4352</v>
      </c>
      <c r="AG1133" t="s">
        <v>3361</v>
      </c>
      <c r="AH1133" t="s">
        <v>4904</v>
      </c>
      <c r="AJ1133" t="s">
        <v>4910</v>
      </c>
      <c r="AL1133" t="s">
        <v>2120</v>
      </c>
      <c r="AM1133" t="s">
        <v>3294</v>
      </c>
      <c r="AN1133" t="s">
        <v>3417</v>
      </c>
    </row>
    <row r="1134" spans="1:41">
      <c r="A1134" s="1" t="s">
        <v>1170</v>
      </c>
      <c r="B1134" t="s">
        <v>2000</v>
      </c>
      <c r="C1134" t="s">
        <v>2004</v>
      </c>
      <c r="D1134" t="s">
        <v>2094</v>
      </c>
      <c r="E1134" t="s">
        <v>2112</v>
      </c>
      <c r="F1134" t="s">
        <v>2120</v>
      </c>
      <c r="G1134" t="s">
        <v>2212</v>
      </c>
      <c r="H1134">
        <v>11429</v>
      </c>
      <c r="I1134" t="s">
        <v>2230</v>
      </c>
      <c r="J1134">
        <v>3</v>
      </c>
      <c r="K1134">
        <v>1</v>
      </c>
      <c r="L1134" t="s">
        <v>2420</v>
      </c>
      <c r="M1134" t="s">
        <v>2678</v>
      </c>
      <c r="P1134" t="s">
        <v>2942</v>
      </c>
      <c r="Q1134" t="s">
        <v>3255</v>
      </c>
      <c r="R1134" t="s">
        <v>3258</v>
      </c>
      <c r="S1134" t="s">
        <v>3262</v>
      </c>
      <c r="T1134" t="s">
        <v>3294</v>
      </c>
      <c r="U1134" t="s">
        <v>2739</v>
      </c>
      <c r="X1134" t="s">
        <v>3354</v>
      </c>
      <c r="Y1134" t="s">
        <v>2678</v>
      </c>
      <c r="Z1134" t="s">
        <v>3355</v>
      </c>
      <c r="AA1134" t="s">
        <v>3406</v>
      </c>
      <c r="AB1134" t="s">
        <v>3410</v>
      </c>
      <c r="AC1134">
        <f>HYPERLINK("https://lsnyc.legalserver.org/matter/dynamic-profile/view/1884475","18-1884475")</f>
        <v>0</v>
      </c>
      <c r="AD1134" t="s">
        <v>3443</v>
      </c>
      <c r="AE1134" t="s">
        <v>3449</v>
      </c>
      <c r="AF1134" t="s">
        <v>4352</v>
      </c>
      <c r="AG1134" t="s">
        <v>3355</v>
      </c>
      <c r="AH1134" t="s">
        <v>4904</v>
      </c>
      <c r="AJ1134" t="s">
        <v>4910</v>
      </c>
      <c r="AL1134" t="s">
        <v>2120</v>
      </c>
      <c r="AM1134" t="s">
        <v>3294</v>
      </c>
      <c r="AN1134" t="s">
        <v>3410</v>
      </c>
    </row>
    <row r="1135" spans="1:41">
      <c r="A1135" s="1" t="s">
        <v>1171</v>
      </c>
      <c r="B1135" t="s">
        <v>1998</v>
      </c>
      <c r="C1135" t="s">
        <v>2005</v>
      </c>
      <c r="D1135" t="s">
        <v>2096</v>
      </c>
      <c r="E1135" t="s">
        <v>2112</v>
      </c>
      <c r="F1135" t="s">
        <v>2117</v>
      </c>
      <c r="G1135" t="s">
        <v>2212</v>
      </c>
      <c r="H1135">
        <v>11691</v>
      </c>
      <c r="I1135" t="s">
        <v>2229</v>
      </c>
      <c r="J1135">
        <v>2</v>
      </c>
      <c r="K1135">
        <v>1</v>
      </c>
      <c r="L1135" t="s">
        <v>2260</v>
      </c>
      <c r="M1135" t="s">
        <v>2677</v>
      </c>
      <c r="P1135" t="s">
        <v>2752</v>
      </c>
      <c r="Q1135" t="s">
        <v>2113</v>
      </c>
      <c r="R1135" t="s">
        <v>3259</v>
      </c>
      <c r="S1135" t="s">
        <v>3267</v>
      </c>
      <c r="X1135" t="s">
        <v>3354</v>
      </c>
      <c r="Y1135" t="s">
        <v>2678</v>
      </c>
      <c r="Z1135" t="s">
        <v>3380</v>
      </c>
      <c r="AA1135" t="s">
        <v>3406</v>
      </c>
      <c r="AB1135" t="s">
        <v>3415</v>
      </c>
      <c r="AC1135">
        <f>HYPERLINK("https://lsnyc.legalserver.org/matter/dynamic-profile/view/1884302","18-1884302")</f>
        <v>0</v>
      </c>
      <c r="AD1135" t="s">
        <v>3443</v>
      </c>
      <c r="AE1135" t="s">
        <v>3471</v>
      </c>
      <c r="AF1135" t="s">
        <v>4353</v>
      </c>
      <c r="AG1135" t="s">
        <v>3380</v>
      </c>
      <c r="AH1135" t="s">
        <v>4906</v>
      </c>
      <c r="AL1135" t="s">
        <v>2117</v>
      </c>
      <c r="AN1135" t="s">
        <v>3415</v>
      </c>
    </row>
    <row r="1136" spans="1:41">
      <c r="A1136" s="1" t="s">
        <v>1172</v>
      </c>
      <c r="B1136" t="s">
        <v>1998</v>
      </c>
      <c r="C1136" t="s">
        <v>2016</v>
      </c>
      <c r="D1136" t="s">
        <v>2067</v>
      </c>
      <c r="E1136" t="s">
        <v>2112</v>
      </c>
      <c r="F1136" t="s">
        <v>2117</v>
      </c>
      <c r="G1136" t="s">
        <v>2212</v>
      </c>
      <c r="H1136">
        <v>11691</v>
      </c>
      <c r="I1136" t="s">
        <v>2229</v>
      </c>
      <c r="J1136">
        <v>2</v>
      </c>
      <c r="K1136">
        <v>1</v>
      </c>
      <c r="L1136" t="s">
        <v>2260</v>
      </c>
      <c r="M1136" t="s">
        <v>2677</v>
      </c>
      <c r="P1136" t="s">
        <v>2747</v>
      </c>
      <c r="Q1136" t="s">
        <v>2113</v>
      </c>
      <c r="R1136" t="s">
        <v>3259</v>
      </c>
      <c r="S1136" t="s">
        <v>3267</v>
      </c>
      <c r="X1136" t="s">
        <v>3354</v>
      </c>
      <c r="Y1136" t="s">
        <v>2678</v>
      </c>
      <c r="Z1136" t="s">
        <v>3380</v>
      </c>
      <c r="AA1136" t="s">
        <v>3406</v>
      </c>
      <c r="AB1136" t="s">
        <v>3415</v>
      </c>
      <c r="AC1136">
        <f>HYPERLINK("https://lsnyc.legalserver.org/matter/dynamic-profile/view/1884305","18-1884305")</f>
        <v>0</v>
      </c>
      <c r="AD1136" t="s">
        <v>3443</v>
      </c>
      <c r="AE1136" t="s">
        <v>3471</v>
      </c>
      <c r="AF1136" t="s">
        <v>4269</v>
      </c>
      <c r="AG1136" t="s">
        <v>3380</v>
      </c>
      <c r="AH1136" t="s">
        <v>4906</v>
      </c>
      <c r="AL1136" t="s">
        <v>2117</v>
      </c>
      <c r="AN1136" t="s">
        <v>3415</v>
      </c>
    </row>
    <row r="1137" spans="1:41">
      <c r="A1137" s="1" t="s">
        <v>1173</v>
      </c>
      <c r="B1137" t="s">
        <v>2000</v>
      </c>
      <c r="C1137" t="s">
        <v>2018</v>
      </c>
      <c r="D1137" t="s">
        <v>2051</v>
      </c>
      <c r="E1137" t="s">
        <v>2111</v>
      </c>
      <c r="F1137" t="s">
        <v>2116</v>
      </c>
      <c r="G1137" t="s">
        <v>2211</v>
      </c>
      <c r="H1137">
        <v>10030</v>
      </c>
      <c r="I1137" t="s">
        <v>2229</v>
      </c>
      <c r="J1137">
        <v>2</v>
      </c>
      <c r="K1137">
        <v>1</v>
      </c>
      <c r="L1137" t="s">
        <v>2505</v>
      </c>
      <c r="M1137" t="s">
        <v>2677</v>
      </c>
      <c r="P1137" t="s">
        <v>2943</v>
      </c>
      <c r="Q1137" t="s">
        <v>2113</v>
      </c>
      <c r="R1137" t="s">
        <v>3261</v>
      </c>
      <c r="S1137" t="s">
        <v>3283</v>
      </c>
      <c r="X1137" t="s">
        <v>3354</v>
      </c>
      <c r="Y1137" t="s">
        <v>2678</v>
      </c>
      <c r="Z1137" t="s">
        <v>3359</v>
      </c>
      <c r="AA1137" t="s">
        <v>3408</v>
      </c>
      <c r="AB1137" t="s">
        <v>3431</v>
      </c>
      <c r="AC1137">
        <f>HYPERLINK("https://lsnyc.legalserver.org/matter/dynamic-profile/view/1884315","18-1884315")</f>
        <v>0</v>
      </c>
      <c r="AD1137" t="s">
        <v>3442</v>
      </c>
      <c r="AE1137" t="s">
        <v>3476</v>
      </c>
      <c r="AF1137" t="s">
        <v>4354</v>
      </c>
      <c r="AG1137" t="s">
        <v>3359</v>
      </c>
      <c r="AH1137" t="s">
        <v>3408</v>
      </c>
      <c r="AK1137" t="s">
        <v>4911</v>
      </c>
      <c r="AL1137" t="s">
        <v>2116</v>
      </c>
      <c r="AN1137" t="s">
        <v>3431</v>
      </c>
    </row>
    <row r="1138" spans="1:41">
      <c r="A1138" s="1" t="s">
        <v>1174</v>
      </c>
      <c r="B1138" t="s">
        <v>2001</v>
      </c>
      <c r="C1138" t="s">
        <v>2009</v>
      </c>
      <c r="D1138" t="s">
        <v>2048</v>
      </c>
      <c r="E1138" t="s">
        <v>2112</v>
      </c>
      <c r="F1138" t="s">
        <v>2116</v>
      </c>
      <c r="G1138" t="s">
        <v>2212</v>
      </c>
      <c r="H1138">
        <v>11102</v>
      </c>
      <c r="I1138" t="s">
        <v>2229</v>
      </c>
      <c r="J1138">
        <v>4</v>
      </c>
      <c r="K1138">
        <v>3</v>
      </c>
      <c r="L1138" t="s">
        <v>2260</v>
      </c>
      <c r="M1138" t="s">
        <v>2677</v>
      </c>
      <c r="P1138" t="s">
        <v>2781</v>
      </c>
      <c r="Q1138" t="s">
        <v>2113</v>
      </c>
      <c r="R1138" t="s">
        <v>3259</v>
      </c>
      <c r="S1138" t="s">
        <v>3268</v>
      </c>
      <c r="V1138" t="s">
        <v>3352</v>
      </c>
      <c r="X1138" t="s">
        <v>3354</v>
      </c>
      <c r="Y1138" t="s">
        <v>2678</v>
      </c>
      <c r="Z1138" t="s">
        <v>3368</v>
      </c>
      <c r="AA1138" t="s">
        <v>3406</v>
      </c>
      <c r="AB1138" t="s">
        <v>3416</v>
      </c>
      <c r="AC1138">
        <f>HYPERLINK("https://lsnyc.legalserver.org/matter/dynamic-profile/view/1884353","18-1884353")</f>
        <v>0</v>
      </c>
      <c r="AD1138" t="s">
        <v>3443</v>
      </c>
      <c r="AE1138" t="s">
        <v>3450</v>
      </c>
      <c r="AF1138" t="s">
        <v>4348</v>
      </c>
      <c r="AG1138" t="s">
        <v>3368</v>
      </c>
      <c r="AH1138" t="s">
        <v>4904</v>
      </c>
      <c r="AL1138" t="s">
        <v>2116</v>
      </c>
      <c r="AN1138" t="s">
        <v>3416</v>
      </c>
      <c r="AO1138" t="s">
        <v>3352</v>
      </c>
    </row>
    <row r="1139" spans="1:41">
      <c r="A1139" s="1" t="s">
        <v>1175</v>
      </c>
      <c r="B1139" t="s">
        <v>2001</v>
      </c>
      <c r="C1139" t="s">
        <v>2003</v>
      </c>
      <c r="D1139" t="s">
        <v>2099</v>
      </c>
      <c r="E1139" t="s">
        <v>2111</v>
      </c>
      <c r="F1139" t="s">
        <v>2121</v>
      </c>
      <c r="G1139" t="s">
        <v>2212</v>
      </c>
      <c r="H1139">
        <v>11356</v>
      </c>
      <c r="I1139" t="s">
        <v>2229</v>
      </c>
      <c r="J1139">
        <v>2</v>
      </c>
      <c r="K1139">
        <v>0</v>
      </c>
      <c r="L1139" t="s">
        <v>2506</v>
      </c>
      <c r="M1139" t="s">
        <v>2677</v>
      </c>
      <c r="P1139" t="s">
        <v>2944</v>
      </c>
      <c r="Q1139" t="s">
        <v>2113</v>
      </c>
      <c r="R1139" t="s">
        <v>3258</v>
      </c>
      <c r="S1139" t="s">
        <v>3273</v>
      </c>
      <c r="T1139" t="s">
        <v>3294</v>
      </c>
      <c r="U1139" t="s">
        <v>2820</v>
      </c>
      <c r="X1139" t="s">
        <v>3354</v>
      </c>
      <c r="Y1139" t="s">
        <v>2678</v>
      </c>
      <c r="Z1139" t="s">
        <v>3370</v>
      </c>
      <c r="AA1139" t="s">
        <v>3406</v>
      </c>
      <c r="AB1139" t="s">
        <v>3421</v>
      </c>
      <c r="AC1139">
        <f>HYPERLINK("https://lsnyc.legalserver.org/matter/dynamic-profile/view/1884149","18-1884149")</f>
        <v>0</v>
      </c>
      <c r="AD1139" t="s">
        <v>3443</v>
      </c>
      <c r="AE1139" t="s">
        <v>3477</v>
      </c>
      <c r="AF1139" t="s">
        <v>4355</v>
      </c>
      <c r="AG1139" t="s">
        <v>3370</v>
      </c>
      <c r="AH1139" t="s">
        <v>4904</v>
      </c>
      <c r="AK1139" t="s">
        <v>4911</v>
      </c>
      <c r="AL1139" t="s">
        <v>2121</v>
      </c>
      <c r="AM1139" t="s">
        <v>3294</v>
      </c>
      <c r="AN1139" t="s">
        <v>3421</v>
      </c>
    </row>
    <row r="1140" spans="1:41">
      <c r="A1140" s="1" t="s">
        <v>1176</v>
      </c>
      <c r="B1140" t="s">
        <v>1998</v>
      </c>
      <c r="C1140" t="s">
        <v>1998</v>
      </c>
      <c r="D1140" t="s">
        <v>2078</v>
      </c>
      <c r="E1140" t="s">
        <v>2112</v>
      </c>
      <c r="F1140" t="s">
        <v>2135</v>
      </c>
      <c r="G1140" t="s">
        <v>2212</v>
      </c>
      <c r="H1140">
        <v>11368</v>
      </c>
      <c r="I1140" t="s">
        <v>2229</v>
      </c>
      <c r="J1140">
        <v>2</v>
      </c>
      <c r="K1140">
        <v>1</v>
      </c>
      <c r="L1140" t="s">
        <v>2331</v>
      </c>
      <c r="M1140" t="s">
        <v>2677</v>
      </c>
      <c r="P1140" t="s">
        <v>2944</v>
      </c>
      <c r="Q1140" t="s">
        <v>3255</v>
      </c>
      <c r="R1140" t="s">
        <v>3258</v>
      </c>
      <c r="S1140" t="s">
        <v>3262</v>
      </c>
      <c r="T1140" t="s">
        <v>3294</v>
      </c>
      <c r="U1140" t="s">
        <v>2851</v>
      </c>
      <c r="X1140" t="s">
        <v>3354</v>
      </c>
      <c r="Y1140" t="s">
        <v>2678</v>
      </c>
      <c r="Z1140" t="s">
        <v>3355</v>
      </c>
      <c r="AA1140" t="s">
        <v>3406</v>
      </c>
      <c r="AB1140" t="s">
        <v>3410</v>
      </c>
      <c r="AC1140">
        <f>HYPERLINK("https://lsnyc.legalserver.org/matter/dynamic-profile/view/1884160","18-1884160")</f>
        <v>0</v>
      </c>
      <c r="AD1140" t="s">
        <v>3443</v>
      </c>
      <c r="AE1140" t="s">
        <v>3449</v>
      </c>
      <c r="AF1140" t="s">
        <v>4356</v>
      </c>
      <c r="AG1140" t="s">
        <v>3355</v>
      </c>
      <c r="AH1140" t="s">
        <v>4904</v>
      </c>
      <c r="AK1140" t="s">
        <v>4911</v>
      </c>
      <c r="AL1140" t="s">
        <v>2135</v>
      </c>
      <c r="AM1140" t="s">
        <v>3294</v>
      </c>
      <c r="AN1140" t="s">
        <v>3410</v>
      </c>
    </row>
    <row r="1141" spans="1:41">
      <c r="A1141" s="1" t="s">
        <v>1177</v>
      </c>
      <c r="B1141" t="s">
        <v>1998</v>
      </c>
      <c r="C1141" t="s">
        <v>1998</v>
      </c>
      <c r="D1141" t="s">
        <v>2078</v>
      </c>
      <c r="E1141" t="s">
        <v>2112</v>
      </c>
      <c r="F1141" t="s">
        <v>2135</v>
      </c>
      <c r="G1141" t="s">
        <v>2212</v>
      </c>
      <c r="H1141">
        <v>11368</v>
      </c>
      <c r="I1141" t="s">
        <v>2229</v>
      </c>
      <c r="J1141">
        <v>2</v>
      </c>
      <c r="K1141">
        <v>1</v>
      </c>
      <c r="L1141" t="s">
        <v>2331</v>
      </c>
      <c r="M1141" t="s">
        <v>2677</v>
      </c>
      <c r="P1141" t="s">
        <v>2944</v>
      </c>
      <c r="Q1141" t="s">
        <v>3255</v>
      </c>
      <c r="R1141" t="s">
        <v>3259</v>
      </c>
      <c r="S1141" t="s">
        <v>3276</v>
      </c>
      <c r="T1141" t="s">
        <v>3294</v>
      </c>
      <c r="U1141" t="s">
        <v>2851</v>
      </c>
      <c r="X1141" t="s">
        <v>3354</v>
      </c>
      <c r="Y1141" t="s">
        <v>2678</v>
      </c>
      <c r="Z1141" t="s">
        <v>3373</v>
      </c>
      <c r="AA1141" t="s">
        <v>3406</v>
      </c>
      <c r="AB1141" t="s">
        <v>3424</v>
      </c>
      <c r="AC1141">
        <f>HYPERLINK("https://lsnyc.legalserver.org/matter/dynamic-profile/view/1884162","18-1884162")</f>
        <v>0</v>
      </c>
      <c r="AD1141" t="s">
        <v>3443</v>
      </c>
      <c r="AE1141" t="s">
        <v>3449</v>
      </c>
      <c r="AF1141" t="s">
        <v>4356</v>
      </c>
      <c r="AG1141" t="s">
        <v>3373</v>
      </c>
      <c r="AH1141" t="s">
        <v>4904</v>
      </c>
      <c r="AK1141" t="s">
        <v>4911</v>
      </c>
      <c r="AL1141" t="s">
        <v>2135</v>
      </c>
      <c r="AM1141" t="s">
        <v>3294</v>
      </c>
      <c r="AN1141" t="s">
        <v>3424</v>
      </c>
    </row>
    <row r="1142" spans="1:41">
      <c r="A1142" s="1" t="s">
        <v>1178</v>
      </c>
      <c r="B1142" t="s">
        <v>2011</v>
      </c>
      <c r="C1142" t="s">
        <v>1998</v>
      </c>
      <c r="D1142" t="s">
        <v>2029</v>
      </c>
      <c r="E1142" t="s">
        <v>2111</v>
      </c>
      <c r="F1142" t="s">
        <v>2123</v>
      </c>
      <c r="G1142" t="s">
        <v>2213</v>
      </c>
      <c r="H1142">
        <v>10459</v>
      </c>
      <c r="I1142" t="s">
        <v>2229</v>
      </c>
      <c r="J1142">
        <v>4</v>
      </c>
      <c r="K1142">
        <v>3</v>
      </c>
      <c r="L1142" t="s">
        <v>2507</v>
      </c>
      <c r="M1142" t="s">
        <v>2677</v>
      </c>
      <c r="P1142" t="s">
        <v>2944</v>
      </c>
      <c r="Q1142" t="s">
        <v>2113</v>
      </c>
      <c r="R1142" t="s">
        <v>3259</v>
      </c>
      <c r="S1142" t="s">
        <v>3270</v>
      </c>
      <c r="T1142" t="s">
        <v>3294</v>
      </c>
      <c r="U1142" t="s">
        <v>2705</v>
      </c>
      <c r="V1142" t="s">
        <v>3353</v>
      </c>
      <c r="X1142" t="s">
        <v>3354</v>
      </c>
      <c r="Y1142" t="s">
        <v>2677</v>
      </c>
      <c r="Z1142" t="s">
        <v>3362</v>
      </c>
      <c r="AA1142" t="s">
        <v>3406</v>
      </c>
      <c r="AB1142" t="s">
        <v>3418</v>
      </c>
      <c r="AC1142">
        <f>HYPERLINK("https://lsnyc.legalserver.org/matter/dynamic-profile/view/1884177","18-1884177")</f>
        <v>0</v>
      </c>
      <c r="AD1142" t="s">
        <v>3445</v>
      </c>
      <c r="AE1142" t="s">
        <v>3452</v>
      </c>
      <c r="AF1142" t="s">
        <v>3524</v>
      </c>
      <c r="AG1142" t="s">
        <v>3362</v>
      </c>
      <c r="AH1142" t="s">
        <v>4904</v>
      </c>
      <c r="AK1142" t="s">
        <v>4911</v>
      </c>
      <c r="AL1142" t="s">
        <v>2123</v>
      </c>
      <c r="AM1142" t="s">
        <v>3294</v>
      </c>
      <c r="AN1142" t="s">
        <v>3418</v>
      </c>
      <c r="AO1142" t="s">
        <v>3353</v>
      </c>
    </row>
    <row r="1143" spans="1:41">
      <c r="A1143" s="1" t="s">
        <v>1179</v>
      </c>
      <c r="B1143" t="s">
        <v>2000</v>
      </c>
      <c r="C1143" t="s">
        <v>1998</v>
      </c>
      <c r="D1143" t="s">
        <v>2045</v>
      </c>
      <c r="E1143" t="s">
        <v>2112</v>
      </c>
      <c r="F1143" t="s">
        <v>2138</v>
      </c>
      <c r="G1143" t="s">
        <v>2212</v>
      </c>
      <c r="H1143">
        <v>11415</v>
      </c>
      <c r="J1143">
        <v>2</v>
      </c>
      <c r="K1143">
        <v>0</v>
      </c>
      <c r="L1143" t="s">
        <v>2286</v>
      </c>
      <c r="M1143" t="s">
        <v>2677</v>
      </c>
      <c r="P1143" t="s">
        <v>2944</v>
      </c>
      <c r="Q1143" t="s">
        <v>2113</v>
      </c>
      <c r="R1143" t="s">
        <v>3258</v>
      </c>
      <c r="S1143" t="s">
        <v>3269</v>
      </c>
      <c r="X1143" t="s">
        <v>3354</v>
      </c>
      <c r="Y1143" t="s">
        <v>2677</v>
      </c>
      <c r="Z1143" t="s">
        <v>3361</v>
      </c>
      <c r="AA1143" t="s">
        <v>3406</v>
      </c>
      <c r="AB1143" t="s">
        <v>3417</v>
      </c>
      <c r="AC1143">
        <f>HYPERLINK("https://lsnyc.legalserver.org/matter/dynamic-profile/view/1884201","18-1884201")</f>
        <v>0</v>
      </c>
      <c r="AD1143" t="s">
        <v>3445</v>
      </c>
      <c r="AE1143" t="s">
        <v>3455</v>
      </c>
      <c r="AF1143" t="s">
        <v>4357</v>
      </c>
      <c r="AG1143" t="s">
        <v>3361</v>
      </c>
      <c r="AH1143" t="s">
        <v>4904</v>
      </c>
      <c r="AK1143" t="s">
        <v>4911</v>
      </c>
      <c r="AL1143" t="s">
        <v>2138</v>
      </c>
      <c r="AN1143" t="s">
        <v>3417</v>
      </c>
    </row>
    <row r="1144" spans="1:41">
      <c r="A1144" s="1" t="s">
        <v>1180</v>
      </c>
      <c r="B1144" t="s">
        <v>1998</v>
      </c>
      <c r="C1144" t="s">
        <v>1998</v>
      </c>
      <c r="D1144" t="s">
        <v>2081</v>
      </c>
      <c r="E1144" t="s">
        <v>2112</v>
      </c>
      <c r="F1144" t="s">
        <v>2135</v>
      </c>
      <c r="G1144" t="s">
        <v>2213</v>
      </c>
      <c r="H1144">
        <v>10452</v>
      </c>
      <c r="I1144" t="s">
        <v>2229</v>
      </c>
      <c r="J1144">
        <v>3</v>
      </c>
      <c r="K1144">
        <v>2</v>
      </c>
      <c r="L1144" t="s">
        <v>2273</v>
      </c>
      <c r="M1144" t="s">
        <v>2677</v>
      </c>
      <c r="P1144" t="s">
        <v>2945</v>
      </c>
      <c r="Q1144" t="s">
        <v>2113</v>
      </c>
      <c r="R1144" t="s">
        <v>3259</v>
      </c>
      <c r="S1144" t="s">
        <v>3276</v>
      </c>
      <c r="X1144" t="s">
        <v>3354</v>
      </c>
      <c r="Y1144" t="s">
        <v>2677</v>
      </c>
      <c r="Z1144" t="s">
        <v>3373</v>
      </c>
      <c r="AA1144" t="s">
        <v>3406</v>
      </c>
      <c r="AB1144" t="s">
        <v>3424</v>
      </c>
      <c r="AC1144">
        <f>HYPERLINK("https://lsnyc.legalserver.org/matter/dynamic-profile/view/1883932","18-1883932")</f>
        <v>0</v>
      </c>
      <c r="AD1144" t="s">
        <v>3445</v>
      </c>
      <c r="AE1144" t="s">
        <v>3455</v>
      </c>
      <c r="AF1144" t="s">
        <v>4358</v>
      </c>
      <c r="AG1144" t="s">
        <v>3373</v>
      </c>
      <c r="AH1144" t="s">
        <v>4904</v>
      </c>
      <c r="AK1144" t="s">
        <v>4911</v>
      </c>
      <c r="AL1144" t="s">
        <v>2135</v>
      </c>
      <c r="AN1144" t="s">
        <v>3424</v>
      </c>
    </row>
    <row r="1145" spans="1:41">
      <c r="A1145" s="1" t="s">
        <v>1181</v>
      </c>
      <c r="B1145" t="s">
        <v>2012</v>
      </c>
      <c r="C1145" t="s">
        <v>1998</v>
      </c>
      <c r="D1145" t="s">
        <v>2052</v>
      </c>
      <c r="E1145" t="s">
        <v>2111</v>
      </c>
      <c r="F1145" t="s">
        <v>2135</v>
      </c>
      <c r="G1145" t="s">
        <v>2213</v>
      </c>
      <c r="H1145">
        <v>10452</v>
      </c>
      <c r="J1145">
        <v>3</v>
      </c>
      <c r="K1145">
        <v>2</v>
      </c>
      <c r="L1145" t="s">
        <v>2273</v>
      </c>
      <c r="M1145" t="s">
        <v>2677</v>
      </c>
      <c r="P1145" t="s">
        <v>2945</v>
      </c>
      <c r="Q1145" t="s">
        <v>2113</v>
      </c>
      <c r="R1145" t="s">
        <v>3259</v>
      </c>
      <c r="S1145" t="s">
        <v>3264</v>
      </c>
      <c r="X1145" t="s">
        <v>3354</v>
      </c>
      <c r="Y1145" t="s">
        <v>2677</v>
      </c>
      <c r="Z1145" t="s">
        <v>3397</v>
      </c>
      <c r="AA1145" t="s">
        <v>3406</v>
      </c>
      <c r="AB1145" t="s">
        <v>3412</v>
      </c>
      <c r="AC1145">
        <f>HYPERLINK("https://lsnyc.legalserver.org/matter/dynamic-profile/view/1883937","18-1883937")</f>
        <v>0</v>
      </c>
      <c r="AD1145" t="s">
        <v>3445</v>
      </c>
      <c r="AE1145" t="s">
        <v>3455</v>
      </c>
      <c r="AF1145" t="s">
        <v>4359</v>
      </c>
      <c r="AG1145" t="s">
        <v>3397</v>
      </c>
      <c r="AH1145" t="s">
        <v>4904</v>
      </c>
      <c r="AK1145" t="s">
        <v>4911</v>
      </c>
      <c r="AL1145" t="s">
        <v>2135</v>
      </c>
      <c r="AN1145" t="s">
        <v>3412</v>
      </c>
    </row>
    <row r="1146" spans="1:41">
      <c r="A1146" s="1" t="s">
        <v>1182</v>
      </c>
      <c r="B1146" t="s">
        <v>2012</v>
      </c>
      <c r="C1146" t="s">
        <v>1998</v>
      </c>
      <c r="D1146" t="s">
        <v>2052</v>
      </c>
      <c r="E1146" t="s">
        <v>2111</v>
      </c>
      <c r="F1146" t="s">
        <v>2135</v>
      </c>
      <c r="G1146" t="s">
        <v>2213</v>
      </c>
      <c r="H1146">
        <v>10452</v>
      </c>
      <c r="J1146">
        <v>3</v>
      </c>
      <c r="K1146">
        <v>2</v>
      </c>
      <c r="L1146" t="s">
        <v>2273</v>
      </c>
      <c r="M1146" t="s">
        <v>2677</v>
      </c>
      <c r="P1146" t="s">
        <v>2945</v>
      </c>
      <c r="Q1146" t="s">
        <v>2113</v>
      </c>
      <c r="R1146" t="s">
        <v>3258</v>
      </c>
      <c r="S1146" t="s">
        <v>3286</v>
      </c>
      <c r="X1146" t="s">
        <v>3354</v>
      </c>
      <c r="Y1146" t="s">
        <v>2677</v>
      </c>
      <c r="Z1146" t="s">
        <v>3388</v>
      </c>
      <c r="AA1146" t="s">
        <v>3406</v>
      </c>
      <c r="AB1146" t="s">
        <v>3434</v>
      </c>
      <c r="AC1146">
        <f>HYPERLINK("https://lsnyc.legalserver.org/matter/dynamic-profile/view/1883943","18-1883943")</f>
        <v>0</v>
      </c>
      <c r="AD1146" t="s">
        <v>3445</v>
      </c>
      <c r="AE1146" t="s">
        <v>3455</v>
      </c>
      <c r="AF1146" t="s">
        <v>4359</v>
      </c>
      <c r="AG1146" t="s">
        <v>3388</v>
      </c>
      <c r="AH1146" t="s">
        <v>4904</v>
      </c>
      <c r="AK1146" t="s">
        <v>4911</v>
      </c>
      <c r="AL1146" t="s">
        <v>2135</v>
      </c>
      <c r="AN1146" t="s">
        <v>3434</v>
      </c>
    </row>
    <row r="1147" spans="1:41">
      <c r="A1147" s="1" t="s">
        <v>1183</v>
      </c>
      <c r="B1147" t="s">
        <v>2007</v>
      </c>
      <c r="C1147" t="s">
        <v>2000</v>
      </c>
      <c r="D1147" t="s">
        <v>2060</v>
      </c>
      <c r="E1147" t="s">
        <v>2112</v>
      </c>
      <c r="F1147" t="s">
        <v>2121</v>
      </c>
      <c r="G1147" t="s">
        <v>2212</v>
      </c>
      <c r="H1147">
        <v>11372</v>
      </c>
      <c r="J1147">
        <v>2</v>
      </c>
      <c r="K1147">
        <v>1</v>
      </c>
      <c r="L1147" t="s">
        <v>2256</v>
      </c>
      <c r="M1147" t="s">
        <v>2677</v>
      </c>
      <c r="P1147" t="s">
        <v>2945</v>
      </c>
      <c r="Q1147" t="s">
        <v>2113</v>
      </c>
      <c r="R1147" t="s">
        <v>3258</v>
      </c>
      <c r="S1147" t="s">
        <v>3269</v>
      </c>
      <c r="X1147" t="s">
        <v>3354</v>
      </c>
      <c r="Y1147" t="s">
        <v>2677</v>
      </c>
      <c r="Z1147" t="s">
        <v>3361</v>
      </c>
      <c r="AA1147" t="s">
        <v>3406</v>
      </c>
      <c r="AB1147" t="s">
        <v>3417</v>
      </c>
      <c r="AC1147">
        <f>HYPERLINK("https://lsnyc.legalserver.org/matter/dynamic-profile/view/1883982","18-1883982")</f>
        <v>0</v>
      </c>
      <c r="AD1147" t="s">
        <v>3445</v>
      </c>
      <c r="AE1147" t="s">
        <v>3455</v>
      </c>
      <c r="AF1147" t="s">
        <v>4360</v>
      </c>
      <c r="AG1147" t="s">
        <v>3361</v>
      </c>
      <c r="AH1147" t="s">
        <v>4904</v>
      </c>
      <c r="AK1147" t="s">
        <v>4911</v>
      </c>
      <c r="AL1147" t="s">
        <v>2121</v>
      </c>
      <c r="AN1147" t="s">
        <v>3417</v>
      </c>
    </row>
    <row r="1148" spans="1:41">
      <c r="A1148" s="1" t="s">
        <v>1184</v>
      </c>
      <c r="B1148" t="s">
        <v>2004</v>
      </c>
      <c r="C1148" t="s">
        <v>2016</v>
      </c>
      <c r="D1148" t="s">
        <v>2038</v>
      </c>
      <c r="E1148" t="s">
        <v>2112</v>
      </c>
      <c r="F1148" t="s">
        <v>2115</v>
      </c>
      <c r="G1148" t="s">
        <v>2214</v>
      </c>
      <c r="H1148">
        <v>11214</v>
      </c>
      <c r="I1148" t="s">
        <v>2229</v>
      </c>
      <c r="J1148">
        <v>4</v>
      </c>
      <c r="K1148">
        <v>2</v>
      </c>
      <c r="L1148" t="s">
        <v>2272</v>
      </c>
      <c r="M1148" t="s">
        <v>2677</v>
      </c>
      <c r="P1148" t="s">
        <v>2788</v>
      </c>
      <c r="Q1148" t="s">
        <v>2113</v>
      </c>
      <c r="R1148" t="s">
        <v>3259</v>
      </c>
      <c r="S1148" t="s">
        <v>3267</v>
      </c>
      <c r="T1148" t="s">
        <v>3296</v>
      </c>
      <c r="U1148" t="s">
        <v>2788</v>
      </c>
      <c r="X1148" t="s">
        <v>3354</v>
      </c>
      <c r="Y1148" t="s">
        <v>2678</v>
      </c>
      <c r="Z1148" t="s">
        <v>3359</v>
      </c>
      <c r="AA1148" t="s">
        <v>3406</v>
      </c>
      <c r="AB1148" t="s">
        <v>3415</v>
      </c>
      <c r="AC1148">
        <f>HYPERLINK("https://lsnyc.legalserver.org/matter/dynamic-profile/view/1884026","18-1884026")</f>
        <v>0</v>
      </c>
      <c r="AD1148" t="s">
        <v>3446</v>
      </c>
      <c r="AE1148" t="s">
        <v>3456</v>
      </c>
      <c r="AF1148" t="s">
        <v>4211</v>
      </c>
      <c r="AG1148" t="s">
        <v>3359</v>
      </c>
      <c r="AH1148" t="s">
        <v>4906</v>
      </c>
      <c r="AL1148" t="s">
        <v>2115</v>
      </c>
      <c r="AM1148" t="s">
        <v>3296</v>
      </c>
      <c r="AN1148" t="s">
        <v>3415</v>
      </c>
    </row>
    <row r="1149" spans="1:41">
      <c r="A1149" s="1" t="s">
        <v>1185</v>
      </c>
      <c r="B1149" t="s">
        <v>2000</v>
      </c>
      <c r="C1149" t="s">
        <v>1998</v>
      </c>
      <c r="D1149" t="s">
        <v>2072</v>
      </c>
      <c r="E1149" t="s">
        <v>2112</v>
      </c>
      <c r="F1149" t="s">
        <v>2116</v>
      </c>
      <c r="G1149" t="s">
        <v>2213</v>
      </c>
      <c r="H1149">
        <v>10468</v>
      </c>
      <c r="I1149" t="s">
        <v>2230</v>
      </c>
      <c r="J1149">
        <v>4</v>
      </c>
      <c r="K1149">
        <v>2</v>
      </c>
      <c r="L1149" t="s">
        <v>2508</v>
      </c>
      <c r="M1149" t="s">
        <v>2677</v>
      </c>
      <c r="P1149" t="s">
        <v>2945</v>
      </c>
      <c r="Q1149" t="s">
        <v>2113</v>
      </c>
      <c r="R1149" t="s">
        <v>3258</v>
      </c>
      <c r="S1149" t="s">
        <v>3262</v>
      </c>
      <c r="T1149" t="s">
        <v>3294</v>
      </c>
      <c r="U1149" t="s">
        <v>2836</v>
      </c>
      <c r="X1149" t="s">
        <v>3354</v>
      </c>
      <c r="Y1149" t="s">
        <v>2678</v>
      </c>
      <c r="Z1149" t="s">
        <v>3355</v>
      </c>
      <c r="AA1149" t="s">
        <v>3406</v>
      </c>
      <c r="AB1149" t="s">
        <v>3410</v>
      </c>
      <c r="AC1149">
        <f>HYPERLINK("https://lsnyc.legalserver.org/matter/dynamic-profile/view/1884044","18-1884044")</f>
        <v>0</v>
      </c>
      <c r="AD1149" t="s">
        <v>3446</v>
      </c>
      <c r="AE1149" t="s">
        <v>3456</v>
      </c>
      <c r="AF1149" t="s">
        <v>4361</v>
      </c>
      <c r="AG1149" t="s">
        <v>3355</v>
      </c>
      <c r="AH1149" t="s">
        <v>4904</v>
      </c>
      <c r="AK1149" t="s">
        <v>4911</v>
      </c>
      <c r="AL1149" t="s">
        <v>2116</v>
      </c>
      <c r="AM1149" t="s">
        <v>3294</v>
      </c>
      <c r="AN1149" t="s">
        <v>3410</v>
      </c>
    </row>
    <row r="1150" spans="1:41">
      <c r="A1150" s="1" t="s">
        <v>1186</v>
      </c>
      <c r="B1150" t="s">
        <v>1998</v>
      </c>
      <c r="C1150" t="s">
        <v>2016</v>
      </c>
      <c r="D1150" t="s">
        <v>2045</v>
      </c>
      <c r="E1150" t="s">
        <v>2112</v>
      </c>
      <c r="F1150" t="s">
        <v>2117</v>
      </c>
      <c r="G1150" t="s">
        <v>2213</v>
      </c>
      <c r="H1150">
        <v>10455</v>
      </c>
      <c r="I1150" t="s">
        <v>2229</v>
      </c>
      <c r="J1150">
        <v>2</v>
      </c>
      <c r="K1150">
        <v>1</v>
      </c>
      <c r="L1150" t="s">
        <v>2260</v>
      </c>
      <c r="M1150" t="s">
        <v>2677</v>
      </c>
      <c r="P1150" t="s">
        <v>2946</v>
      </c>
      <c r="Q1150" t="s">
        <v>2113</v>
      </c>
      <c r="R1150" t="s">
        <v>3259</v>
      </c>
      <c r="S1150" t="s">
        <v>3267</v>
      </c>
      <c r="X1150" t="s">
        <v>3354</v>
      </c>
      <c r="Y1150" t="s">
        <v>2678</v>
      </c>
      <c r="Z1150" t="s">
        <v>3380</v>
      </c>
      <c r="AA1150" t="s">
        <v>3406</v>
      </c>
      <c r="AB1150" t="s">
        <v>3415</v>
      </c>
      <c r="AC1150">
        <f>HYPERLINK("https://lsnyc.legalserver.org/matter/dynamic-profile/view/1883835","18-1883835")</f>
        <v>0</v>
      </c>
      <c r="AD1150" t="s">
        <v>3444</v>
      </c>
      <c r="AE1150" t="s">
        <v>3466</v>
      </c>
      <c r="AF1150" t="s">
        <v>4250</v>
      </c>
      <c r="AG1150" t="s">
        <v>3380</v>
      </c>
      <c r="AH1150" t="s">
        <v>4906</v>
      </c>
      <c r="AK1150" t="s">
        <v>4911</v>
      </c>
      <c r="AL1150" t="s">
        <v>2117</v>
      </c>
      <c r="AN1150" t="s">
        <v>3415</v>
      </c>
    </row>
    <row r="1151" spans="1:41">
      <c r="A1151" s="1" t="s">
        <v>1187</v>
      </c>
      <c r="B1151" t="s">
        <v>2000</v>
      </c>
      <c r="C1151" t="s">
        <v>2001</v>
      </c>
      <c r="D1151" t="s">
        <v>2061</v>
      </c>
      <c r="E1151" t="s">
        <v>2111</v>
      </c>
      <c r="F1151" t="s">
        <v>2117</v>
      </c>
      <c r="G1151" t="s">
        <v>2213</v>
      </c>
      <c r="H1151">
        <v>0</v>
      </c>
      <c r="J1151">
        <v>2</v>
      </c>
      <c r="K1151">
        <v>1</v>
      </c>
      <c r="L1151" t="s">
        <v>2260</v>
      </c>
      <c r="M1151" t="s">
        <v>2677</v>
      </c>
      <c r="P1151" t="s">
        <v>2946</v>
      </c>
      <c r="Q1151" t="s">
        <v>2113</v>
      </c>
      <c r="R1151" t="s">
        <v>3259</v>
      </c>
      <c r="S1151" t="s">
        <v>3267</v>
      </c>
      <c r="X1151" t="s">
        <v>3354</v>
      </c>
      <c r="Y1151" t="s">
        <v>2678</v>
      </c>
      <c r="Z1151" t="s">
        <v>3359</v>
      </c>
      <c r="AA1151" t="s">
        <v>3406</v>
      </c>
      <c r="AB1151" t="s">
        <v>3415</v>
      </c>
      <c r="AC1151">
        <f>HYPERLINK("https://lsnyc.legalserver.org/matter/dynamic-profile/view/1883836","18-1883836")</f>
        <v>0</v>
      </c>
      <c r="AD1151" t="s">
        <v>3444</v>
      </c>
      <c r="AE1151" t="s">
        <v>3466</v>
      </c>
      <c r="AF1151" t="s">
        <v>4339</v>
      </c>
      <c r="AG1151" t="s">
        <v>3359</v>
      </c>
      <c r="AH1151" t="s">
        <v>4906</v>
      </c>
      <c r="AK1151" t="s">
        <v>4911</v>
      </c>
      <c r="AL1151" t="s">
        <v>2117</v>
      </c>
      <c r="AN1151" t="s">
        <v>3415</v>
      </c>
    </row>
    <row r="1152" spans="1:41">
      <c r="A1152" s="1" t="s">
        <v>1188</v>
      </c>
      <c r="B1152" t="s">
        <v>1998</v>
      </c>
      <c r="C1152" t="s">
        <v>2014</v>
      </c>
      <c r="D1152" t="s">
        <v>2068</v>
      </c>
      <c r="E1152" t="s">
        <v>2112</v>
      </c>
      <c r="F1152" t="s">
        <v>2117</v>
      </c>
      <c r="G1152" t="s">
        <v>2213</v>
      </c>
      <c r="H1152">
        <v>10460</v>
      </c>
      <c r="I1152" t="s">
        <v>2229</v>
      </c>
      <c r="J1152">
        <v>8</v>
      </c>
      <c r="K1152">
        <v>3</v>
      </c>
      <c r="L1152" t="s">
        <v>2260</v>
      </c>
      <c r="M1152" t="s">
        <v>2677</v>
      </c>
      <c r="P1152" t="s">
        <v>2946</v>
      </c>
      <c r="Q1152" t="s">
        <v>3255</v>
      </c>
      <c r="R1152" t="s">
        <v>3259</v>
      </c>
      <c r="S1152" t="s">
        <v>3267</v>
      </c>
      <c r="V1152" t="s">
        <v>3353</v>
      </c>
      <c r="X1152" t="s">
        <v>3354</v>
      </c>
      <c r="Y1152" t="s">
        <v>2678</v>
      </c>
      <c r="Z1152" t="s">
        <v>3359</v>
      </c>
      <c r="AA1152" t="s">
        <v>3406</v>
      </c>
      <c r="AB1152" t="s">
        <v>3415</v>
      </c>
      <c r="AC1152">
        <f>HYPERLINK("https://lsnyc.legalserver.org/matter/dynamic-profile/view/1883840","18-1883840")</f>
        <v>0</v>
      </c>
      <c r="AD1152" t="s">
        <v>3444</v>
      </c>
      <c r="AE1152" t="s">
        <v>3466</v>
      </c>
      <c r="AF1152" t="s">
        <v>4362</v>
      </c>
      <c r="AG1152" t="s">
        <v>3359</v>
      </c>
      <c r="AH1152" t="s">
        <v>4906</v>
      </c>
      <c r="AK1152" t="s">
        <v>4911</v>
      </c>
      <c r="AL1152" t="s">
        <v>2117</v>
      </c>
      <c r="AN1152" t="s">
        <v>3415</v>
      </c>
      <c r="AO1152" t="s">
        <v>3353</v>
      </c>
    </row>
    <row r="1153" spans="1:41">
      <c r="A1153" s="1" t="s">
        <v>1189</v>
      </c>
      <c r="B1153" t="s">
        <v>2001</v>
      </c>
      <c r="C1153" t="s">
        <v>2015</v>
      </c>
      <c r="D1153" t="s">
        <v>2064</v>
      </c>
      <c r="E1153" t="s">
        <v>2111</v>
      </c>
      <c r="F1153" t="s">
        <v>2117</v>
      </c>
      <c r="G1153" t="s">
        <v>2213</v>
      </c>
      <c r="H1153">
        <v>10460</v>
      </c>
      <c r="I1153" t="s">
        <v>2229</v>
      </c>
      <c r="J1153">
        <v>8</v>
      </c>
      <c r="K1153">
        <v>3</v>
      </c>
      <c r="L1153" t="s">
        <v>2260</v>
      </c>
      <c r="M1153" t="s">
        <v>2677</v>
      </c>
      <c r="P1153" t="s">
        <v>2946</v>
      </c>
      <c r="Q1153" t="s">
        <v>3255</v>
      </c>
      <c r="R1153" t="s">
        <v>3259</v>
      </c>
      <c r="S1153" t="s">
        <v>3267</v>
      </c>
      <c r="V1153" t="s">
        <v>3353</v>
      </c>
      <c r="X1153" t="s">
        <v>3354</v>
      </c>
      <c r="Y1153" t="s">
        <v>2678</v>
      </c>
      <c r="Z1153" t="s">
        <v>3359</v>
      </c>
      <c r="AA1153" t="s">
        <v>3406</v>
      </c>
      <c r="AB1153" t="s">
        <v>3415</v>
      </c>
      <c r="AC1153">
        <f>HYPERLINK("https://lsnyc.legalserver.org/matter/dynamic-profile/view/1883846","18-1883846")</f>
        <v>0</v>
      </c>
      <c r="AD1153" t="s">
        <v>3444</v>
      </c>
      <c r="AE1153" t="s">
        <v>3466</v>
      </c>
      <c r="AF1153" t="s">
        <v>4363</v>
      </c>
      <c r="AG1153" t="s">
        <v>3359</v>
      </c>
      <c r="AH1153" t="s">
        <v>4906</v>
      </c>
      <c r="AK1153" t="s">
        <v>4911</v>
      </c>
      <c r="AL1153" t="s">
        <v>2117</v>
      </c>
      <c r="AN1153" t="s">
        <v>3415</v>
      </c>
      <c r="AO1153" t="s">
        <v>3353</v>
      </c>
    </row>
    <row r="1154" spans="1:41">
      <c r="A1154" s="1" t="s">
        <v>1190</v>
      </c>
      <c r="B1154" t="s">
        <v>2001</v>
      </c>
      <c r="C1154" t="s">
        <v>1998</v>
      </c>
      <c r="D1154" t="s">
        <v>2051</v>
      </c>
      <c r="E1154" t="s">
        <v>2112</v>
      </c>
      <c r="F1154" t="s">
        <v>2117</v>
      </c>
      <c r="G1154" t="s">
        <v>2213</v>
      </c>
      <c r="H1154">
        <v>10455</v>
      </c>
      <c r="I1154" t="s">
        <v>2229</v>
      </c>
      <c r="J1154">
        <v>4</v>
      </c>
      <c r="K1154">
        <v>3</v>
      </c>
      <c r="L1154" t="s">
        <v>2260</v>
      </c>
      <c r="M1154" t="s">
        <v>2677</v>
      </c>
      <c r="P1154" t="s">
        <v>2946</v>
      </c>
      <c r="Q1154" t="s">
        <v>2113</v>
      </c>
      <c r="R1154" t="s">
        <v>3259</v>
      </c>
      <c r="S1154" t="s">
        <v>3267</v>
      </c>
      <c r="X1154" t="s">
        <v>3354</v>
      </c>
      <c r="Y1154" t="s">
        <v>2678</v>
      </c>
      <c r="Z1154" t="s">
        <v>3359</v>
      </c>
      <c r="AA1154" t="s">
        <v>3406</v>
      </c>
      <c r="AB1154" t="s">
        <v>3415</v>
      </c>
      <c r="AC1154">
        <f>HYPERLINK("https://lsnyc.legalserver.org/matter/dynamic-profile/view/1883883","18-1883883")</f>
        <v>0</v>
      </c>
      <c r="AD1154" t="s">
        <v>3444</v>
      </c>
      <c r="AE1154" t="s">
        <v>3466</v>
      </c>
      <c r="AF1154" t="s">
        <v>3859</v>
      </c>
      <c r="AG1154" t="s">
        <v>3359</v>
      </c>
      <c r="AH1154" t="s">
        <v>4906</v>
      </c>
      <c r="AK1154" t="s">
        <v>4911</v>
      </c>
      <c r="AL1154" t="s">
        <v>2117</v>
      </c>
      <c r="AN1154" t="s">
        <v>3415</v>
      </c>
    </row>
    <row r="1155" spans="1:41">
      <c r="A1155" s="1" t="s">
        <v>1191</v>
      </c>
      <c r="B1155" t="s">
        <v>2009</v>
      </c>
      <c r="C1155" t="s">
        <v>2001</v>
      </c>
      <c r="D1155" t="s">
        <v>2096</v>
      </c>
      <c r="E1155" t="s">
        <v>2111</v>
      </c>
      <c r="F1155" t="s">
        <v>2120</v>
      </c>
      <c r="G1155" t="s">
        <v>2211</v>
      </c>
      <c r="H1155">
        <v>10026</v>
      </c>
      <c r="J1155">
        <v>5</v>
      </c>
      <c r="K1155">
        <v>2</v>
      </c>
      <c r="L1155" t="s">
        <v>2509</v>
      </c>
      <c r="M1155" t="s">
        <v>2677</v>
      </c>
      <c r="P1155" t="s">
        <v>2946</v>
      </c>
      <c r="Q1155" t="s">
        <v>2113</v>
      </c>
      <c r="R1155" t="s">
        <v>3258</v>
      </c>
      <c r="S1155" t="s">
        <v>3279</v>
      </c>
      <c r="X1155" t="s">
        <v>3354</v>
      </c>
      <c r="Y1155" t="s">
        <v>2677</v>
      </c>
      <c r="Z1155" t="s">
        <v>3377</v>
      </c>
      <c r="AA1155" t="s">
        <v>3406</v>
      </c>
      <c r="AB1155" t="s">
        <v>3427</v>
      </c>
      <c r="AC1155">
        <f>HYPERLINK("https://lsnyc.legalserver.org/matter/dynamic-profile/view/1883890","18-1883890")</f>
        <v>0</v>
      </c>
      <c r="AD1155" t="s">
        <v>3445</v>
      </c>
      <c r="AE1155" t="s">
        <v>3455</v>
      </c>
      <c r="AF1155" t="s">
        <v>4364</v>
      </c>
      <c r="AG1155" t="s">
        <v>3377</v>
      </c>
      <c r="AH1155" t="s">
        <v>4904</v>
      </c>
      <c r="AK1155" t="s">
        <v>4911</v>
      </c>
      <c r="AL1155" t="s">
        <v>2120</v>
      </c>
      <c r="AN1155" t="s">
        <v>3427</v>
      </c>
    </row>
    <row r="1156" spans="1:41">
      <c r="A1156" s="1" t="s">
        <v>1192</v>
      </c>
      <c r="B1156" t="s">
        <v>2001</v>
      </c>
      <c r="C1156" t="s">
        <v>2005</v>
      </c>
      <c r="D1156" t="s">
        <v>2027</v>
      </c>
      <c r="E1156" t="s">
        <v>2112</v>
      </c>
      <c r="F1156" t="s">
        <v>2114</v>
      </c>
      <c r="G1156" t="s">
        <v>2212</v>
      </c>
      <c r="H1156">
        <v>11355</v>
      </c>
      <c r="I1156" t="s">
        <v>2229</v>
      </c>
      <c r="J1156">
        <v>2</v>
      </c>
      <c r="K1156">
        <v>1</v>
      </c>
      <c r="L1156" t="s">
        <v>2260</v>
      </c>
      <c r="M1156" t="s">
        <v>2677</v>
      </c>
      <c r="P1156" t="s">
        <v>2766</v>
      </c>
      <c r="Q1156" t="s">
        <v>2113</v>
      </c>
      <c r="R1156" t="s">
        <v>3259</v>
      </c>
      <c r="S1156" t="s">
        <v>3267</v>
      </c>
      <c r="X1156" t="s">
        <v>3354</v>
      </c>
      <c r="Y1156" t="s">
        <v>2678</v>
      </c>
      <c r="Z1156" t="s">
        <v>3359</v>
      </c>
      <c r="AA1156" t="s">
        <v>3406</v>
      </c>
      <c r="AB1156" t="s">
        <v>3415</v>
      </c>
      <c r="AC1156">
        <f>HYPERLINK("https://lsnyc.legalserver.org/matter/dynamic-profile/view/1883918","18-1883918")</f>
        <v>0</v>
      </c>
      <c r="AD1156" t="s">
        <v>3443</v>
      </c>
      <c r="AE1156" t="s">
        <v>3472</v>
      </c>
      <c r="AF1156" t="s">
        <v>4097</v>
      </c>
      <c r="AG1156" t="s">
        <v>3359</v>
      </c>
      <c r="AH1156" t="s">
        <v>4906</v>
      </c>
      <c r="AL1156" t="s">
        <v>2114</v>
      </c>
      <c r="AN1156" t="s">
        <v>3415</v>
      </c>
    </row>
    <row r="1157" spans="1:41">
      <c r="A1157" s="1" t="s">
        <v>1193</v>
      </c>
      <c r="B1157" t="s">
        <v>2001</v>
      </c>
      <c r="C1157" t="s">
        <v>2016</v>
      </c>
      <c r="D1157" t="s">
        <v>2039</v>
      </c>
      <c r="E1157" t="s">
        <v>2111</v>
      </c>
      <c r="F1157" t="s">
        <v>2116</v>
      </c>
      <c r="G1157" t="s">
        <v>2216</v>
      </c>
      <c r="H1157">
        <v>10705</v>
      </c>
      <c r="I1157" t="s">
        <v>2229</v>
      </c>
      <c r="J1157">
        <v>1</v>
      </c>
      <c r="K1157">
        <v>0</v>
      </c>
      <c r="L1157" t="s">
        <v>2272</v>
      </c>
      <c r="M1157" t="s">
        <v>2677</v>
      </c>
      <c r="P1157" t="s">
        <v>2947</v>
      </c>
      <c r="Q1157" t="s">
        <v>2113</v>
      </c>
      <c r="R1157" t="s">
        <v>3259</v>
      </c>
      <c r="S1157" t="s">
        <v>3268</v>
      </c>
      <c r="X1157" t="s">
        <v>3354</v>
      </c>
      <c r="Y1157" t="s">
        <v>2678</v>
      </c>
      <c r="Z1157" t="s">
        <v>3368</v>
      </c>
      <c r="AA1157" t="s">
        <v>3406</v>
      </c>
      <c r="AB1157" t="s">
        <v>3416</v>
      </c>
      <c r="AC1157">
        <f>HYPERLINK("https://lsnyc.legalserver.org/matter/dynamic-profile/view/1881250","18-1881250")</f>
        <v>0</v>
      </c>
      <c r="AD1157" t="s">
        <v>3447</v>
      </c>
      <c r="AE1157" t="s">
        <v>3458</v>
      </c>
      <c r="AF1157" t="s">
        <v>4365</v>
      </c>
      <c r="AG1157" t="s">
        <v>3368</v>
      </c>
      <c r="AH1157" t="s">
        <v>4904</v>
      </c>
      <c r="AK1157" t="s">
        <v>4911</v>
      </c>
      <c r="AL1157" t="s">
        <v>2116</v>
      </c>
      <c r="AN1157" t="s">
        <v>3416</v>
      </c>
    </row>
    <row r="1158" spans="1:41">
      <c r="A1158" s="1" t="s">
        <v>1194</v>
      </c>
      <c r="B1158" t="s">
        <v>2001</v>
      </c>
      <c r="C1158" t="s">
        <v>1998</v>
      </c>
      <c r="D1158" t="s">
        <v>2055</v>
      </c>
      <c r="E1158" t="s">
        <v>2111</v>
      </c>
      <c r="F1158" t="s">
        <v>2120</v>
      </c>
      <c r="G1158" t="s">
        <v>2218</v>
      </c>
      <c r="H1158">
        <v>10553</v>
      </c>
      <c r="I1158" t="s">
        <v>2230</v>
      </c>
      <c r="J1158">
        <v>1</v>
      </c>
      <c r="K1158">
        <v>0</v>
      </c>
      <c r="L1158" t="s">
        <v>2499</v>
      </c>
      <c r="M1158" t="s">
        <v>2677</v>
      </c>
      <c r="P1158" t="s">
        <v>2947</v>
      </c>
      <c r="Q1158" t="s">
        <v>2113</v>
      </c>
      <c r="R1158" t="s">
        <v>3258</v>
      </c>
      <c r="S1158" t="s">
        <v>3271</v>
      </c>
      <c r="V1158" t="s">
        <v>3352</v>
      </c>
      <c r="X1158" t="s">
        <v>3354</v>
      </c>
      <c r="Y1158" t="s">
        <v>2678</v>
      </c>
      <c r="Z1158" t="s">
        <v>3362</v>
      </c>
      <c r="AA1158" t="s">
        <v>3406</v>
      </c>
      <c r="AB1158" t="s">
        <v>3419</v>
      </c>
      <c r="AC1158">
        <f>HYPERLINK("https://lsnyc.legalserver.org/matter/dynamic-profile/view/1883699","18-1883699")</f>
        <v>0</v>
      </c>
      <c r="AD1158" t="s">
        <v>3444</v>
      </c>
      <c r="AE1158" t="s">
        <v>3468</v>
      </c>
      <c r="AF1158" t="s">
        <v>4333</v>
      </c>
      <c r="AG1158" t="s">
        <v>3362</v>
      </c>
      <c r="AH1158" t="s">
        <v>4904</v>
      </c>
      <c r="AI1158" t="s">
        <v>4909</v>
      </c>
      <c r="AK1158" t="s">
        <v>4911</v>
      </c>
      <c r="AL1158" t="s">
        <v>2120</v>
      </c>
      <c r="AN1158" t="s">
        <v>3419</v>
      </c>
      <c r="AO1158" t="s">
        <v>3352</v>
      </c>
    </row>
    <row r="1159" spans="1:41">
      <c r="A1159" s="1" t="s">
        <v>1195</v>
      </c>
      <c r="B1159" t="s">
        <v>2001</v>
      </c>
      <c r="C1159" t="s">
        <v>2016</v>
      </c>
      <c r="D1159" t="s">
        <v>2070</v>
      </c>
      <c r="E1159" t="s">
        <v>2111</v>
      </c>
      <c r="F1159" t="s">
        <v>2135</v>
      </c>
      <c r="G1159" t="s">
        <v>2212</v>
      </c>
      <c r="H1159">
        <v>11435</v>
      </c>
      <c r="I1159" t="s">
        <v>2229</v>
      </c>
      <c r="J1159">
        <v>4</v>
      </c>
      <c r="K1159">
        <v>2</v>
      </c>
      <c r="L1159" t="s">
        <v>2278</v>
      </c>
      <c r="M1159" t="s">
        <v>2677</v>
      </c>
      <c r="P1159" t="s">
        <v>2947</v>
      </c>
      <c r="Q1159" t="s">
        <v>2113</v>
      </c>
      <c r="R1159" t="s">
        <v>3260</v>
      </c>
      <c r="S1159" t="s">
        <v>3266</v>
      </c>
      <c r="X1159" t="s">
        <v>3354</v>
      </c>
      <c r="Y1159" t="s">
        <v>2678</v>
      </c>
      <c r="AB1159" t="s">
        <v>3414</v>
      </c>
      <c r="AC1159">
        <f>HYPERLINK("https://lsnyc.legalserver.org/matter/dynamic-profile/view/1883747","18-1883747")</f>
        <v>0</v>
      </c>
      <c r="AD1159" t="s">
        <v>3443</v>
      </c>
      <c r="AE1159" t="s">
        <v>3477</v>
      </c>
      <c r="AF1159" t="s">
        <v>4366</v>
      </c>
      <c r="AI1159" t="s">
        <v>4909</v>
      </c>
      <c r="AL1159" t="s">
        <v>2135</v>
      </c>
      <c r="AN1159" t="s">
        <v>3414</v>
      </c>
    </row>
    <row r="1160" spans="1:41">
      <c r="A1160" s="1" t="s">
        <v>1196</v>
      </c>
      <c r="B1160" t="s">
        <v>2012</v>
      </c>
      <c r="C1160" t="s">
        <v>2018</v>
      </c>
      <c r="D1160" t="s">
        <v>2073</v>
      </c>
      <c r="E1160" t="s">
        <v>2112</v>
      </c>
      <c r="F1160" t="s">
        <v>2117</v>
      </c>
      <c r="G1160" t="s">
        <v>2213</v>
      </c>
      <c r="H1160">
        <v>10460</v>
      </c>
      <c r="I1160" t="s">
        <v>2229</v>
      </c>
      <c r="J1160">
        <v>2</v>
      </c>
      <c r="K1160">
        <v>1</v>
      </c>
      <c r="L1160" t="s">
        <v>2260</v>
      </c>
      <c r="M1160" t="s">
        <v>2677</v>
      </c>
      <c r="P1160" t="s">
        <v>2947</v>
      </c>
      <c r="Q1160" t="s">
        <v>2113</v>
      </c>
      <c r="R1160" t="s">
        <v>3259</v>
      </c>
      <c r="S1160" t="s">
        <v>3272</v>
      </c>
      <c r="X1160" t="s">
        <v>3354</v>
      </c>
      <c r="Y1160" t="s">
        <v>2678</v>
      </c>
      <c r="Z1160" t="s">
        <v>3364</v>
      </c>
      <c r="AA1160" t="s">
        <v>3406</v>
      </c>
      <c r="AB1160" t="s">
        <v>3420</v>
      </c>
      <c r="AC1160">
        <f>HYPERLINK("https://lsnyc.legalserver.org/matter/dynamic-profile/view/1883751","18-1883751")</f>
        <v>0</v>
      </c>
      <c r="AD1160" t="s">
        <v>3444</v>
      </c>
      <c r="AE1160" t="s">
        <v>3466</v>
      </c>
      <c r="AF1160" t="s">
        <v>3578</v>
      </c>
      <c r="AG1160" t="s">
        <v>3364</v>
      </c>
      <c r="AH1160" t="s">
        <v>4905</v>
      </c>
      <c r="AK1160" t="s">
        <v>4911</v>
      </c>
      <c r="AL1160" t="s">
        <v>2117</v>
      </c>
      <c r="AN1160" t="s">
        <v>3420</v>
      </c>
    </row>
    <row r="1161" spans="1:41">
      <c r="A1161" s="1" t="s">
        <v>1197</v>
      </c>
      <c r="B1161" t="s">
        <v>2012</v>
      </c>
      <c r="C1161" t="s">
        <v>2018</v>
      </c>
      <c r="D1161" t="s">
        <v>2073</v>
      </c>
      <c r="E1161" t="s">
        <v>2112</v>
      </c>
      <c r="F1161" t="s">
        <v>2117</v>
      </c>
      <c r="G1161" t="s">
        <v>2213</v>
      </c>
      <c r="H1161">
        <v>10460</v>
      </c>
      <c r="I1161" t="s">
        <v>2229</v>
      </c>
      <c r="J1161">
        <v>2</v>
      </c>
      <c r="K1161">
        <v>1</v>
      </c>
      <c r="L1161" t="s">
        <v>2272</v>
      </c>
      <c r="M1161" t="s">
        <v>2677</v>
      </c>
      <c r="P1161" t="s">
        <v>2947</v>
      </c>
      <c r="Q1161" t="s">
        <v>2113</v>
      </c>
      <c r="R1161" t="s">
        <v>3259</v>
      </c>
      <c r="S1161" t="s">
        <v>3288</v>
      </c>
      <c r="X1161" t="s">
        <v>3354</v>
      </c>
      <c r="Y1161" t="s">
        <v>2678</v>
      </c>
      <c r="Z1161" t="s">
        <v>3389</v>
      </c>
      <c r="AA1161" t="s">
        <v>3406</v>
      </c>
      <c r="AB1161" t="s">
        <v>3436</v>
      </c>
      <c r="AC1161">
        <f>HYPERLINK("https://lsnyc.legalserver.org/matter/dynamic-profile/view/1883754","18-1883754")</f>
        <v>0</v>
      </c>
      <c r="AD1161" t="s">
        <v>3444</v>
      </c>
      <c r="AE1161" t="s">
        <v>3466</v>
      </c>
      <c r="AF1161" t="s">
        <v>3578</v>
      </c>
      <c r="AG1161" t="s">
        <v>3389</v>
      </c>
      <c r="AH1161" t="s">
        <v>4905</v>
      </c>
      <c r="AK1161" t="s">
        <v>4911</v>
      </c>
      <c r="AL1161" t="s">
        <v>2117</v>
      </c>
      <c r="AN1161" t="s">
        <v>3436</v>
      </c>
    </row>
    <row r="1162" spans="1:41">
      <c r="A1162" s="1" t="s">
        <v>1198</v>
      </c>
      <c r="B1162" t="s">
        <v>2012</v>
      </c>
      <c r="C1162" t="s">
        <v>2018</v>
      </c>
      <c r="D1162" t="s">
        <v>2073</v>
      </c>
      <c r="E1162" t="s">
        <v>2112</v>
      </c>
      <c r="F1162" t="s">
        <v>2117</v>
      </c>
      <c r="G1162" t="s">
        <v>2213</v>
      </c>
      <c r="H1162">
        <v>10460</v>
      </c>
      <c r="I1162" t="s">
        <v>2229</v>
      </c>
      <c r="J1162">
        <v>2</v>
      </c>
      <c r="K1162">
        <v>1</v>
      </c>
      <c r="L1162" t="s">
        <v>2272</v>
      </c>
      <c r="M1162" t="s">
        <v>2677</v>
      </c>
      <c r="P1162" t="s">
        <v>2947</v>
      </c>
      <c r="Q1162" t="s">
        <v>2113</v>
      </c>
      <c r="R1162" t="s">
        <v>3259</v>
      </c>
      <c r="S1162" t="s">
        <v>3267</v>
      </c>
      <c r="X1162" t="s">
        <v>3354</v>
      </c>
      <c r="Y1162" t="s">
        <v>2678</v>
      </c>
      <c r="Z1162" t="s">
        <v>3359</v>
      </c>
      <c r="AA1162" t="s">
        <v>3406</v>
      </c>
      <c r="AB1162" t="s">
        <v>3415</v>
      </c>
      <c r="AC1162">
        <f>HYPERLINK("https://lsnyc.legalserver.org/matter/dynamic-profile/view/1883764","18-1883764")</f>
        <v>0</v>
      </c>
      <c r="AD1162" t="s">
        <v>3444</v>
      </c>
      <c r="AE1162" t="s">
        <v>3466</v>
      </c>
      <c r="AF1162" t="s">
        <v>3578</v>
      </c>
      <c r="AG1162" t="s">
        <v>3359</v>
      </c>
      <c r="AH1162" t="s">
        <v>4906</v>
      </c>
      <c r="AK1162" t="s">
        <v>4911</v>
      </c>
      <c r="AL1162" t="s">
        <v>2117</v>
      </c>
      <c r="AN1162" t="s">
        <v>3415</v>
      </c>
    </row>
    <row r="1163" spans="1:41">
      <c r="A1163" s="1" t="s">
        <v>1199</v>
      </c>
      <c r="B1163" t="s">
        <v>2001</v>
      </c>
      <c r="C1163" t="s">
        <v>2012</v>
      </c>
      <c r="D1163" t="s">
        <v>2078</v>
      </c>
      <c r="E1163" t="s">
        <v>2112</v>
      </c>
      <c r="F1163" t="s">
        <v>2117</v>
      </c>
      <c r="G1163" t="s">
        <v>2213</v>
      </c>
      <c r="H1163">
        <v>10455</v>
      </c>
      <c r="I1163" t="s">
        <v>2229</v>
      </c>
      <c r="J1163">
        <v>2</v>
      </c>
      <c r="K1163">
        <v>1</v>
      </c>
      <c r="L1163" t="s">
        <v>2260</v>
      </c>
      <c r="M1163" t="s">
        <v>2677</v>
      </c>
      <c r="P1163" t="s">
        <v>2948</v>
      </c>
      <c r="Q1163" t="s">
        <v>3256</v>
      </c>
      <c r="R1163" t="s">
        <v>3259</v>
      </c>
      <c r="S1163" t="s">
        <v>3288</v>
      </c>
      <c r="X1163" t="s">
        <v>3354</v>
      </c>
      <c r="Y1163" t="s">
        <v>2678</v>
      </c>
      <c r="Z1163" t="s">
        <v>3389</v>
      </c>
      <c r="AA1163" t="s">
        <v>3406</v>
      </c>
      <c r="AB1163" t="s">
        <v>3436</v>
      </c>
      <c r="AC1163">
        <f>HYPERLINK("https://lsnyc.legalserver.org/matter/dynamic-profile/view/1883579","18-1883579")</f>
        <v>0</v>
      </c>
      <c r="AD1163" t="s">
        <v>3444</v>
      </c>
      <c r="AE1163" t="s">
        <v>3466</v>
      </c>
      <c r="AF1163" t="s">
        <v>3857</v>
      </c>
      <c r="AG1163" t="s">
        <v>3389</v>
      </c>
      <c r="AH1163" t="s">
        <v>4905</v>
      </c>
      <c r="AK1163" t="s">
        <v>4911</v>
      </c>
      <c r="AL1163" t="s">
        <v>2117</v>
      </c>
      <c r="AN1163" t="s">
        <v>3436</v>
      </c>
    </row>
    <row r="1164" spans="1:41">
      <c r="A1164" s="1" t="s">
        <v>1200</v>
      </c>
      <c r="B1164" t="s">
        <v>1998</v>
      </c>
      <c r="C1164" t="s">
        <v>2016</v>
      </c>
      <c r="D1164" t="s">
        <v>2044</v>
      </c>
      <c r="E1164" t="s">
        <v>2112</v>
      </c>
      <c r="F1164" t="s">
        <v>2117</v>
      </c>
      <c r="G1164" t="s">
        <v>2213</v>
      </c>
      <c r="H1164">
        <v>10463</v>
      </c>
      <c r="I1164" t="s">
        <v>2229</v>
      </c>
      <c r="J1164">
        <v>1</v>
      </c>
      <c r="K1164">
        <v>0</v>
      </c>
      <c r="L1164" t="s">
        <v>2260</v>
      </c>
      <c r="M1164" t="s">
        <v>2677</v>
      </c>
      <c r="P1164" t="s">
        <v>2949</v>
      </c>
      <c r="Q1164" t="s">
        <v>2113</v>
      </c>
      <c r="R1164" t="s">
        <v>3259</v>
      </c>
      <c r="S1164" t="s">
        <v>3267</v>
      </c>
      <c r="T1164" t="s">
        <v>3294</v>
      </c>
      <c r="U1164" t="s">
        <v>2849</v>
      </c>
      <c r="X1164" t="s">
        <v>3354</v>
      </c>
      <c r="Y1164" t="s">
        <v>2677</v>
      </c>
      <c r="Z1164" t="s">
        <v>3359</v>
      </c>
      <c r="AA1164" t="s">
        <v>3406</v>
      </c>
      <c r="AB1164" t="s">
        <v>3415</v>
      </c>
      <c r="AC1164">
        <f>HYPERLINK("https://lsnyc.legalserver.org/matter/dynamic-profile/view/1883599","18-1883599")</f>
        <v>0</v>
      </c>
      <c r="AD1164" t="s">
        <v>3446</v>
      </c>
      <c r="AE1164" t="s">
        <v>3465</v>
      </c>
      <c r="AF1164" t="s">
        <v>4367</v>
      </c>
      <c r="AG1164" t="s">
        <v>3359</v>
      </c>
      <c r="AH1164" t="s">
        <v>4906</v>
      </c>
      <c r="AL1164" t="s">
        <v>2117</v>
      </c>
      <c r="AM1164" t="s">
        <v>3294</v>
      </c>
      <c r="AN1164" t="s">
        <v>3415</v>
      </c>
    </row>
    <row r="1165" spans="1:41">
      <c r="A1165" s="1" t="s">
        <v>1201</v>
      </c>
      <c r="B1165" t="s">
        <v>1998</v>
      </c>
      <c r="C1165" t="s">
        <v>2002</v>
      </c>
      <c r="D1165" t="s">
        <v>2061</v>
      </c>
      <c r="E1165" t="s">
        <v>2111</v>
      </c>
      <c r="F1165" t="s">
        <v>2117</v>
      </c>
      <c r="G1165" t="s">
        <v>2213</v>
      </c>
      <c r="H1165">
        <v>10455</v>
      </c>
      <c r="I1165" t="s">
        <v>2229</v>
      </c>
      <c r="J1165">
        <v>2</v>
      </c>
      <c r="K1165">
        <v>1</v>
      </c>
      <c r="L1165" t="s">
        <v>2260</v>
      </c>
      <c r="M1165" t="s">
        <v>2677</v>
      </c>
      <c r="P1165" t="s">
        <v>2948</v>
      </c>
      <c r="Q1165" t="s">
        <v>2113</v>
      </c>
      <c r="R1165" t="s">
        <v>3259</v>
      </c>
      <c r="S1165" t="s">
        <v>3267</v>
      </c>
      <c r="X1165" t="s">
        <v>3354</v>
      </c>
      <c r="Y1165" t="s">
        <v>2678</v>
      </c>
      <c r="Z1165" t="s">
        <v>3380</v>
      </c>
      <c r="AA1165" t="s">
        <v>3406</v>
      </c>
      <c r="AB1165" t="s">
        <v>3415</v>
      </c>
      <c r="AC1165">
        <f>HYPERLINK("https://lsnyc.legalserver.org/matter/dynamic-profile/view/1883605","18-1883605")</f>
        <v>0</v>
      </c>
      <c r="AD1165" t="s">
        <v>3444</v>
      </c>
      <c r="AE1165" t="s">
        <v>3466</v>
      </c>
      <c r="AF1165" t="s">
        <v>4368</v>
      </c>
      <c r="AG1165" t="s">
        <v>3380</v>
      </c>
      <c r="AH1165" t="s">
        <v>4906</v>
      </c>
      <c r="AK1165" t="s">
        <v>4911</v>
      </c>
      <c r="AL1165" t="s">
        <v>2117</v>
      </c>
      <c r="AN1165" t="s">
        <v>3415</v>
      </c>
    </row>
    <row r="1166" spans="1:41">
      <c r="A1166" s="1" t="s">
        <v>1202</v>
      </c>
      <c r="B1166" t="s">
        <v>1998</v>
      </c>
      <c r="C1166" t="s">
        <v>2002</v>
      </c>
      <c r="D1166" t="s">
        <v>2061</v>
      </c>
      <c r="E1166" t="s">
        <v>2111</v>
      </c>
      <c r="F1166" t="s">
        <v>2117</v>
      </c>
      <c r="G1166" t="s">
        <v>2213</v>
      </c>
      <c r="H1166">
        <v>10455</v>
      </c>
      <c r="I1166" t="s">
        <v>2229</v>
      </c>
      <c r="J1166">
        <v>2</v>
      </c>
      <c r="K1166">
        <v>1</v>
      </c>
      <c r="L1166" t="s">
        <v>2260</v>
      </c>
      <c r="M1166" t="s">
        <v>2677</v>
      </c>
      <c r="P1166" t="s">
        <v>2948</v>
      </c>
      <c r="Q1166" t="s">
        <v>2113</v>
      </c>
      <c r="R1166" t="s">
        <v>3259</v>
      </c>
      <c r="S1166" t="s">
        <v>3272</v>
      </c>
      <c r="X1166" t="s">
        <v>3354</v>
      </c>
      <c r="Y1166" t="s">
        <v>2678</v>
      </c>
      <c r="Z1166" t="s">
        <v>3364</v>
      </c>
      <c r="AA1166" t="s">
        <v>3406</v>
      </c>
      <c r="AB1166" t="s">
        <v>3420</v>
      </c>
      <c r="AC1166">
        <f>HYPERLINK("https://lsnyc.legalserver.org/matter/dynamic-profile/view/1883611","18-1883611")</f>
        <v>0</v>
      </c>
      <c r="AD1166" t="s">
        <v>3444</v>
      </c>
      <c r="AE1166" t="s">
        <v>3466</v>
      </c>
      <c r="AF1166" t="s">
        <v>4368</v>
      </c>
      <c r="AG1166" t="s">
        <v>3364</v>
      </c>
      <c r="AH1166" t="s">
        <v>4904</v>
      </c>
      <c r="AK1166" t="s">
        <v>4911</v>
      </c>
      <c r="AL1166" t="s">
        <v>2117</v>
      </c>
      <c r="AN1166" t="s">
        <v>3420</v>
      </c>
    </row>
    <row r="1167" spans="1:41">
      <c r="A1167" s="1" t="s">
        <v>1203</v>
      </c>
      <c r="B1167" t="s">
        <v>2001</v>
      </c>
      <c r="C1167" t="s">
        <v>2001</v>
      </c>
      <c r="D1167" t="s">
        <v>2057</v>
      </c>
      <c r="E1167" t="s">
        <v>2112</v>
      </c>
      <c r="F1167" t="s">
        <v>2117</v>
      </c>
      <c r="G1167" t="s">
        <v>2213</v>
      </c>
      <c r="H1167">
        <v>10457</v>
      </c>
      <c r="J1167">
        <v>3</v>
      </c>
      <c r="K1167">
        <v>2</v>
      </c>
      <c r="L1167" t="s">
        <v>2260</v>
      </c>
      <c r="M1167" t="s">
        <v>2677</v>
      </c>
      <c r="P1167" t="s">
        <v>2948</v>
      </c>
      <c r="Q1167" t="s">
        <v>2113</v>
      </c>
      <c r="R1167" t="s">
        <v>3258</v>
      </c>
      <c r="S1167" t="s">
        <v>3262</v>
      </c>
      <c r="T1167" t="s">
        <v>3296</v>
      </c>
      <c r="U1167" t="s">
        <v>2915</v>
      </c>
      <c r="V1167" t="s">
        <v>3353</v>
      </c>
      <c r="X1167" t="s">
        <v>3354</v>
      </c>
      <c r="Y1167" t="s">
        <v>2678</v>
      </c>
      <c r="Z1167" t="s">
        <v>3355</v>
      </c>
      <c r="AA1167" t="s">
        <v>3406</v>
      </c>
      <c r="AB1167" t="s">
        <v>3410</v>
      </c>
      <c r="AC1167">
        <f>HYPERLINK("https://lsnyc.legalserver.org/matter/dynamic-profile/view/1883676","18-1883676")</f>
        <v>0</v>
      </c>
      <c r="AD1167" t="s">
        <v>3444</v>
      </c>
      <c r="AE1167" t="s">
        <v>3468</v>
      </c>
      <c r="AF1167" t="s">
        <v>4369</v>
      </c>
      <c r="AG1167" t="s">
        <v>3355</v>
      </c>
      <c r="AH1167" t="s">
        <v>4904</v>
      </c>
      <c r="AK1167" t="s">
        <v>4911</v>
      </c>
      <c r="AL1167" t="s">
        <v>2117</v>
      </c>
      <c r="AM1167" t="s">
        <v>3296</v>
      </c>
      <c r="AN1167" t="s">
        <v>3410</v>
      </c>
      <c r="AO1167" t="s">
        <v>3353</v>
      </c>
    </row>
    <row r="1168" spans="1:41">
      <c r="A1168" s="1" t="s">
        <v>1204</v>
      </c>
      <c r="B1168" t="s">
        <v>2016</v>
      </c>
      <c r="C1168" t="s">
        <v>2000</v>
      </c>
      <c r="D1168" t="s">
        <v>2063</v>
      </c>
      <c r="E1168" t="s">
        <v>2112</v>
      </c>
      <c r="F1168" t="s">
        <v>2143</v>
      </c>
      <c r="G1168" t="s">
        <v>2216</v>
      </c>
      <c r="H1168">
        <v>10304</v>
      </c>
      <c r="I1168" t="s">
        <v>2230</v>
      </c>
      <c r="J1168">
        <v>3</v>
      </c>
      <c r="K1168">
        <v>1</v>
      </c>
      <c r="L1168" t="s">
        <v>2469</v>
      </c>
      <c r="M1168" t="s">
        <v>2677</v>
      </c>
      <c r="P1168" t="s">
        <v>2950</v>
      </c>
      <c r="Q1168" t="s">
        <v>2113</v>
      </c>
      <c r="R1168" t="s">
        <v>3258</v>
      </c>
      <c r="S1168" t="s">
        <v>3271</v>
      </c>
      <c r="X1168" t="s">
        <v>3354</v>
      </c>
      <c r="Y1168" t="s">
        <v>2677</v>
      </c>
      <c r="Z1168" t="s">
        <v>3369</v>
      </c>
      <c r="AA1168" t="s">
        <v>3406</v>
      </c>
      <c r="AB1168" t="s">
        <v>3419</v>
      </c>
      <c r="AC1168">
        <f>HYPERLINK("https://lsnyc.legalserver.org/matter/dynamic-profile/view/1881133","18-1881133")</f>
        <v>0</v>
      </c>
      <c r="AD1168" t="s">
        <v>3445</v>
      </c>
      <c r="AE1168" t="s">
        <v>3452</v>
      </c>
      <c r="AF1168" t="s">
        <v>4168</v>
      </c>
      <c r="AG1168" t="s">
        <v>3369</v>
      </c>
      <c r="AH1168" t="s">
        <v>4904</v>
      </c>
      <c r="AK1168" t="s">
        <v>4911</v>
      </c>
      <c r="AL1168" t="s">
        <v>2143</v>
      </c>
      <c r="AN1168" t="s">
        <v>3419</v>
      </c>
    </row>
    <row r="1169" spans="1:41">
      <c r="A1169" s="1" t="s">
        <v>1205</v>
      </c>
      <c r="B1169" t="s">
        <v>2009</v>
      </c>
      <c r="C1169" t="s">
        <v>2001</v>
      </c>
      <c r="D1169" t="s">
        <v>2067</v>
      </c>
      <c r="E1169" t="s">
        <v>2112</v>
      </c>
      <c r="F1169" t="s">
        <v>2117</v>
      </c>
      <c r="G1169" t="s">
        <v>2212</v>
      </c>
      <c r="H1169">
        <v>11432</v>
      </c>
      <c r="I1169" t="s">
        <v>2229</v>
      </c>
      <c r="J1169">
        <v>2</v>
      </c>
      <c r="K1169">
        <v>1</v>
      </c>
      <c r="L1169" t="s">
        <v>2260</v>
      </c>
      <c r="M1169" t="s">
        <v>2677</v>
      </c>
      <c r="P1169" t="s">
        <v>2794</v>
      </c>
      <c r="Q1169" t="s">
        <v>2113</v>
      </c>
      <c r="R1169" t="s">
        <v>3261</v>
      </c>
      <c r="S1169" t="s">
        <v>3283</v>
      </c>
      <c r="T1169" t="s">
        <v>3295</v>
      </c>
      <c r="U1169" t="s">
        <v>2925</v>
      </c>
      <c r="X1169" t="s">
        <v>3354</v>
      </c>
      <c r="Y1169" t="s">
        <v>2678</v>
      </c>
      <c r="Z1169" t="s">
        <v>3359</v>
      </c>
      <c r="AA1169" t="s">
        <v>3409</v>
      </c>
      <c r="AB1169" t="s">
        <v>3431</v>
      </c>
      <c r="AC1169">
        <f>HYPERLINK("https://lsnyc.legalserver.org/matter/dynamic-profile/view/1883486","18-1883486")</f>
        <v>0</v>
      </c>
      <c r="AD1169" t="s">
        <v>3443</v>
      </c>
      <c r="AE1169" t="s">
        <v>3450</v>
      </c>
      <c r="AF1169" t="s">
        <v>4370</v>
      </c>
      <c r="AG1169" t="s">
        <v>3359</v>
      </c>
      <c r="AH1169" t="s">
        <v>3409</v>
      </c>
      <c r="AL1169" t="s">
        <v>2117</v>
      </c>
      <c r="AM1169" t="s">
        <v>3295</v>
      </c>
      <c r="AN1169" t="s">
        <v>3431</v>
      </c>
    </row>
    <row r="1170" spans="1:41">
      <c r="A1170" s="1" t="s">
        <v>1206</v>
      </c>
      <c r="B1170" t="s">
        <v>2000</v>
      </c>
      <c r="C1170" t="s">
        <v>2002</v>
      </c>
      <c r="D1170" t="s">
        <v>2060</v>
      </c>
      <c r="E1170" t="s">
        <v>2112</v>
      </c>
      <c r="F1170" t="s">
        <v>2117</v>
      </c>
      <c r="G1170" t="s">
        <v>2214</v>
      </c>
      <c r="H1170">
        <v>11220</v>
      </c>
      <c r="I1170" t="s">
        <v>2229</v>
      </c>
      <c r="J1170">
        <v>2</v>
      </c>
      <c r="K1170">
        <v>1</v>
      </c>
      <c r="L1170" t="s">
        <v>2260</v>
      </c>
      <c r="M1170" t="s">
        <v>2677</v>
      </c>
      <c r="P1170" t="s">
        <v>2950</v>
      </c>
      <c r="Q1170" t="s">
        <v>2113</v>
      </c>
      <c r="R1170" t="s">
        <v>3259</v>
      </c>
      <c r="S1170" t="s">
        <v>3267</v>
      </c>
      <c r="T1170" t="s">
        <v>3294</v>
      </c>
      <c r="X1170" t="s">
        <v>3354</v>
      </c>
      <c r="Y1170" t="s">
        <v>2678</v>
      </c>
      <c r="Z1170" t="s">
        <v>3359</v>
      </c>
      <c r="AA1170" t="s">
        <v>3406</v>
      </c>
      <c r="AB1170" t="s">
        <v>3415</v>
      </c>
      <c r="AC1170">
        <f>HYPERLINK("https://lsnyc.legalserver.org/matter/dynamic-profile/view/1883522","18-1883522")</f>
        <v>0</v>
      </c>
      <c r="AD1170" t="s">
        <v>3446</v>
      </c>
      <c r="AE1170" t="s">
        <v>3481</v>
      </c>
      <c r="AF1170" t="s">
        <v>4371</v>
      </c>
      <c r="AG1170" t="s">
        <v>3359</v>
      </c>
      <c r="AH1170" t="s">
        <v>4906</v>
      </c>
      <c r="AK1170" t="s">
        <v>4911</v>
      </c>
      <c r="AL1170" t="s">
        <v>2117</v>
      </c>
      <c r="AM1170" t="s">
        <v>3294</v>
      </c>
      <c r="AN1170" t="s">
        <v>3415</v>
      </c>
    </row>
    <row r="1171" spans="1:41">
      <c r="A1171" s="1" t="s">
        <v>1207</v>
      </c>
      <c r="B1171" t="s">
        <v>2009</v>
      </c>
      <c r="C1171" t="s">
        <v>2001</v>
      </c>
      <c r="D1171" t="s">
        <v>2033</v>
      </c>
      <c r="E1171" t="s">
        <v>2111</v>
      </c>
      <c r="F1171" t="s">
        <v>2116</v>
      </c>
      <c r="G1171" t="s">
        <v>2212</v>
      </c>
      <c r="H1171">
        <v>11103</v>
      </c>
      <c r="I1171" t="s">
        <v>2229</v>
      </c>
      <c r="J1171">
        <v>3</v>
      </c>
      <c r="K1171">
        <v>0</v>
      </c>
      <c r="L1171" t="s">
        <v>2283</v>
      </c>
      <c r="M1171" t="s">
        <v>2677</v>
      </c>
      <c r="P1171" t="s">
        <v>2951</v>
      </c>
      <c r="Q1171" t="s">
        <v>2113</v>
      </c>
      <c r="R1171" t="s">
        <v>3259</v>
      </c>
      <c r="S1171" t="s">
        <v>3264</v>
      </c>
      <c r="X1171" t="s">
        <v>3354</v>
      </c>
      <c r="Y1171" t="s">
        <v>2678</v>
      </c>
      <c r="Z1171" t="s">
        <v>3357</v>
      </c>
      <c r="AA1171" t="s">
        <v>3406</v>
      </c>
      <c r="AB1171" t="s">
        <v>3412</v>
      </c>
      <c r="AC1171">
        <f>HYPERLINK("https://lsnyc.legalserver.org/matter/dynamic-profile/view/1883406","18-1883406")</f>
        <v>0</v>
      </c>
      <c r="AD1171" t="s">
        <v>3444</v>
      </c>
      <c r="AE1171" t="s">
        <v>3466</v>
      </c>
      <c r="AF1171" t="s">
        <v>4372</v>
      </c>
      <c r="AG1171" t="s">
        <v>3357</v>
      </c>
      <c r="AH1171" t="s">
        <v>4904</v>
      </c>
      <c r="AK1171" t="s">
        <v>4911</v>
      </c>
      <c r="AL1171" t="s">
        <v>2116</v>
      </c>
      <c r="AN1171" t="s">
        <v>3412</v>
      </c>
    </row>
    <row r="1172" spans="1:41">
      <c r="A1172" s="1" t="s">
        <v>1208</v>
      </c>
      <c r="B1172" t="s">
        <v>2000</v>
      </c>
      <c r="C1172" t="s">
        <v>2002</v>
      </c>
      <c r="D1172" t="s">
        <v>2040</v>
      </c>
      <c r="E1172" t="s">
        <v>2111</v>
      </c>
      <c r="F1172" t="s">
        <v>2115</v>
      </c>
      <c r="G1172" t="s">
        <v>2216</v>
      </c>
      <c r="H1172">
        <v>10303</v>
      </c>
      <c r="I1172" t="s">
        <v>2229</v>
      </c>
      <c r="J1172">
        <v>2</v>
      </c>
      <c r="K1172">
        <v>0</v>
      </c>
      <c r="L1172" t="s">
        <v>2281</v>
      </c>
      <c r="M1172" t="s">
        <v>2677</v>
      </c>
      <c r="P1172" t="s">
        <v>2707</v>
      </c>
      <c r="Q1172" t="s">
        <v>2113</v>
      </c>
      <c r="R1172" t="s">
        <v>3259</v>
      </c>
      <c r="S1172" t="s">
        <v>3267</v>
      </c>
      <c r="T1172" t="s">
        <v>3294</v>
      </c>
      <c r="U1172" t="s">
        <v>2910</v>
      </c>
      <c r="V1172" t="s">
        <v>3353</v>
      </c>
      <c r="X1172" t="s">
        <v>3354</v>
      </c>
      <c r="Y1172" t="s">
        <v>2678</v>
      </c>
      <c r="Z1172" t="s">
        <v>3359</v>
      </c>
      <c r="AA1172" t="s">
        <v>3406</v>
      </c>
      <c r="AB1172" t="s">
        <v>3415</v>
      </c>
      <c r="AC1172">
        <f>HYPERLINK("https://lsnyc.legalserver.org/matter/dynamic-profile/view/1883441","18-1883441")</f>
        <v>0</v>
      </c>
      <c r="AD1172" t="s">
        <v>3447</v>
      </c>
      <c r="AE1172" t="s">
        <v>3459</v>
      </c>
      <c r="AF1172" t="s">
        <v>3938</v>
      </c>
      <c r="AG1172" t="s">
        <v>3359</v>
      </c>
      <c r="AH1172" t="s">
        <v>4906</v>
      </c>
      <c r="AL1172" t="s">
        <v>2115</v>
      </c>
      <c r="AM1172" t="s">
        <v>3294</v>
      </c>
      <c r="AN1172" t="s">
        <v>3415</v>
      </c>
      <c r="AO1172" t="s">
        <v>3353</v>
      </c>
    </row>
    <row r="1173" spans="1:41">
      <c r="A1173" s="1" t="s">
        <v>1209</v>
      </c>
      <c r="B1173" t="s">
        <v>2002</v>
      </c>
      <c r="C1173" t="s">
        <v>2000</v>
      </c>
      <c r="D1173" t="s">
        <v>2029</v>
      </c>
      <c r="E1173" t="s">
        <v>2112</v>
      </c>
      <c r="F1173" t="s">
        <v>2123</v>
      </c>
      <c r="G1173" t="s">
        <v>2214</v>
      </c>
      <c r="H1173">
        <v>11213</v>
      </c>
      <c r="I1173" t="s">
        <v>2229</v>
      </c>
      <c r="J1173">
        <v>4</v>
      </c>
      <c r="K1173">
        <v>3</v>
      </c>
      <c r="L1173" t="s">
        <v>2450</v>
      </c>
      <c r="M1173" t="s">
        <v>2677</v>
      </c>
      <c r="P1173" t="s">
        <v>2951</v>
      </c>
      <c r="Q1173" t="s">
        <v>2113</v>
      </c>
      <c r="R1173" t="s">
        <v>3260</v>
      </c>
      <c r="S1173" t="s">
        <v>3266</v>
      </c>
      <c r="X1173" t="s">
        <v>3354</v>
      </c>
      <c r="Y1173" t="s">
        <v>2677</v>
      </c>
      <c r="AB1173" t="s">
        <v>3414</v>
      </c>
      <c r="AC1173">
        <f>HYPERLINK("https://lsnyc.legalserver.org/matter/dynamic-profile/view/1917913","20-1917913")</f>
        <v>0</v>
      </c>
      <c r="AD1173" t="s">
        <v>3445</v>
      </c>
      <c r="AE1173" t="s">
        <v>3452</v>
      </c>
      <c r="AF1173" t="s">
        <v>4373</v>
      </c>
      <c r="AI1173" t="s">
        <v>4909</v>
      </c>
      <c r="AL1173" t="s">
        <v>2123</v>
      </c>
      <c r="AN1173" t="s">
        <v>3414</v>
      </c>
    </row>
    <row r="1174" spans="1:41">
      <c r="A1174" s="1" t="s">
        <v>1210</v>
      </c>
      <c r="B1174" t="s">
        <v>2001</v>
      </c>
      <c r="C1174" t="s">
        <v>2000</v>
      </c>
      <c r="D1174" t="s">
        <v>2063</v>
      </c>
      <c r="E1174" t="s">
        <v>2111</v>
      </c>
      <c r="F1174" t="s">
        <v>2114</v>
      </c>
      <c r="G1174" t="s">
        <v>2212</v>
      </c>
      <c r="H1174">
        <v>11435</v>
      </c>
      <c r="I1174" t="s">
        <v>2229</v>
      </c>
      <c r="J1174">
        <v>4</v>
      </c>
      <c r="K1174">
        <v>2</v>
      </c>
      <c r="L1174" t="s">
        <v>2361</v>
      </c>
      <c r="M1174" t="s">
        <v>2677</v>
      </c>
      <c r="P1174" t="s">
        <v>2792</v>
      </c>
      <c r="Q1174" t="s">
        <v>2113</v>
      </c>
      <c r="R1174" t="s">
        <v>3259</v>
      </c>
      <c r="S1174" t="s">
        <v>3267</v>
      </c>
      <c r="T1174" t="s">
        <v>3294</v>
      </c>
      <c r="X1174" t="s">
        <v>3354</v>
      </c>
      <c r="Y1174" t="s">
        <v>2678</v>
      </c>
      <c r="Z1174" t="s">
        <v>3380</v>
      </c>
      <c r="AA1174" t="s">
        <v>3406</v>
      </c>
      <c r="AB1174" t="s">
        <v>3415</v>
      </c>
      <c r="AC1174">
        <f>HYPERLINK("https://lsnyc.legalserver.org/matter/dynamic-profile/view/1870885","18-1870885")</f>
        <v>0</v>
      </c>
      <c r="AD1174" t="s">
        <v>3443</v>
      </c>
      <c r="AE1174" t="s">
        <v>3450</v>
      </c>
      <c r="AF1174" t="s">
        <v>4374</v>
      </c>
      <c r="AG1174" t="s">
        <v>3380</v>
      </c>
      <c r="AH1174" t="s">
        <v>4906</v>
      </c>
      <c r="AL1174" t="s">
        <v>2114</v>
      </c>
      <c r="AM1174" t="s">
        <v>3294</v>
      </c>
      <c r="AN1174" t="s">
        <v>3415</v>
      </c>
    </row>
    <row r="1175" spans="1:41">
      <c r="A1175" s="1" t="s">
        <v>1211</v>
      </c>
      <c r="B1175" t="s">
        <v>2001</v>
      </c>
      <c r="C1175" t="s">
        <v>1998</v>
      </c>
      <c r="D1175" t="s">
        <v>2099</v>
      </c>
      <c r="E1175" t="s">
        <v>2112</v>
      </c>
      <c r="F1175" t="s">
        <v>2151</v>
      </c>
      <c r="G1175" t="s">
        <v>2221</v>
      </c>
      <c r="H1175">
        <v>11561</v>
      </c>
      <c r="J1175">
        <v>1</v>
      </c>
      <c r="K1175">
        <v>0</v>
      </c>
      <c r="L1175" t="s">
        <v>2333</v>
      </c>
      <c r="M1175" t="s">
        <v>2677</v>
      </c>
      <c r="P1175" t="s">
        <v>2771</v>
      </c>
      <c r="Q1175" t="s">
        <v>2113</v>
      </c>
      <c r="R1175" t="s">
        <v>3258</v>
      </c>
      <c r="S1175" t="s">
        <v>3273</v>
      </c>
      <c r="X1175" t="s">
        <v>3354</v>
      </c>
      <c r="Y1175" t="s">
        <v>2678</v>
      </c>
      <c r="Z1175" t="s">
        <v>3365</v>
      </c>
      <c r="AA1175" t="s">
        <v>3406</v>
      </c>
      <c r="AB1175" t="s">
        <v>3421</v>
      </c>
      <c r="AC1175">
        <f>HYPERLINK("https://lsnyc.legalserver.org/matter/dynamic-profile/view/1874751","18-1874751")</f>
        <v>0</v>
      </c>
      <c r="AD1175" t="s">
        <v>3443</v>
      </c>
      <c r="AE1175" t="s">
        <v>3449</v>
      </c>
      <c r="AF1175" t="s">
        <v>4375</v>
      </c>
      <c r="AG1175" t="s">
        <v>3365</v>
      </c>
      <c r="AH1175" t="s">
        <v>4904</v>
      </c>
      <c r="AL1175" t="s">
        <v>2151</v>
      </c>
      <c r="AN1175" t="s">
        <v>3421</v>
      </c>
    </row>
    <row r="1176" spans="1:41">
      <c r="A1176" s="1" t="s">
        <v>1212</v>
      </c>
      <c r="B1176" t="s">
        <v>1998</v>
      </c>
      <c r="C1176" t="s">
        <v>1998</v>
      </c>
      <c r="D1176" t="s">
        <v>2104</v>
      </c>
      <c r="E1176" t="s">
        <v>2112</v>
      </c>
      <c r="F1176" t="s">
        <v>2123</v>
      </c>
      <c r="G1176" t="s">
        <v>2211</v>
      </c>
      <c r="H1176">
        <v>10009</v>
      </c>
      <c r="I1176" t="s">
        <v>2229</v>
      </c>
      <c r="J1176">
        <v>2</v>
      </c>
      <c r="K1176">
        <v>0</v>
      </c>
      <c r="L1176" t="s">
        <v>2510</v>
      </c>
      <c r="M1176" t="s">
        <v>2677</v>
      </c>
      <c r="P1176" t="s">
        <v>2952</v>
      </c>
      <c r="Q1176" t="s">
        <v>2113</v>
      </c>
      <c r="R1176" t="s">
        <v>3258</v>
      </c>
      <c r="S1176" t="s">
        <v>3271</v>
      </c>
      <c r="X1176" t="s">
        <v>3354</v>
      </c>
      <c r="Y1176" t="s">
        <v>2677</v>
      </c>
      <c r="Z1176" t="s">
        <v>3362</v>
      </c>
      <c r="AA1176" t="s">
        <v>3406</v>
      </c>
      <c r="AB1176" t="s">
        <v>3419</v>
      </c>
      <c r="AC1176">
        <f>HYPERLINK("https://lsnyc.legalserver.org/matter/dynamic-profile/view/1883242","18-1883242")</f>
        <v>0</v>
      </c>
      <c r="AD1176" t="s">
        <v>3445</v>
      </c>
      <c r="AE1176" t="s">
        <v>3452</v>
      </c>
      <c r="AF1176" t="s">
        <v>4376</v>
      </c>
      <c r="AG1176" t="s">
        <v>3362</v>
      </c>
      <c r="AH1176" t="s">
        <v>4904</v>
      </c>
      <c r="AK1176" t="s">
        <v>4911</v>
      </c>
      <c r="AL1176" t="s">
        <v>2123</v>
      </c>
      <c r="AN1176" t="s">
        <v>3419</v>
      </c>
    </row>
    <row r="1177" spans="1:41">
      <c r="A1177" s="1" t="s">
        <v>1213</v>
      </c>
      <c r="B1177" t="s">
        <v>2000</v>
      </c>
      <c r="C1177" t="s">
        <v>2001</v>
      </c>
      <c r="D1177" t="s">
        <v>2057</v>
      </c>
      <c r="E1177" t="s">
        <v>2111</v>
      </c>
      <c r="F1177" t="s">
        <v>2155</v>
      </c>
      <c r="G1177" t="s">
        <v>2211</v>
      </c>
      <c r="H1177">
        <v>10002</v>
      </c>
      <c r="I1177" t="s">
        <v>2230</v>
      </c>
      <c r="J1177">
        <v>1</v>
      </c>
      <c r="K1177">
        <v>0</v>
      </c>
      <c r="L1177" t="s">
        <v>2446</v>
      </c>
      <c r="M1177" t="s">
        <v>2677</v>
      </c>
      <c r="P1177" t="s">
        <v>2787</v>
      </c>
      <c r="Q1177" t="s">
        <v>2113</v>
      </c>
      <c r="R1177" t="s">
        <v>3259</v>
      </c>
      <c r="S1177" t="s">
        <v>3267</v>
      </c>
      <c r="T1177" t="s">
        <v>3294</v>
      </c>
      <c r="U1177" t="s">
        <v>2925</v>
      </c>
      <c r="X1177" t="s">
        <v>3354</v>
      </c>
      <c r="Y1177" t="s">
        <v>2678</v>
      </c>
      <c r="Z1177" t="s">
        <v>3380</v>
      </c>
      <c r="AA1177" t="s">
        <v>3406</v>
      </c>
      <c r="AB1177" t="s">
        <v>3415</v>
      </c>
      <c r="AC1177">
        <f>HYPERLINK("https://lsnyc.legalserver.org/matter/dynamic-profile/view/1883274","18-1883274")</f>
        <v>0</v>
      </c>
      <c r="AD1177" t="s">
        <v>3442</v>
      </c>
      <c r="AE1177" t="s">
        <v>3470</v>
      </c>
      <c r="AF1177" t="s">
        <v>4343</v>
      </c>
      <c r="AG1177" t="s">
        <v>3380</v>
      </c>
      <c r="AH1177" t="s">
        <v>4906</v>
      </c>
      <c r="AL1177" t="s">
        <v>2155</v>
      </c>
      <c r="AM1177" t="s">
        <v>3294</v>
      </c>
      <c r="AN1177" t="s">
        <v>3415</v>
      </c>
    </row>
    <row r="1178" spans="1:41">
      <c r="A1178" s="1" t="s">
        <v>1214</v>
      </c>
      <c r="B1178" t="s">
        <v>2004</v>
      </c>
      <c r="C1178" t="s">
        <v>1998</v>
      </c>
      <c r="D1178" t="s">
        <v>2033</v>
      </c>
      <c r="E1178" t="s">
        <v>2111</v>
      </c>
      <c r="F1178" t="s">
        <v>2138</v>
      </c>
      <c r="G1178" t="s">
        <v>2211</v>
      </c>
      <c r="H1178">
        <v>10002</v>
      </c>
      <c r="I1178" t="s">
        <v>2238</v>
      </c>
      <c r="J1178">
        <v>1</v>
      </c>
      <c r="K1178">
        <v>0</v>
      </c>
      <c r="L1178" t="s">
        <v>2285</v>
      </c>
      <c r="M1178" t="s">
        <v>2677</v>
      </c>
      <c r="P1178" t="s">
        <v>2775</v>
      </c>
      <c r="Q1178" t="s">
        <v>2113</v>
      </c>
      <c r="R1178" t="s">
        <v>3259</v>
      </c>
      <c r="S1178" t="s">
        <v>3264</v>
      </c>
      <c r="X1178" t="s">
        <v>3354</v>
      </c>
      <c r="Y1178" t="s">
        <v>2678</v>
      </c>
      <c r="Z1178" t="s">
        <v>3357</v>
      </c>
      <c r="AA1178" t="s">
        <v>3406</v>
      </c>
      <c r="AB1178" t="s">
        <v>3412</v>
      </c>
      <c r="AC1178">
        <f>HYPERLINK("https://lsnyc.legalserver.org/matter/dynamic-profile/view/1883292","18-1883292")</f>
        <v>0</v>
      </c>
      <c r="AD1178" t="s">
        <v>3442</v>
      </c>
      <c r="AE1178" t="s">
        <v>3470</v>
      </c>
      <c r="AF1178" t="s">
        <v>4377</v>
      </c>
      <c r="AG1178" t="s">
        <v>3357</v>
      </c>
      <c r="AH1178" t="s">
        <v>4904</v>
      </c>
      <c r="AL1178" t="s">
        <v>2138</v>
      </c>
      <c r="AN1178" t="s">
        <v>3412</v>
      </c>
    </row>
    <row r="1179" spans="1:41">
      <c r="A1179" s="1" t="s">
        <v>1215</v>
      </c>
      <c r="B1179" t="s">
        <v>2016</v>
      </c>
      <c r="C1179" t="s">
        <v>2004</v>
      </c>
      <c r="D1179" t="s">
        <v>2067</v>
      </c>
      <c r="E1179" t="s">
        <v>2112</v>
      </c>
      <c r="F1179" t="s">
        <v>2117</v>
      </c>
      <c r="G1179" t="s">
        <v>2213</v>
      </c>
      <c r="H1179">
        <v>10457</v>
      </c>
      <c r="I1179" t="s">
        <v>2229</v>
      </c>
      <c r="J1179">
        <v>2</v>
      </c>
      <c r="K1179">
        <v>1</v>
      </c>
      <c r="L1179" t="s">
        <v>2363</v>
      </c>
      <c r="M1179" t="s">
        <v>2677</v>
      </c>
      <c r="P1179" t="s">
        <v>2952</v>
      </c>
      <c r="Q1179" t="s">
        <v>2113</v>
      </c>
      <c r="R1179" t="s">
        <v>3259</v>
      </c>
      <c r="S1179" t="s">
        <v>3272</v>
      </c>
      <c r="X1179" t="s">
        <v>3354</v>
      </c>
      <c r="Y1179" t="s">
        <v>2678</v>
      </c>
      <c r="Z1179" t="s">
        <v>3364</v>
      </c>
      <c r="AA1179" t="s">
        <v>3406</v>
      </c>
      <c r="AB1179" t="s">
        <v>3420</v>
      </c>
      <c r="AC1179">
        <f>HYPERLINK("https://lsnyc.legalserver.org/matter/dynamic-profile/view/1883293","18-1883293")</f>
        <v>0</v>
      </c>
      <c r="AD1179" t="s">
        <v>3444</v>
      </c>
      <c r="AE1179" t="s">
        <v>3466</v>
      </c>
      <c r="AF1179" t="s">
        <v>3774</v>
      </c>
      <c r="AG1179" t="s">
        <v>3364</v>
      </c>
      <c r="AH1179" t="s">
        <v>4904</v>
      </c>
      <c r="AK1179" t="s">
        <v>4911</v>
      </c>
      <c r="AL1179" t="s">
        <v>2117</v>
      </c>
      <c r="AN1179" t="s">
        <v>3420</v>
      </c>
    </row>
    <row r="1180" spans="1:41">
      <c r="A1180" s="1" t="s">
        <v>1216</v>
      </c>
      <c r="B1180" t="s">
        <v>1998</v>
      </c>
      <c r="C1180" t="s">
        <v>1998</v>
      </c>
      <c r="D1180" t="s">
        <v>2062</v>
      </c>
      <c r="E1180" t="s">
        <v>2112</v>
      </c>
      <c r="F1180" t="s">
        <v>2147</v>
      </c>
      <c r="G1180" t="s">
        <v>2212</v>
      </c>
      <c r="H1180">
        <v>11418</v>
      </c>
      <c r="I1180" t="s">
        <v>2230</v>
      </c>
      <c r="J1180">
        <v>5</v>
      </c>
      <c r="K1180">
        <v>3</v>
      </c>
      <c r="L1180" t="s">
        <v>2420</v>
      </c>
      <c r="M1180" t="s">
        <v>2677</v>
      </c>
      <c r="P1180" t="s">
        <v>2952</v>
      </c>
      <c r="Q1180" t="s">
        <v>3255</v>
      </c>
      <c r="R1180" t="s">
        <v>3258</v>
      </c>
      <c r="S1180" t="s">
        <v>3273</v>
      </c>
      <c r="X1180" t="s">
        <v>3354</v>
      </c>
      <c r="Y1180" t="s">
        <v>2678</v>
      </c>
      <c r="Z1180" t="s">
        <v>3370</v>
      </c>
      <c r="AA1180" t="s">
        <v>3406</v>
      </c>
      <c r="AB1180" t="s">
        <v>3421</v>
      </c>
      <c r="AC1180">
        <f>HYPERLINK("https://lsnyc.legalserver.org/matter/dynamic-profile/view/1883358","18-1883358")</f>
        <v>0</v>
      </c>
      <c r="AD1180" t="s">
        <v>3443</v>
      </c>
      <c r="AE1180" t="s">
        <v>3477</v>
      </c>
      <c r="AF1180" t="s">
        <v>4378</v>
      </c>
      <c r="AG1180" t="s">
        <v>3370</v>
      </c>
      <c r="AH1180" t="s">
        <v>4904</v>
      </c>
      <c r="AI1180" t="s">
        <v>4909</v>
      </c>
      <c r="AK1180" t="s">
        <v>4911</v>
      </c>
      <c r="AL1180" t="s">
        <v>2147</v>
      </c>
      <c r="AN1180" t="s">
        <v>3421</v>
      </c>
    </row>
    <row r="1181" spans="1:41">
      <c r="A1181" s="1" t="s">
        <v>1217</v>
      </c>
      <c r="B1181" t="s">
        <v>1998</v>
      </c>
      <c r="C1181" t="s">
        <v>2012</v>
      </c>
      <c r="D1181" t="s">
        <v>2031</v>
      </c>
      <c r="E1181" t="s">
        <v>2112</v>
      </c>
      <c r="F1181" t="s">
        <v>2116</v>
      </c>
      <c r="G1181" t="s">
        <v>2216</v>
      </c>
      <c r="H1181">
        <v>10302</v>
      </c>
      <c r="I1181" t="s">
        <v>2229</v>
      </c>
      <c r="J1181">
        <v>6</v>
      </c>
      <c r="K1181">
        <v>5</v>
      </c>
      <c r="L1181" t="s">
        <v>2511</v>
      </c>
      <c r="M1181" t="s">
        <v>2677</v>
      </c>
      <c r="P1181" t="s">
        <v>2953</v>
      </c>
      <c r="Q1181" t="s">
        <v>2113</v>
      </c>
      <c r="R1181" t="s">
        <v>3259</v>
      </c>
      <c r="S1181" t="s">
        <v>3276</v>
      </c>
      <c r="T1181" t="s">
        <v>3294</v>
      </c>
      <c r="U1181" t="s">
        <v>2930</v>
      </c>
      <c r="X1181" t="s">
        <v>3354</v>
      </c>
      <c r="Y1181" t="s">
        <v>2678</v>
      </c>
      <c r="Z1181" t="s">
        <v>3373</v>
      </c>
      <c r="AA1181" t="s">
        <v>3406</v>
      </c>
      <c r="AB1181" t="s">
        <v>3424</v>
      </c>
      <c r="AC1181">
        <f>HYPERLINK("https://lsnyc.legalserver.org/matter/dynamic-profile/view/1883324","18-1883324")</f>
        <v>0</v>
      </c>
      <c r="AD1181" t="s">
        <v>3447</v>
      </c>
      <c r="AE1181" t="s">
        <v>3459</v>
      </c>
      <c r="AF1181" t="s">
        <v>4379</v>
      </c>
      <c r="AG1181" t="s">
        <v>3373</v>
      </c>
      <c r="AH1181" t="s">
        <v>4904</v>
      </c>
      <c r="AK1181" t="s">
        <v>4911</v>
      </c>
      <c r="AL1181" t="s">
        <v>2116</v>
      </c>
      <c r="AM1181" t="s">
        <v>3294</v>
      </c>
      <c r="AN1181" t="s">
        <v>3424</v>
      </c>
    </row>
    <row r="1182" spans="1:41">
      <c r="A1182" s="1" t="s">
        <v>1218</v>
      </c>
      <c r="B1182" t="s">
        <v>1998</v>
      </c>
      <c r="C1182" t="s">
        <v>2004</v>
      </c>
      <c r="D1182" t="s">
        <v>2051</v>
      </c>
      <c r="E1182" t="s">
        <v>2112</v>
      </c>
      <c r="F1182" t="s">
        <v>2117</v>
      </c>
      <c r="G1182" t="s">
        <v>2213</v>
      </c>
      <c r="H1182">
        <v>10451</v>
      </c>
      <c r="I1182" t="s">
        <v>2229</v>
      </c>
      <c r="J1182">
        <v>4</v>
      </c>
      <c r="K1182">
        <v>3</v>
      </c>
      <c r="L1182" t="s">
        <v>2381</v>
      </c>
      <c r="M1182" t="s">
        <v>2677</v>
      </c>
      <c r="P1182" t="s">
        <v>2954</v>
      </c>
      <c r="Q1182" t="s">
        <v>2113</v>
      </c>
      <c r="R1182" t="s">
        <v>3259</v>
      </c>
      <c r="S1182" t="s">
        <v>3267</v>
      </c>
      <c r="X1182" t="s">
        <v>3354</v>
      </c>
      <c r="Y1182" t="s">
        <v>2678</v>
      </c>
      <c r="Z1182" t="s">
        <v>3380</v>
      </c>
      <c r="AA1182" t="s">
        <v>3406</v>
      </c>
      <c r="AB1182" t="s">
        <v>3415</v>
      </c>
      <c r="AC1182">
        <f>HYPERLINK("https://lsnyc.legalserver.org/matter/dynamic-profile/view/1882795","18-1882795")</f>
        <v>0</v>
      </c>
      <c r="AD1182" t="s">
        <v>3444</v>
      </c>
      <c r="AE1182" t="s">
        <v>3466</v>
      </c>
      <c r="AF1182" t="s">
        <v>3853</v>
      </c>
      <c r="AG1182" t="s">
        <v>3380</v>
      </c>
      <c r="AH1182" t="s">
        <v>4906</v>
      </c>
      <c r="AK1182" t="s">
        <v>4911</v>
      </c>
      <c r="AL1182" t="s">
        <v>2117</v>
      </c>
      <c r="AN1182" t="s">
        <v>3415</v>
      </c>
    </row>
    <row r="1183" spans="1:41">
      <c r="A1183" s="1" t="s">
        <v>1219</v>
      </c>
      <c r="B1183" t="s">
        <v>2009</v>
      </c>
      <c r="C1183" t="s">
        <v>2001</v>
      </c>
      <c r="D1183" t="s">
        <v>2091</v>
      </c>
      <c r="E1183" t="s">
        <v>2111</v>
      </c>
      <c r="F1183" t="s">
        <v>2114</v>
      </c>
      <c r="G1183" t="s">
        <v>2211</v>
      </c>
      <c r="H1183">
        <v>10031</v>
      </c>
      <c r="I1183" t="s">
        <v>2229</v>
      </c>
      <c r="J1183">
        <v>2</v>
      </c>
      <c r="K1183">
        <v>1</v>
      </c>
      <c r="L1183" t="s">
        <v>2385</v>
      </c>
      <c r="M1183" t="s">
        <v>2677</v>
      </c>
      <c r="P1183" t="s">
        <v>2748</v>
      </c>
      <c r="Q1183" t="s">
        <v>2113</v>
      </c>
      <c r="R1183" t="s">
        <v>3259</v>
      </c>
      <c r="S1183" t="s">
        <v>3267</v>
      </c>
      <c r="T1183" t="s">
        <v>3298</v>
      </c>
      <c r="U1183" t="s">
        <v>2713</v>
      </c>
      <c r="X1183" t="s">
        <v>3354</v>
      </c>
      <c r="Y1183" t="s">
        <v>2678</v>
      </c>
      <c r="Z1183" t="s">
        <v>3359</v>
      </c>
      <c r="AA1183" t="s">
        <v>3406</v>
      </c>
      <c r="AB1183" t="s">
        <v>3415</v>
      </c>
      <c r="AC1183">
        <f>HYPERLINK("https://lsnyc.legalserver.org/matter/dynamic-profile/view/1882871","18-1882871")</f>
        <v>0</v>
      </c>
      <c r="AD1183" t="s">
        <v>3442</v>
      </c>
      <c r="AE1183" t="s">
        <v>3448</v>
      </c>
      <c r="AF1183" t="s">
        <v>4380</v>
      </c>
      <c r="AG1183" t="s">
        <v>3359</v>
      </c>
      <c r="AH1183" t="s">
        <v>4906</v>
      </c>
      <c r="AL1183" t="s">
        <v>2114</v>
      </c>
      <c r="AM1183" t="s">
        <v>3298</v>
      </c>
      <c r="AN1183" t="s">
        <v>3415</v>
      </c>
    </row>
    <row r="1184" spans="1:41">
      <c r="A1184" s="1" t="s">
        <v>1220</v>
      </c>
      <c r="B1184" t="s">
        <v>2016</v>
      </c>
      <c r="C1184" t="s">
        <v>2000</v>
      </c>
      <c r="D1184" t="s">
        <v>2077</v>
      </c>
      <c r="E1184" t="s">
        <v>2111</v>
      </c>
      <c r="F1184" t="s">
        <v>2117</v>
      </c>
      <c r="G1184" t="s">
        <v>2212</v>
      </c>
      <c r="H1184">
        <v>11421</v>
      </c>
      <c r="I1184" t="s">
        <v>2229</v>
      </c>
      <c r="J1184">
        <v>2</v>
      </c>
      <c r="K1184">
        <v>0</v>
      </c>
      <c r="L1184" t="s">
        <v>2306</v>
      </c>
      <c r="M1184" t="s">
        <v>2677</v>
      </c>
      <c r="P1184" t="s">
        <v>2955</v>
      </c>
      <c r="Q1184" t="s">
        <v>2113</v>
      </c>
      <c r="R1184" t="s">
        <v>3258</v>
      </c>
      <c r="S1184" t="s">
        <v>3271</v>
      </c>
      <c r="X1184" t="s">
        <v>3354</v>
      </c>
      <c r="Y1184" t="s">
        <v>2678</v>
      </c>
      <c r="Z1184" t="s">
        <v>3362</v>
      </c>
      <c r="AA1184" t="s">
        <v>3406</v>
      </c>
      <c r="AB1184" t="s">
        <v>3419</v>
      </c>
      <c r="AC1184">
        <f>HYPERLINK("https://lsnyc.legalserver.org/matter/dynamic-profile/view/1882482","18-1882482")</f>
        <v>0</v>
      </c>
      <c r="AD1184" t="s">
        <v>3443</v>
      </c>
      <c r="AE1184" t="s">
        <v>3477</v>
      </c>
      <c r="AF1184" t="s">
        <v>4381</v>
      </c>
      <c r="AG1184" t="s">
        <v>3362</v>
      </c>
      <c r="AH1184" t="s">
        <v>4904</v>
      </c>
      <c r="AK1184" t="s">
        <v>4911</v>
      </c>
      <c r="AL1184" t="s">
        <v>2117</v>
      </c>
      <c r="AN1184" t="s">
        <v>3419</v>
      </c>
    </row>
    <row r="1185" spans="1:40">
      <c r="A1185" s="1" t="s">
        <v>1221</v>
      </c>
      <c r="B1185" t="s">
        <v>2002</v>
      </c>
      <c r="C1185" t="s">
        <v>2016</v>
      </c>
      <c r="D1185" t="s">
        <v>2041</v>
      </c>
      <c r="E1185" t="s">
        <v>2112</v>
      </c>
      <c r="F1185" t="s">
        <v>2123</v>
      </c>
      <c r="G1185" t="s">
        <v>2211</v>
      </c>
      <c r="H1185">
        <v>10009</v>
      </c>
      <c r="I1185" t="s">
        <v>2229</v>
      </c>
      <c r="J1185">
        <v>3</v>
      </c>
      <c r="K1185">
        <v>0</v>
      </c>
      <c r="L1185" t="s">
        <v>2422</v>
      </c>
      <c r="M1185" t="s">
        <v>2677</v>
      </c>
      <c r="P1185" t="s">
        <v>2955</v>
      </c>
      <c r="Q1185" t="s">
        <v>2113</v>
      </c>
      <c r="R1185" t="s">
        <v>3258</v>
      </c>
      <c r="S1185" t="s">
        <v>3271</v>
      </c>
      <c r="T1185" t="s">
        <v>3294</v>
      </c>
      <c r="U1185" t="s">
        <v>2901</v>
      </c>
      <c r="X1185" t="s">
        <v>3354</v>
      </c>
      <c r="Y1185" t="s">
        <v>2677</v>
      </c>
      <c r="Z1185" t="s">
        <v>3362</v>
      </c>
      <c r="AA1185" t="s">
        <v>3406</v>
      </c>
      <c r="AB1185" t="s">
        <v>3419</v>
      </c>
      <c r="AC1185">
        <f>HYPERLINK("https://lsnyc.legalserver.org/matter/dynamic-profile/view/1882594","18-1882594")</f>
        <v>0</v>
      </c>
      <c r="AD1185" t="s">
        <v>3445</v>
      </c>
      <c r="AE1185" t="s">
        <v>3455</v>
      </c>
      <c r="AF1185" t="s">
        <v>4216</v>
      </c>
      <c r="AG1185" t="s">
        <v>3362</v>
      </c>
      <c r="AH1185" t="s">
        <v>4904</v>
      </c>
      <c r="AK1185" t="s">
        <v>4911</v>
      </c>
      <c r="AL1185" t="s">
        <v>2123</v>
      </c>
      <c r="AM1185" t="s">
        <v>3294</v>
      </c>
      <c r="AN1185" t="s">
        <v>3419</v>
      </c>
    </row>
    <row r="1186" spans="1:40">
      <c r="A1186" s="1" t="s">
        <v>1222</v>
      </c>
      <c r="B1186" t="s">
        <v>2001</v>
      </c>
      <c r="C1186" t="s">
        <v>2001</v>
      </c>
      <c r="D1186" t="s">
        <v>2096</v>
      </c>
      <c r="E1186" t="s">
        <v>2112</v>
      </c>
      <c r="F1186" t="s">
        <v>2123</v>
      </c>
      <c r="G1186" t="s">
        <v>2211</v>
      </c>
      <c r="H1186">
        <v>10002</v>
      </c>
      <c r="I1186" t="s">
        <v>2229</v>
      </c>
      <c r="J1186">
        <v>6</v>
      </c>
      <c r="K1186">
        <v>3</v>
      </c>
      <c r="L1186" t="s">
        <v>2512</v>
      </c>
      <c r="M1186" t="s">
        <v>2677</v>
      </c>
      <c r="P1186" t="s">
        <v>2955</v>
      </c>
      <c r="Q1186" t="s">
        <v>2113</v>
      </c>
      <c r="R1186" t="s">
        <v>3258</v>
      </c>
      <c r="S1186" t="s">
        <v>3271</v>
      </c>
      <c r="X1186" t="s">
        <v>3354</v>
      </c>
      <c r="Y1186" t="s">
        <v>2677</v>
      </c>
      <c r="Z1186" t="s">
        <v>3362</v>
      </c>
      <c r="AA1186" t="s">
        <v>3406</v>
      </c>
      <c r="AB1186" t="s">
        <v>3419</v>
      </c>
      <c r="AC1186">
        <f>HYPERLINK("https://lsnyc.legalserver.org/matter/dynamic-profile/view/1882613","18-1882613")</f>
        <v>0</v>
      </c>
      <c r="AD1186" t="s">
        <v>3445</v>
      </c>
      <c r="AE1186" t="s">
        <v>3455</v>
      </c>
      <c r="AF1186" t="s">
        <v>4382</v>
      </c>
      <c r="AG1186" t="s">
        <v>3362</v>
      </c>
      <c r="AH1186" t="s">
        <v>4904</v>
      </c>
      <c r="AK1186" t="s">
        <v>4911</v>
      </c>
      <c r="AL1186" t="s">
        <v>2123</v>
      </c>
      <c r="AN1186" t="s">
        <v>3419</v>
      </c>
    </row>
    <row r="1187" spans="1:40">
      <c r="A1187" s="1" t="s">
        <v>1223</v>
      </c>
      <c r="B1187" t="s">
        <v>2015</v>
      </c>
      <c r="C1187" t="s">
        <v>2012</v>
      </c>
      <c r="D1187" t="s">
        <v>2076</v>
      </c>
      <c r="E1187" t="s">
        <v>2111</v>
      </c>
      <c r="F1187" t="s">
        <v>2180</v>
      </c>
      <c r="G1187" t="s">
        <v>2212</v>
      </c>
      <c r="H1187">
        <v>11385</v>
      </c>
      <c r="I1187" t="s">
        <v>2232</v>
      </c>
      <c r="J1187">
        <v>1</v>
      </c>
      <c r="K1187">
        <v>0</v>
      </c>
      <c r="L1187" t="s">
        <v>2277</v>
      </c>
      <c r="M1187" t="s">
        <v>2677</v>
      </c>
      <c r="P1187" t="s">
        <v>2955</v>
      </c>
      <c r="Q1187" t="s">
        <v>2113</v>
      </c>
      <c r="R1187" t="s">
        <v>3259</v>
      </c>
      <c r="S1187" t="s">
        <v>3268</v>
      </c>
      <c r="X1187" t="s">
        <v>3354</v>
      </c>
      <c r="Y1187" t="s">
        <v>2677</v>
      </c>
      <c r="Z1187" t="s">
        <v>3368</v>
      </c>
      <c r="AA1187" t="s">
        <v>3406</v>
      </c>
      <c r="AB1187" t="s">
        <v>3416</v>
      </c>
      <c r="AC1187">
        <f>HYPERLINK("https://lsnyc.legalserver.org/matter/dynamic-profile/view/1882683","18-1882683")</f>
        <v>0</v>
      </c>
      <c r="AD1187" t="s">
        <v>3445</v>
      </c>
      <c r="AE1187" t="s">
        <v>3455</v>
      </c>
      <c r="AF1187" t="s">
        <v>4383</v>
      </c>
      <c r="AG1187" t="s">
        <v>3368</v>
      </c>
      <c r="AH1187" t="s">
        <v>4904</v>
      </c>
      <c r="AK1187" t="s">
        <v>4911</v>
      </c>
      <c r="AL1187" t="s">
        <v>2180</v>
      </c>
      <c r="AN1187" t="s">
        <v>3416</v>
      </c>
    </row>
    <row r="1188" spans="1:40">
      <c r="A1188" s="1" t="s">
        <v>1224</v>
      </c>
      <c r="B1188" t="s">
        <v>2016</v>
      </c>
      <c r="C1188" t="s">
        <v>2002</v>
      </c>
      <c r="D1188" t="s">
        <v>2066</v>
      </c>
      <c r="E1188" t="s">
        <v>2112</v>
      </c>
      <c r="F1188" t="s">
        <v>2173</v>
      </c>
      <c r="G1188" t="s">
        <v>2212</v>
      </c>
      <c r="H1188">
        <v>11365</v>
      </c>
      <c r="I1188" t="s">
        <v>2246</v>
      </c>
      <c r="J1188">
        <v>3</v>
      </c>
      <c r="K1188">
        <v>1</v>
      </c>
      <c r="L1188" t="s">
        <v>2260</v>
      </c>
      <c r="M1188" t="s">
        <v>2677</v>
      </c>
      <c r="P1188" t="s">
        <v>2955</v>
      </c>
      <c r="Q1188" t="s">
        <v>2113</v>
      </c>
      <c r="R1188" t="s">
        <v>3258</v>
      </c>
      <c r="S1188" t="s">
        <v>3271</v>
      </c>
      <c r="X1188" t="s">
        <v>3354</v>
      </c>
      <c r="Y1188" t="s">
        <v>2678</v>
      </c>
      <c r="Z1188" t="s">
        <v>3362</v>
      </c>
      <c r="AA1188" t="s">
        <v>3406</v>
      </c>
      <c r="AB1188" t="s">
        <v>3419</v>
      </c>
      <c r="AC1188">
        <f>HYPERLINK("https://lsnyc.legalserver.org/matter/dynamic-profile/view/1882749","18-1882749")</f>
        <v>0</v>
      </c>
      <c r="AD1188" t="s">
        <v>3443</v>
      </c>
      <c r="AE1188" t="s">
        <v>3477</v>
      </c>
      <c r="AF1188" t="s">
        <v>4384</v>
      </c>
      <c r="AG1188" t="s">
        <v>3362</v>
      </c>
      <c r="AH1188" t="s">
        <v>4904</v>
      </c>
      <c r="AK1188" t="s">
        <v>4911</v>
      </c>
      <c r="AL1188" t="s">
        <v>2173</v>
      </c>
      <c r="AN1188" t="s">
        <v>3419</v>
      </c>
    </row>
    <row r="1189" spans="1:40">
      <c r="A1189" s="1" t="s">
        <v>1225</v>
      </c>
      <c r="B1189" t="s">
        <v>2002</v>
      </c>
      <c r="C1189" t="s">
        <v>2004</v>
      </c>
      <c r="D1189" t="s">
        <v>2096</v>
      </c>
      <c r="E1189" t="s">
        <v>2112</v>
      </c>
      <c r="F1189" t="s">
        <v>2193</v>
      </c>
      <c r="G1189" t="s">
        <v>2214</v>
      </c>
      <c r="H1189">
        <v>11236</v>
      </c>
      <c r="I1189" t="s">
        <v>2230</v>
      </c>
      <c r="J1189">
        <v>2</v>
      </c>
      <c r="K1189">
        <v>1</v>
      </c>
      <c r="L1189" t="s">
        <v>2262</v>
      </c>
      <c r="M1189" t="s">
        <v>2677</v>
      </c>
      <c r="P1189" t="s">
        <v>2956</v>
      </c>
      <c r="Q1189" t="s">
        <v>2113</v>
      </c>
      <c r="R1189" t="s">
        <v>3258</v>
      </c>
      <c r="S1189" t="s">
        <v>3271</v>
      </c>
      <c r="X1189" t="s">
        <v>3354</v>
      </c>
      <c r="Y1189" t="s">
        <v>2677</v>
      </c>
      <c r="Z1189" t="s">
        <v>3362</v>
      </c>
      <c r="AA1189" t="s">
        <v>3406</v>
      </c>
      <c r="AB1189" t="s">
        <v>3419</v>
      </c>
      <c r="AC1189">
        <f>HYPERLINK("https://lsnyc.legalserver.org/matter/dynamic-profile/view/1882460","18-1882460")</f>
        <v>0</v>
      </c>
      <c r="AD1189" t="s">
        <v>3445</v>
      </c>
      <c r="AE1189" t="s">
        <v>3455</v>
      </c>
      <c r="AF1189" t="s">
        <v>4385</v>
      </c>
      <c r="AG1189" t="s">
        <v>3362</v>
      </c>
      <c r="AH1189" t="s">
        <v>4904</v>
      </c>
      <c r="AK1189" t="s">
        <v>4911</v>
      </c>
      <c r="AL1189" t="s">
        <v>2193</v>
      </c>
      <c r="AN1189" t="s">
        <v>3419</v>
      </c>
    </row>
    <row r="1190" spans="1:40">
      <c r="A1190" s="1" t="s">
        <v>1226</v>
      </c>
      <c r="B1190" t="s">
        <v>2001</v>
      </c>
      <c r="C1190" t="s">
        <v>2000</v>
      </c>
      <c r="D1190" t="s">
        <v>2052</v>
      </c>
      <c r="E1190" t="s">
        <v>2111</v>
      </c>
      <c r="F1190" t="s">
        <v>2117</v>
      </c>
      <c r="G1190" t="s">
        <v>2216</v>
      </c>
      <c r="H1190">
        <v>10301</v>
      </c>
      <c r="I1190" t="s">
        <v>2229</v>
      </c>
      <c r="J1190">
        <v>4</v>
      </c>
      <c r="K1190">
        <v>1</v>
      </c>
      <c r="L1190" t="s">
        <v>2260</v>
      </c>
      <c r="M1190" t="s">
        <v>2677</v>
      </c>
      <c r="P1190" t="s">
        <v>2956</v>
      </c>
      <c r="Q1190" t="s">
        <v>3255</v>
      </c>
      <c r="R1190" t="s">
        <v>3259</v>
      </c>
      <c r="S1190" t="s">
        <v>3267</v>
      </c>
      <c r="X1190" t="s">
        <v>3354</v>
      </c>
      <c r="Y1190" t="s">
        <v>2678</v>
      </c>
      <c r="Z1190" t="s">
        <v>3359</v>
      </c>
      <c r="AA1190" t="s">
        <v>3406</v>
      </c>
      <c r="AB1190" t="s">
        <v>3415</v>
      </c>
      <c r="AC1190">
        <f>HYPERLINK("https://lsnyc.legalserver.org/matter/dynamic-profile/view/1882467","18-1882467")</f>
        <v>0</v>
      </c>
      <c r="AD1190" t="s">
        <v>3447</v>
      </c>
      <c r="AE1190" t="s">
        <v>3463</v>
      </c>
      <c r="AF1190" t="s">
        <v>4386</v>
      </c>
      <c r="AG1190" t="s">
        <v>3359</v>
      </c>
      <c r="AH1190" t="s">
        <v>4906</v>
      </c>
      <c r="AK1190" t="s">
        <v>4911</v>
      </c>
      <c r="AL1190" t="s">
        <v>2117</v>
      </c>
      <c r="AN1190" t="s">
        <v>3415</v>
      </c>
    </row>
    <row r="1191" spans="1:40">
      <c r="A1191" s="1" t="s">
        <v>1227</v>
      </c>
      <c r="B1191" t="s">
        <v>2001</v>
      </c>
      <c r="C1191" t="s">
        <v>2001</v>
      </c>
      <c r="D1191" t="s">
        <v>2038</v>
      </c>
      <c r="E1191" t="s">
        <v>2112</v>
      </c>
      <c r="F1191" t="s">
        <v>2117</v>
      </c>
      <c r="G1191" t="s">
        <v>2225</v>
      </c>
      <c r="H1191">
        <v>12401</v>
      </c>
      <c r="I1191" t="s">
        <v>2229</v>
      </c>
      <c r="J1191">
        <v>4</v>
      </c>
      <c r="K1191">
        <v>2</v>
      </c>
      <c r="L1191" t="s">
        <v>2358</v>
      </c>
      <c r="M1191" t="s">
        <v>2677</v>
      </c>
      <c r="P1191" t="s">
        <v>2956</v>
      </c>
      <c r="Q1191" t="s">
        <v>2113</v>
      </c>
      <c r="R1191" t="s">
        <v>3259</v>
      </c>
      <c r="S1191" t="s">
        <v>3267</v>
      </c>
      <c r="X1191" t="s">
        <v>3354</v>
      </c>
      <c r="Y1191" t="s">
        <v>2677</v>
      </c>
      <c r="Z1191" t="s">
        <v>3359</v>
      </c>
      <c r="AA1191" t="s">
        <v>3406</v>
      </c>
      <c r="AB1191" t="s">
        <v>3415</v>
      </c>
      <c r="AC1191">
        <f>HYPERLINK("https://lsnyc.legalserver.org/matter/dynamic-profile/view/1882472","18-1882472")</f>
        <v>0</v>
      </c>
      <c r="AD1191" t="s">
        <v>3445</v>
      </c>
      <c r="AE1191" t="s">
        <v>3455</v>
      </c>
      <c r="AF1191" t="s">
        <v>4387</v>
      </c>
      <c r="AG1191" t="s">
        <v>3359</v>
      </c>
      <c r="AH1191" t="s">
        <v>4906</v>
      </c>
      <c r="AK1191" t="s">
        <v>4911</v>
      </c>
      <c r="AL1191" t="s">
        <v>2117</v>
      </c>
      <c r="AN1191" t="s">
        <v>3415</v>
      </c>
    </row>
    <row r="1192" spans="1:40">
      <c r="A1192" s="1" t="s">
        <v>1228</v>
      </c>
      <c r="B1192" t="s">
        <v>2016</v>
      </c>
      <c r="C1192" t="s">
        <v>2012</v>
      </c>
      <c r="D1192" t="s">
        <v>2053</v>
      </c>
      <c r="E1192" t="s">
        <v>2112</v>
      </c>
      <c r="F1192" t="s">
        <v>2117</v>
      </c>
      <c r="G1192" t="s">
        <v>2225</v>
      </c>
      <c r="H1192">
        <v>12401</v>
      </c>
      <c r="J1192">
        <v>4</v>
      </c>
      <c r="K1192">
        <v>2</v>
      </c>
      <c r="L1192" t="s">
        <v>2358</v>
      </c>
      <c r="M1192" t="s">
        <v>2677</v>
      </c>
      <c r="P1192" t="s">
        <v>2956</v>
      </c>
      <c r="Q1192" t="s">
        <v>2113</v>
      </c>
      <c r="R1192" t="s">
        <v>3259</v>
      </c>
      <c r="S1192" t="s">
        <v>3267</v>
      </c>
      <c r="X1192" t="s">
        <v>3354</v>
      </c>
      <c r="Y1192" t="s">
        <v>2677</v>
      </c>
      <c r="Z1192" t="s">
        <v>3359</v>
      </c>
      <c r="AA1192" t="s">
        <v>3406</v>
      </c>
      <c r="AB1192" t="s">
        <v>3415</v>
      </c>
      <c r="AC1192">
        <f>HYPERLINK("https://lsnyc.legalserver.org/matter/dynamic-profile/view/1882479","18-1882479")</f>
        <v>0</v>
      </c>
      <c r="AD1192" t="s">
        <v>3445</v>
      </c>
      <c r="AE1192" t="s">
        <v>3455</v>
      </c>
      <c r="AF1192" t="s">
        <v>4388</v>
      </c>
      <c r="AG1192" t="s">
        <v>3359</v>
      </c>
      <c r="AH1192" t="s">
        <v>4906</v>
      </c>
      <c r="AI1192" t="s">
        <v>4909</v>
      </c>
      <c r="AK1192" t="s">
        <v>4911</v>
      </c>
      <c r="AL1192" t="s">
        <v>2117</v>
      </c>
      <c r="AN1192" t="s">
        <v>3415</v>
      </c>
    </row>
    <row r="1193" spans="1:40">
      <c r="A1193" s="1" t="s">
        <v>1229</v>
      </c>
      <c r="B1193" t="s">
        <v>2000</v>
      </c>
      <c r="C1193" t="s">
        <v>2016</v>
      </c>
      <c r="D1193" t="s">
        <v>2099</v>
      </c>
      <c r="E1193" t="s">
        <v>2111</v>
      </c>
      <c r="F1193" t="s">
        <v>2123</v>
      </c>
      <c r="G1193" t="s">
        <v>2213</v>
      </c>
      <c r="H1193">
        <v>10458</v>
      </c>
      <c r="I1193" t="s">
        <v>2229</v>
      </c>
      <c r="J1193">
        <v>2</v>
      </c>
      <c r="K1193">
        <v>0</v>
      </c>
      <c r="L1193" t="s">
        <v>2316</v>
      </c>
      <c r="M1193" t="s">
        <v>2677</v>
      </c>
      <c r="P1193" t="s">
        <v>2957</v>
      </c>
      <c r="Q1193" t="s">
        <v>2113</v>
      </c>
      <c r="R1193" t="s">
        <v>3259</v>
      </c>
      <c r="S1193" t="s">
        <v>3270</v>
      </c>
      <c r="X1193" t="s">
        <v>3354</v>
      </c>
      <c r="Y1193" t="s">
        <v>2677</v>
      </c>
      <c r="Z1193" t="s">
        <v>3357</v>
      </c>
      <c r="AA1193" t="s">
        <v>3406</v>
      </c>
      <c r="AB1193" t="s">
        <v>3418</v>
      </c>
      <c r="AC1193">
        <f>HYPERLINK("https://lsnyc.legalserver.org/matter/dynamic-profile/view/1882258","18-1882258")</f>
        <v>0</v>
      </c>
      <c r="AD1193" t="s">
        <v>3445</v>
      </c>
      <c r="AE1193" t="s">
        <v>3452</v>
      </c>
      <c r="AF1193" t="s">
        <v>4389</v>
      </c>
      <c r="AG1193" t="s">
        <v>3357</v>
      </c>
      <c r="AH1193" t="s">
        <v>4904</v>
      </c>
      <c r="AL1193" t="s">
        <v>2123</v>
      </c>
      <c r="AN1193" t="s">
        <v>3418</v>
      </c>
    </row>
    <row r="1194" spans="1:40">
      <c r="A1194" s="1" t="s">
        <v>1230</v>
      </c>
      <c r="B1194" t="s">
        <v>2012</v>
      </c>
      <c r="C1194" t="s">
        <v>1998</v>
      </c>
      <c r="D1194" t="s">
        <v>2036</v>
      </c>
      <c r="E1194" t="s">
        <v>2112</v>
      </c>
      <c r="F1194" t="s">
        <v>2117</v>
      </c>
      <c r="G1194" t="s">
        <v>2216</v>
      </c>
      <c r="H1194">
        <v>10304</v>
      </c>
      <c r="I1194" t="s">
        <v>2229</v>
      </c>
      <c r="J1194">
        <v>2</v>
      </c>
      <c r="K1194">
        <v>1</v>
      </c>
      <c r="L1194" t="s">
        <v>2260</v>
      </c>
      <c r="M1194" t="s">
        <v>2677</v>
      </c>
      <c r="P1194" t="s">
        <v>2957</v>
      </c>
      <c r="Q1194" t="s">
        <v>2113</v>
      </c>
      <c r="R1194" t="s">
        <v>3259</v>
      </c>
      <c r="S1194" t="s">
        <v>3267</v>
      </c>
      <c r="T1194" t="s">
        <v>3294</v>
      </c>
      <c r="U1194" t="s">
        <v>2956</v>
      </c>
      <c r="X1194" t="s">
        <v>3354</v>
      </c>
      <c r="Y1194" t="s">
        <v>2678</v>
      </c>
      <c r="Z1194" t="s">
        <v>3359</v>
      </c>
      <c r="AA1194" t="s">
        <v>3406</v>
      </c>
      <c r="AB1194" t="s">
        <v>3415</v>
      </c>
      <c r="AC1194">
        <f>HYPERLINK("https://lsnyc.legalserver.org/matter/dynamic-profile/view/1882305","18-1882305")</f>
        <v>0</v>
      </c>
      <c r="AD1194" t="s">
        <v>3447</v>
      </c>
      <c r="AE1194" t="s">
        <v>3459</v>
      </c>
      <c r="AF1194" t="s">
        <v>4390</v>
      </c>
      <c r="AG1194" t="s">
        <v>3359</v>
      </c>
      <c r="AH1194" t="s">
        <v>4906</v>
      </c>
      <c r="AK1194" t="s">
        <v>4911</v>
      </c>
      <c r="AL1194" t="s">
        <v>2117</v>
      </c>
      <c r="AM1194" t="s">
        <v>3294</v>
      </c>
      <c r="AN1194" t="s">
        <v>3415</v>
      </c>
    </row>
    <row r="1195" spans="1:40">
      <c r="A1195" s="1" t="s">
        <v>1231</v>
      </c>
      <c r="B1195" t="s">
        <v>2000</v>
      </c>
      <c r="C1195" t="s">
        <v>2012</v>
      </c>
      <c r="D1195" t="s">
        <v>2068</v>
      </c>
      <c r="E1195" t="s">
        <v>2112</v>
      </c>
      <c r="F1195" t="s">
        <v>2156</v>
      </c>
      <c r="G1195" t="s">
        <v>2211</v>
      </c>
      <c r="H1195">
        <v>10001</v>
      </c>
      <c r="I1195" t="s">
        <v>2230</v>
      </c>
      <c r="J1195">
        <v>2</v>
      </c>
      <c r="K1195">
        <v>1</v>
      </c>
      <c r="L1195" t="s">
        <v>2266</v>
      </c>
      <c r="M1195" t="s">
        <v>2677</v>
      </c>
      <c r="P1195" t="s">
        <v>2958</v>
      </c>
      <c r="Q1195" t="s">
        <v>2113</v>
      </c>
      <c r="R1195" t="s">
        <v>3258</v>
      </c>
      <c r="S1195" t="s">
        <v>3271</v>
      </c>
      <c r="X1195" t="s">
        <v>3354</v>
      </c>
      <c r="Y1195" t="s">
        <v>2677</v>
      </c>
      <c r="Z1195" t="s">
        <v>3362</v>
      </c>
      <c r="AA1195" t="s">
        <v>3406</v>
      </c>
      <c r="AB1195" t="s">
        <v>3419</v>
      </c>
      <c r="AC1195">
        <f>HYPERLINK("https://lsnyc.legalserver.org/matter/dynamic-profile/view/1882114","18-1882114")</f>
        <v>0</v>
      </c>
      <c r="AD1195" t="s">
        <v>3445</v>
      </c>
      <c r="AE1195" t="s">
        <v>3452</v>
      </c>
      <c r="AF1195" t="s">
        <v>4034</v>
      </c>
      <c r="AG1195" t="s">
        <v>3362</v>
      </c>
      <c r="AH1195" t="s">
        <v>4904</v>
      </c>
      <c r="AK1195" t="s">
        <v>4911</v>
      </c>
      <c r="AL1195" t="s">
        <v>2156</v>
      </c>
      <c r="AN1195" t="s">
        <v>3419</v>
      </c>
    </row>
    <row r="1196" spans="1:40">
      <c r="A1196" s="1" t="s">
        <v>1232</v>
      </c>
      <c r="B1196" t="s">
        <v>2016</v>
      </c>
      <c r="C1196" t="s">
        <v>2016</v>
      </c>
      <c r="D1196" t="s">
        <v>2028</v>
      </c>
      <c r="E1196" t="s">
        <v>2111</v>
      </c>
      <c r="F1196" t="s">
        <v>2194</v>
      </c>
      <c r="G1196" t="s">
        <v>2213</v>
      </c>
      <c r="H1196">
        <v>10456</v>
      </c>
      <c r="I1196" t="s">
        <v>2234</v>
      </c>
      <c r="J1196">
        <v>2</v>
      </c>
      <c r="K1196">
        <v>1</v>
      </c>
      <c r="L1196" t="s">
        <v>2513</v>
      </c>
      <c r="M1196" t="s">
        <v>2677</v>
      </c>
      <c r="P1196" t="s">
        <v>2756</v>
      </c>
      <c r="Q1196" t="s">
        <v>2113</v>
      </c>
      <c r="R1196" t="s">
        <v>3258</v>
      </c>
      <c r="S1196" t="s">
        <v>3273</v>
      </c>
      <c r="T1196" t="s">
        <v>3294</v>
      </c>
      <c r="U1196" t="s">
        <v>3315</v>
      </c>
      <c r="X1196" t="s">
        <v>3354</v>
      </c>
      <c r="Y1196" t="s">
        <v>2678</v>
      </c>
      <c r="Z1196" t="s">
        <v>3370</v>
      </c>
      <c r="AA1196" t="s">
        <v>3406</v>
      </c>
      <c r="AB1196" t="s">
        <v>3421</v>
      </c>
      <c r="AC1196">
        <f>HYPERLINK("https://lsnyc.legalserver.org/matter/dynamic-profile/view/1882150","18-1882150")</f>
        <v>0</v>
      </c>
      <c r="AD1196" t="s">
        <v>3442</v>
      </c>
      <c r="AE1196" t="s">
        <v>3460</v>
      </c>
      <c r="AF1196" t="s">
        <v>4391</v>
      </c>
      <c r="AG1196" t="s">
        <v>3370</v>
      </c>
      <c r="AH1196" t="s">
        <v>4904</v>
      </c>
      <c r="AL1196" t="s">
        <v>2194</v>
      </c>
      <c r="AM1196" t="s">
        <v>3294</v>
      </c>
      <c r="AN1196" t="s">
        <v>3421</v>
      </c>
    </row>
    <row r="1197" spans="1:40">
      <c r="A1197" s="1" t="s">
        <v>1233</v>
      </c>
      <c r="B1197" t="s">
        <v>2016</v>
      </c>
      <c r="C1197" t="s">
        <v>2016</v>
      </c>
      <c r="D1197" t="s">
        <v>2028</v>
      </c>
      <c r="E1197" t="s">
        <v>2111</v>
      </c>
      <c r="F1197" t="s">
        <v>2194</v>
      </c>
      <c r="G1197" t="s">
        <v>2213</v>
      </c>
      <c r="H1197">
        <v>10456</v>
      </c>
      <c r="I1197" t="s">
        <v>2234</v>
      </c>
      <c r="J1197">
        <v>2</v>
      </c>
      <c r="K1197">
        <v>1</v>
      </c>
      <c r="L1197" t="s">
        <v>2513</v>
      </c>
      <c r="M1197" t="s">
        <v>2677</v>
      </c>
      <c r="P1197" t="s">
        <v>2751</v>
      </c>
      <c r="Q1197" t="s">
        <v>2113</v>
      </c>
      <c r="R1197" t="s">
        <v>3258</v>
      </c>
      <c r="S1197" t="s">
        <v>3273</v>
      </c>
      <c r="T1197" t="s">
        <v>3294</v>
      </c>
      <c r="U1197" t="s">
        <v>3315</v>
      </c>
      <c r="X1197" t="s">
        <v>3354</v>
      </c>
      <c r="Y1197" t="s">
        <v>2678</v>
      </c>
      <c r="Z1197" t="s">
        <v>3370</v>
      </c>
      <c r="AA1197" t="s">
        <v>3406</v>
      </c>
      <c r="AB1197" t="s">
        <v>3421</v>
      </c>
      <c r="AC1197">
        <f>HYPERLINK("https://lsnyc.legalserver.org/matter/dynamic-profile/view/1882167","18-1882167")</f>
        <v>0</v>
      </c>
      <c r="AD1197" t="s">
        <v>3442</v>
      </c>
      <c r="AE1197" t="s">
        <v>3460</v>
      </c>
      <c r="AF1197" t="s">
        <v>4392</v>
      </c>
      <c r="AG1197" t="s">
        <v>3370</v>
      </c>
      <c r="AH1197" t="s">
        <v>4904</v>
      </c>
      <c r="AL1197" t="s">
        <v>2194</v>
      </c>
      <c r="AM1197" t="s">
        <v>3294</v>
      </c>
      <c r="AN1197" t="s">
        <v>3421</v>
      </c>
    </row>
    <row r="1198" spans="1:40">
      <c r="A1198" s="1" t="s">
        <v>1234</v>
      </c>
      <c r="B1198" t="s">
        <v>2016</v>
      </c>
      <c r="C1198" t="s">
        <v>2016</v>
      </c>
      <c r="D1198" t="s">
        <v>2028</v>
      </c>
      <c r="E1198" t="s">
        <v>2111</v>
      </c>
      <c r="F1198" t="s">
        <v>2194</v>
      </c>
      <c r="G1198" t="s">
        <v>2213</v>
      </c>
      <c r="H1198">
        <v>10456</v>
      </c>
      <c r="I1198" t="s">
        <v>2234</v>
      </c>
      <c r="J1198">
        <v>2</v>
      </c>
      <c r="K1198">
        <v>1</v>
      </c>
      <c r="L1198" t="s">
        <v>2513</v>
      </c>
      <c r="M1198" t="s">
        <v>2677</v>
      </c>
      <c r="P1198" t="s">
        <v>2958</v>
      </c>
      <c r="Q1198" t="s">
        <v>2113</v>
      </c>
      <c r="R1198" t="s">
        <v>3258</v>
      </c>
      <c r="S1198" t="s">
        <v>3273</v>
      </c>
      <c r="T1198" t="s">
        <v>3294</v>
      </c>
      <c r="U1198" t="s">
        <v>3315</v>
      </c>
      <c r="X1198" t="s">
        <v>3354</v>
      </c>
      <c r="Y1198" t="s">
        <v>2678</v>
      </c>
      <c r="Z1198" t="s">
        <v>3370</v>
      </c>
      <c r="AA1198" t="s">
        <v>3406</v>
      </c>
      <c r="AB1198" t="s">
        <v>3421</v>
      </c>
      <c r="AC1198">
        <f>HYPERLINK("https://lsnyc.legalserver.org/matter/dynamic-profile/view/1882168","18-1882168")</f>
        <v>0</v>
      </c>
      <c r="AD1198" t="s">
        <v>3442</v>
      </c>
      <c r="AE1198" t="s">
        <v>3460</v>
      </c>
      <c r="AF1198" t="s">
        <v>4393</v>
      </c>
      <c r="AG1198" t="s">
        <v>3370</v>
      </c>
      <c r="AH1198" t="s">
        <v>4904</v>
      </c>
      <c r="AK1198" t="s">
        <v>4911</v>
      </c>
      <c r="AL1198" t="s">
        <v>2194</v>
      </c>
      <c r="AM1198" t="s">
        <v>3294</v>
      </c>
      <c r="AN1198" t="s">
        <v>3421</v>
      </c>
    </row>
    <row r="1199" spans="1:40">
      <c r="A1199" s="1" t="s">
        <v>1235</v>
      </c>
      <c r="B1199" t="s">
        <v>2000</v>
      </c>
      <c r="C1199" t="s">
        <v>2002</v>
      </c>
      <c r="D1199" t="s">
        <v>2080</v>
      </c>
      <c r="E1199" t="s">
        <v>2112</v>
      </c>
      <c r="F1199" t="s">
        <v>2115</v>
      </c>
      <c r="G1199" t="s">
        <v>2212</v>
      </c>
      <c r="H1199">
        <v>11368</v>
      </c>
      <c r="I1199" t="s">
        <v>2229</v>
      </c>
      <c r="J1199">
        <v>4</v>
      </c>
      <c r="K1199">
        <v>3</v>
      </c>
      <c r="L1199" t="s">
        <v>2260</v>
      </c>
      <c r="M1199" t="s">
        <v>2677</v>
      </c>
      <c r="P1199" t="s">
        <v>2959</v>
      </c>
      <c r="Q1199" t="s">
        <v>2113</v>
      </c>
      <c r="R1199" t="s">
        <v>3259</v>
      </c>
      <c r="S1199" t="s">
        <v>3264</v>
      </c>
      <c r="X1199" t="s">
        <v>3354</v>
      </c>
      <c r="Y1199" t="s">
        <v>2677</v>
      </c>
      <c r="Z1199" t="s">
        <v>3357</v>
      </c>
      <c r="AA1199" t="s">
        <v>3406</v>
      </c>
      <c r="AB1199" t="s">
        <v>3412</v>
      </c>
      <c r="AC1199">
        <f>HYPERLINK("https://lsnyc.legalserver.org/matter/dynamic-profile/view/1882040","18-1882040")</f>
        <v>0</v>
      </c>
      <c r="AD1199" t="s">
        <v>3445</v>
      </c>
      <c r="AE1199" t="s">
        <v>3455</v>
      </c>
      <c r="AF1199" t="s">
        <v>4394</v>
      </c>
      <c r="AG1199" t="s">
        <v>3357</v>
      </c>
      <c r="AH1199" t="s">
        <v>4904</v>
      </c>
      <c r="AK1199" t="s">
        <v>4911</v>
      </c>
      <c r="AL1199" t="s">
        <v>2115</v>
      </c>
      <c r="AN1199" t="s">
        <v>3412</v>
      </c>
    </row>
    <row r="1200" spans="1:40">
      <c r="A1200" s="1" t="s">
        <v>1236</v>
      </c>
      <c r="B1200" t="s">
        <v>2016</v>
      </c>
      <c r="C1200" t="s">
        <v>2000</v>
      </c>
      <c r="D1200" t="s">
        <v>2105</v>
      </c>
      <c r="E1200" t="s">
        <v>2111</v>
      </c>
      <c r="F1200" t="s">
        <v>2120</v>
      </c>
      <c r="G1200" t="s">
        <v>2211</v>
      </c>
      <c r="H1200">
        <v>10029</v>
      </c>
      <c r="I1200" t="s">
        <v>2230</v>
      </c>
      <c r="J1200">
        <v>2</v>
      </c>
      <c r="K1200">
        <v>0</v>
      </c>
      <c r="L1200" t="s">
        <v>2514</v>
      </c>
      <c r="M1200" t="s">
        <v>2677</v>
      </c>
      <c r="P1200" t="s">
        <v>2959</v>
      </c>
      <c r="Q1200" t="s">
        <v>2113</v>
      </c>
      <c r="R1200" t="s">
        <v>3258</v>
      </c>
      <c r="S1200" t="s">
        <v>3269</v>
      </c>
      <c r="T1200" t="s">
        <v>3294</v>
      </c>
      <c r="U1200" t="s">
        <v>2893</v>
      </c>
      <c r="X1200" t="s">
        <v>3354</v>
      </c>
      <c r="Y1200" t="s">
        <v>2678</v>
      </c>
      <c r="Z1200" t="s">
        <v>3361</v>
      </c>
      <c r="AA1200" t="s">
        <v>3406</v>
      </c>
      <c r="AB1200" t="s">
        <v>3417</v>
      </c>
      <c r="AC1200">
        <f>HYPERLINK("https://lsnyc.legalserver.org/matter/dynamic-profile/view/1882046","18-1882046")</f>
        <v>0</v>
      </c>
      <c r="AD1200" t="s">
        <v>3442</v>
      </c>
      <c r="AE1200" t="s">
        <v>3460</v>
      </c>
      <c r="AF1200" t="s">
        <v>4395</v>
      </c>
      <c r="AG1200" t="s">
        <v>3361</v>
      </c>
      <c r="AH1200" t="s">
        <v>4904</v>
      </c>
      <c r="AL1200" t="s">
        <v>2120</v>
      </c>
      <c r="AM1200" t="s">
        <v>3294</v>
      </c>
      <c r="AN1200" t="s">
        <v>3417</v>
      </c>
    </row>
    <row r="1201" spans="1:41">
      <c r="A1201" s="1" t="s">
        <v>1237</v>
      </c>
      <c r="B1201" t="s">
        <v>2016</v>
      </c>
      <c r="C1201" t="s">
        <v>2000</v>
      </c>
      <c r="D1201" t="s">
        <v>2105</v>
      </c>
      <c r="E1201" t="s">
        <v>2111</v>
      </c>
      <c r="F1201" t="s">
        <v>2120</v>
      </c>
      <c r="G1201" t="s">
        <v>2211</v>
      </c>
      <c r="H1201">
        <v>10029</v>
      </c>
      <c r="I1201" t="s">
        <v>2230</v>
      </c>
      <c r="J1201">
        <v>2</v>
      </c>
      <c r="K1201">
        <v>0</v>
      </c>
      <c r="L1201" t="s">
        <v>2514</v>
      </c>
      <c r="M1201" t="s">
        <v>2677</v>
      </c>
      <c r="P1201" t="s">
        <v>2959</v>
      </c>
      <c r="Q1201" t="s">
        <v>2113</v>
      </c>
      <c r="R1201" t="s">
        <v>3258</v>
      </c>
      <c r="S1201" t="s">
        <v>3262</v>
      </c>
      <c r="T1201" t="s">
        <v>3294</v>
      </c>
      <c r="U1201" t="s">
        <v>2893</v>
      </c>
      <c r="X1201" t="s">
        <v>3354</v>
      </c>
      <c r="Y1201" t="s">
        <v>2678</v>
      </c>
      <c r="Z1201" t="s">
        <v>3355</v>
      </c>
      <c r="AA1201" t="s">
        <v>3406</v>
      </c>
      <c r="AB1201" t="s">
        <v>3410</v>
      </c>
      <c r="AC1201">
        <f>HYPERLINK("https://lsnyc.legalserver.org/matter/dynamic-profile/view/1882049","18-1882049")</f>
        <v>0</v>
      </c>
      <c r="AD1201" t="s">
        <v>3442</v>
      </c>
      <c r="AE1201" t="s">
        <v>3460</v>
      </c>
      <c r="AF1201" t="s">
        <v>4395</v>
      </c>
      <c r="AG1201" t="s">
        <v>3355</v>
      </c>
      <c r="AH1201" t="s">
        <v>4904</v>
      </c>
      <c r="AL1201" t="s">
        <v>2120</v>
      </c>
      <c r="AM1201" t="s">
        <v>3294</v>
      </c>
      <c r="AN1201" t="s">
        <v>3410</v>
      </c>
    </row>
    <row r="1202" spans="1:41">
      <c r="A1202" s="1" t="s">
        <v>1238</v>
      </c>
      <c r="B1202" t="s">
        <v>2016</v>
      </c>
      <c r="C1202" t="s">
        <v>2000</v>
      </c>
      <c r="D1202" t="s">
        <v>2105</v>
      </c>
      <c r="E1202" t="s">
        <v>2111</v>
      </c>
      <c r="F1202" t="s">
        <v>2120</v>
      </c>
      <c r="G1202" t="s">
        <v>2211</v>
      </c>
      <c r="H1202">
        <v>10029</v>
      </c>
      <c r="I1202" t="s">
        <v>2230</v>
      </c>
      <c r="J1202">
        <v>2</v>
      </c>
      <c r="K1202">
        <v>0</v>
      </c>
      <c r="L1202" t="s">
        <v>2514</v>
      </c>
      <c r="M1202" t="s">
        <v>2677</v>
      </c>
      <c r="P1202" t="s">
        <v>2959</v>
      </c>
      <c r="Q1202" t="s">
        <v>2113</v>
      </c>
      <c r="R1202" t="s">
        <v>3258</v>
      </c>
      <c r="S1202" t="s">
        <v>3273</v>
      </c>
      <c r="T1202" t="s">
        <v>3294</v>
      </c>
      <c r="U1202" t="s">
        <v>2893</v>
      </c>
      <c r="X1202" t="s">
        <v>3354</v>
      </c>
      <c r="Y1202" t="s">
        <v>2678</v>
      </c>
      <c r="Z1202" t="s">
        <v>3395</v>
      </c>
      <c r="AA1202" t="s">
        <v>3406</v>
      </c>
      <c r="AB1202" t="s">
        <v>3421</v>
      </c>
      <c r="AC1202">
        <f>HYPERLINK("https://lsnyc.legalserver.org/matter/dynamic-profile/view/1882050","18-1882050")</f>
        <v>0</v>
      </c>
      <c r="AD1202" t="s">
        <v>3442</v>
      </c>
      <c r="AE1202" t="s">
        <v>3460</v>
      </c>
      <c r="AF1202" t="s">
        <v>4395</v>
      </c>
      <c r="AG1202" t="s">
        <v>3395</v>
      </c>
      <c r="AH1202" t="s">
        <v>4904</v>
      </c>
      <c r="AK1202" t="s">
        <v>4911</v>
      </c>
      <c r="AL1202" t="s">
        <v>2120</v>
      </c>
      <c r="AM1202" t="s">
        <v>3294</v>
      </c>
      <c r="AN1202" t="s">
        <v>3421</v>
      </c>
    </row>
    <row r="1203" spans="1:41">
      <c r="A1203" s="1" t="s">
        <v>1239</v>
      </c>
      <c r="B1203" t="s">
        <v>1998</v>
      </c>
      <c r="C1203" t="s">
        <v>1998</v>
      </c>
      <c r="D1203" t="s">
        <v>2081</v>
      </c>
      <c r="E1203" t="s">
        <v>2112</v>
      </c>
      <c r="F1203" t="s">
        <v>2135</v>
      </c>
      <c r="G1203" t="s">
        <v>2213</v>
      </c>
      <c r="H1203">
        <v>10452</v>
      </c>
      <c r="I1203" t="s">
        <v>2229</v>
      </c>
      <c r="J1203">
        <v>3</v>
      </c>
      <c r="K1203">
        <v>2</v>
      </c>
      <c r="L1203" t="s">
        <v>2273</v>
      </c>
      <c r="M1203" t="s">
        <v>2677</v>
      </c>
      <c r="P1203" t="s">
        <v>2960</v>
      </c>
      <c r="Q1203" t="s">
        <v>2113</v>
      </c>
      <c r="R1203" t="s">
        <v>3259</v>
      </c>
      <c r="S1203" t="s">
        <v>3264</v>
      </c>
      <c r="X1203" t="s">
        <v>3354</v>
      </c>
      <c r="Y1203" t="s">
        <v>2677</v>
      </c>
      <c r="Z1203" t="s">
        <v>3357</v>
      </c>
      <c r="AA1203" t="s">
        <v>3406</v>
      </c>
      <c r="AB1203" t="s">
        <v>3412</v>
      </c>
      <c r="AC1203">
        <f>HYPERLINK("https://lsnyc.legalserver.org/matter/dynamic-profile/view/1881709","18-1881709")</f>
        <v>0</v>
      </c>
      <c r="AD1203" t="s">
        <v>3445</v>
      </c>
      <c r="AE1203" t="s">
        <v>3455</v>
      </c>
      <c r="AF1203" t="s">
        <v>4358</v>
      </c>
      <c r="AG1203" t="s">
        <v>3357</v>
      </c>
      <c r="AH1203" t="s">
        <v>4904</v>
      </c>
      <c r="AK1203" t="s">
        <v>4911</v>
      </c>
      <c r="AL1203" t="s">
        <v>2135</v>
      </c>
      <c r="AN1203" t="s">
        <v>3412</v>
      </c>
    </row>
    <row r="1204" spans="1:41">
      <c r="A1204" s="1" t="s">
        <v>1240</v>
      </c>
      <c r="B1204" t="s">
        <v>2001</v>
      </c>
      <c r="C1204" t="s">
        <v>2001</v>
      </c>
      <c r="D1204" t="s">
        <v>2076</v>
      </c>
      <c r="E1204" t="s">
        <v>2112</v>
      </c>
      <c r="F1204" t="s">
        <v>2116</v>
      </c>
      <c r="G1204" t="s">
        <v>2212</v>
      </c>
      <c r="H1204">
        <v>11372</v>
      </c>
      <c r="I1204" t="s">
        <v>2229</v>
      </c>
      <c r="J1204">
        <v>5</v>
      </c>
      <c r="K1204">
        <v>4</v>
      </c>
      <c r="L1204" t="s">
        <v>2275</v>
      </c>
      <c r="M1204" t="s">
        <v>2677</v>
      </c>
      <c r="P1204" t="s">
        <v>2960</v>
      </c>
      <c r="Q1204" t="s">
        <v>2113</v>
      </c>
      <c r="R1204" t="s">
        <v>3259</v>
      </c>
      <c r="S1204" t="s">
        <v>3264</v>
      </c>
      <c r="X1204" t="s">
        <v>3354</v>
      </c>
      <c r="Y1204" t="s">
        <v>2677</v>
      </c>
      <c r="Z1204" t="s">
        <v>3357</v>
      </c>
      <c r="AA1204" t="s">
        <v>3406</v>
      </c>
      <c r="AB1204" t="s">
        <v>3412</v>
      </c>
      <c r="AC1204">
        <f>HYPERLINK("https://lsnyc.legalserver.org/matter/dynamic-profile/view/1881742","18-1881742")</f>
        <v>0</v>
      </c>
      <c r="AD1204" t="s">
        <v>3445</v>
      </c>
      <c r="AE1204" t="s">
        <v>3455</v>
      </c>
      <c r="AF1204" t="s">
        <v>4047</v>
      </c>
      <c r="AG1204" t="s">
        <v>3357</v>
      </c>
      <c r="AH1204" t="s">
        <v>4904</v>
      </c>
      <c r="AK1204" t="s">
        <v>4911</v>
      </c>
      <c r="AL1204" t="s">
        <v>2116</v>
      </c>
      <c r="AN1204" t="s">
        <v>3412</v>
      </c>
    </row>
    <row r="1205" spans="1:41">
      <c r="A1205" s="1" t="s">
        <v>1241</v>
      </c>
      <c r="B1205" t="s">
        <v>2001</v>
      </c>
      <c r="C1205" t="s">
        <v>1999</v>
      </c>
      <c r="D1205" t="s">
        <v>2091</v>
      </c>
      <c r="E1205" t="s">
        <v>2112</v>
      </c>
      <c r="F1205" t="s">
        <v>2156</v>
      </c>
      <c r="G1205" t="s">
        <v>2216</v>
      </c>
      <c r="H1205">
        <v>10303</v>
      </c>
      <c r="I1205" t="s">
        <v>2230</v>
      </c>
      <c r="J1205">
        <v>6</v>
      </c>
      <c r="K1205">
        <v>4</v>
      </c>
      <c r="L1205" t="s">
        <v>2436</v>
      </c>
      <c r="M1205" t="s">
        <v>2677</v>
      </c>
      <c r="P1205" t="s">
        <v>2960</v>
      </c>
      <c r="Q1205" t="s">
        <v>2113</v>
      </c>
      <c r="R1205" t="s">
        <v>3258</v>
      </c>
      <c r="S1205" t="s">
        <v>3271</v>
      </c>
      <c r="T1205" t="s">
        <v>3294</v>
      </c>
      <c r="U1205" t="s">
        <v>2793</v>
      </c>
      <c r="X1205" t="s">
        <v>3354</v>
      </c>
      <c r="Y1205" t="s">
        <v>2677</v>
      </c>
      <c r="Z1205" t="s">
        <v>3369</v>
      </c>
      <c r="AA1205" t="s">
        <v>3406</v>
      </c>
      <c r="AB1205" t="s">
        <v>3419</v>
      </c>
      <c r="AC1205">
        <f>HYPERLINK("https://lsnyc.legalserver.org/matter/dynamic-profile/view/1881792","18-1881792")</f>
        <v>0</v>
      </c>
      <c r="AD1205" t="s">
        <v>3445</v>
      </c>
      <c r="AE1205" t="s">
        <v>3452</v>
      </c>
      <c r="AF1205" t="s">
        <v>4033</v>
      </c>
      <c r="AG1205" t="s">
        <v>3369</v>
      </c>
      <c r="AH1205" t="s">
        <v>4904</v>
      </c>
      <c r="AK1205" t="s">
        <v>4911</v>
      </c>
      <c r="AL1205" t="s">
        <v>2156</v>
      </c>
      <c r="AM1205" t="s">
        <v>3294</v>
      </c>
      <c r="AN1205" t="s">
        <v>3419</v>
      </c>
    </row>
    <row r="1206" spans="1:41">
      <c r="A1206" s="1" t="s">
        <v>1242</v>
      </c>
      <c r="B1206" t="s">
        <v>2001</v>
      </c>
      <c r="C1206" t="s">
        <v>2016</v>
      </c>
      <c r="D1206" t="s">
        <v>2036</v>
      </c>
      <c r="E1206" t="s">
        <v>2112</v>
      </c>
      <c r="F1206" t="s">
        <v>2117</v>
      </c>
      <c r="G1206" t="s">
        <v>2214</v>
      </c>
      <c r="H1206">
        <v>11207</v>
      </c>
      <c r="I1206" t="s">
        <v>2229</v>
      </c>
      <c r="J1206">
        <v>3</v>
      </c>
      <c r="K1206">
        <v>2</v>
      </c>
      <c r="L1206" t="s">
        <v>2260</v>
      </c>
      <c r="M1206" t="s">
        <v>2677</v>
      </c>
      <c r="P1206" t="s">
        <v>2960</v>
      </c>
      <c r="Q1206" t="s">
        <v>2113</v>
      </c>
      <c r="R1206" t="s">
        <v>3259</v>
      </c>
      <c r="S1206" t="s">
        <v>3267</v>
      </c>
      <c r="T1206" t="s">
        <v>3294</v>
      </c>
      <c r="U1206" t="s">
        <v>2858</v>
      </c>
      <c r="X1206" t="s">
        <v>3354</v>
      </c>
      <c r="Y1206" t="s">
        <v>2678</v>
      </c>
      <c r="Z1206" t="s">
        <v>3380</v>
      </c>
      <c r="AA1206" t="s">
        <v>3406</v>
      </c>
      <c r="AB1206" t="s">
        <v>3415</v>
      </c>
      <c r="AC1206">
        <f>HYPERLINK("https://lsnyc.legalserver.org/matter/dynamic-profile/view/1881826","18-1881826")</f>
        <v>0</v>
      </c>
      <c r="AD1206" t="s">
        <v>3446</v>
      </c>
      <c r="AE1206" t="s">
        <v>3456</v>
      </c>
      <c r="AF1206" t="s">
        <v>3506</v>
      </c>
      <c r="AG1206" t="s">
        <v>3380</v>
      </c>
      <c r="AH1206" t="s">
        <v>4906</v>
      </c>
      <c r="AK1206" t="s">
        <v>4911</v>
      </c>
      <c r="AL1206" t="s">
        <v>2117</v>
      </c>
      <c r="AM1206" t="s">
        <v>3294</v>
      </c>
      <c r="AN1206" t="s">
        <v>3415</v>
      </c>
    </row>
    <row r="1207" spans="1:41">
      <c r="A1207" s="1" t="s">
        <v>1243</v>
      </c>
      <c r="B1207" t="s">
        <v>2001</v>
      </c>
      <c r="C1207" t="s">
        <v>2016</v>
      </c>
      <c r="D1207" t="s">
        <v>2037</v>
      </c>
      <c r="E1207" t="s">
        <v>2112</v>
      </c>
      <c r="F1207" t="s">
        <v>2117</v>
      </c>
      <c r="G1207" t="s">
        <v>2214</v>
      </c>
      <c r="H1207">
        <v>11207</v>
      </c>
      <c r="I1207" t="s">
        <v>2229</v>
      </c>
      <c r="J1207">
        <v>3</v>
      </c>
      <c r="K1207">
        <v>2</v>
      </c>
      <c r="L1207" t="s">
        <v>2260</v>
      </c>
      <c r="M1207" t="s">
        <v>2677</v>
      </c>
      <c r="P1207" t="s">
        <v>2960</v>
      </c>
      <c r="Q1207" t="s">
        <v>2113</v>
      </c>
      <c r="R1207" t="s">
        <v>3259</v>
      </c>
      <c r="S1207" t="s">
        <v>3267</v>
      </c>
      <c r="T1207" t="s">
        <v>3294</v>
      </c>
      <c r="U1207" t="s">
        <v>2858</v>
      </c>
      <c r="V1207" t="s">
        <v>3353</v>
      </c>
      <c r="X1207" t="s">
        <v>3354</v>
      </c>
      <c r="Y1207" t="s">
        <v>2678</v>
      </c>
      <c r="Z1207" t="s">
        <v>3380</v>
      </c>
      <c r="AA1207" t="s">
        <v>3406</v>
      </c>
      <c r="AB1207" t="s">
        <v>3415</v>
      </c>
      <c r="AC1207">
        <f>HYPERLINK("https://lsnyc.legalserver.org/matter/dynamic-profile/view/1881828","18-1881828")</f>
        <v>0</v>
      </c>
      <c r="AD1207" t="s">
        <v>3446</v>
      </c>
      <c r="AE1207" t="s">
        <v>3456</v>
      </c>
      <c r="AF1207" t="s">
        <v>3507</v>
      </c>
      <c r="AG1207" t="s">
        <v>3380</v>
      </c>
      <c r="AH1207" t="s">
        <v>4906</v>
      </c>
      <c r="AK1207" t="s">
        <v>4911</v>
      </c>
      <c r="AL1207" t="s">
        <v>2117</v>
      </c>
      <c r="AM1207" t="s">
        <v>3294</v>
      </c>
      <c r="AN1207" t="s">
        <v>3415</v>
      </c>
      <c r="AO1207" t="s">
        <v>3353</v>
      </c>
    </row>
    <row r="1208" spans="1:41">
      <c r="A1208" s="1" t="s">
        <v>1244</v>
      </c>
      <c r="B1208" t="s">
        <v>2001</v>
      </c>
      <c r="C1208" t="s">
        <v>2002</v>
      </c>
      <c r="D1208" t="s">
        <v>2036</v>
      </c>
      <c r="E1208" t="s">
        <v>2111</v>
      </c>
      <c r="F1208" t="s">
        <v>2115</v>
      </c>
      <c r="G1208" t="s">
        <v>2216</v>
      </c>
      <c r="H1208">
        <v>10304</v>
      </c>
      <c r="I1208" t="s">
        <v>2229</v>
      </c>
      <c r="J1208">
        <v>2</v>
      </c>
      <c r="K1208">
        <v>1</v>
      </c>
      <c r="L1208" t="s">
        <v>2260</v>
      </c>
      <c r="M1208" t="s">
        <v>2677</v>
      </c>
      <c r="P1208" t="s">
        <v>2960</v>
      </c>
      <c r="Q1208" t="s">
        <v>2113</v>
      </c>
      <c r="R1208" t="s">
        <v>3259</v>
      </c>
      <c r="S1208" t="s">
        <v>3267</v>
      </c>
      <c r="X1208" t="s">
        <v>3354</v>
      </c>
      <c r="Y1208" t="s">
        <v>2678</v>
      </c>
      <c r="Z1208" t="s">
        <v>3359</v>
      </c>
      <c r="AA1208" t="s">
        <v>3406</v>
      </c>
      <c r="AB1208" t="s">
        <v>3415</v>
      </c>
      <c r="AC1208">
        <f>HYPERLINK("https://lsnyc.legalserver.org/matter/dynamic-profile/view/1881833","18-1881833")</f>
        <v>0</v>
      </c>
      <c r="AD1208" t="s">
        <v>3447</v>
      </c>
      <c r="AE1208" t="s">
        <v>3459</v>
      </c>
      <c r="AF1208" t="s">
        <v>3693</v>
      </c>
      <c r="AG1208" t="s">
        <v>3359</v>
      </c>
      <c r="AH1208" t="s">
        <v>4906</v>
      </c>
      <c r="AK1208" t="s">
        <v>4911</v>
      </c>
      <c r="AL1208" t="s">
        <v>2115</v>
      </c>
      <c r="AN1208" t="s">
        <v>3415</v>
      </c>
    </row>
    <row r="1209" spans="1:41">
      <c r="A1209" s="1" t="s">
        <v>1245</v>
      </c>
      <c r="B1209" t="s">
        <v>1998</v>
      </c>
      <c r="C1209" t="s">
        <v>2018</v>
      </c>
      <c r="D1209" t="s">
        <v>2052</v>
      </c>
      <c r="E1209" t="s">
        <v>2112</v>
      </c>
      <c r="F1209" t="s">
        <v>2117</v>
      </c>
      <c r="G1209" t="s">
        <v>2216</v>
      </c>
      <c r="H1209">
        <v>10301</v>
      </c>
      <c r="I1209" t="s">
        <v>2229</v>
      </c>
      <c r="J1209">
        <v>2</v>
      </c>
      <c r="K1209">
        <v>1</v>
      </c>
      <c r="L1209" t="s">
        <v>2260</v>
      </c>
      <c r="M1209" t="s">
        <v>2677</v>
      </c>
      <c r="P1209" t="s">
        <v>2960</v>
      </c>
      <c r="Q1209" t="s">
        <v>2113</v>
      </c>
      <c r="R1209" t="s">
        <v>3259</v>
      </c>
      <c r="S1209" t="s">
        <v>3267</v>
      </c>
      <c r="X1209" t="s">
        <v>3354</v>
      </c>
      <c r="Y1209" t="s">
        <v>2678</v>
      </c>
      <c r="Z1209" t="s">
        <v>3359</v>
      </c>
      <c r="AA1209" t="s">
        <v>3406</v>
      </c>
      <c r="AB1209" t="s">
        <v>3415</v>
      </c>
      <c r="AC1209">
        <f>HYPERLINK("https://lsnyc.legalserver.org/matter/dynamic-profile/view/1881999","18-1881999")</f>
        <v>0</v>
      </c>
      <c r="AD1209" t="s">
        <v>3447</v>
      </c>
      <c r="AE1209" t="s">
        <v>3463</v>
      </c>
      <c r="AF1209" t="s">
        <v>4123</v>
      </c>
      <c r="AG1209" t="s">
        <v>3359</v>
      </c>
      <c r="AH1209" t="s">
        <v>4906</v>
      </c>
      <c r="AK1209" t="s">
        <v>4911</v>
      </c>
      <c r="AL1209" t="s">
        <v>2117</v>
      </c>
      <c r="AN1209" t="s">
        <v>3415</v>
      </c>
    </row>
    <row r="1210" spans="1:41">
      <c r="A1210" s="1" t="s">
        <v>1246</v>
      </c>
      <c r="B1210" t="s">
        <v>1998</v>
      </c>
      <c r="C1210" t="s">
        <v>2018</v>
      </c>
      <c r="D1210" t="s">
        <v>2052</v>
      </c>
      <c r="E1210" t="s">
        <v>2112</v>
      </c>
      <c r="F1210" t="s">
        <v>2117</v>
      </c>
      <c r="G1210" t="s">
        <v>2216</v>
      </c>
      <c r="H1210">
        <v>10301</v>
      </c>
      <c r="I1210" t="s">
        <v>2229</v>
      </c>
      <c r="J1210">
        <v>2</v>
      </c>
      <c r="K1210">
        <v>1</v>
      </c>
      <c r="L1210" t="s">
        <v>2260</v>
      </c>
      <c r="M1210" t="s">
        <v>2677</v>
      </c>
      <c r="P1210" t="s">
        <v>2960</v>
      </c>
      <c r="Q1210" t="s">
        <v>3255</v>
      </c>
      <c r="R1210" t="s">
        <v>3259</v>
      </c>
      <c r="S1210" t="s">
        <v>3272</v>
      </c>
      <c r="X1210" t="s">
        <v>3354</v>
      </c>
      <c r="Y1210" t="s">
        <v>2678</v>
      </c>
      <c r="Z1210" t="s">
        <v>3383</v>
      </c>
      <c r="AA1210" t="s">
        <v>3406</v>
      </c>
      <c r="AB1210" t="s">
        <v>3420</v>
      </c>
      <c r="AC1210">
        <f>HYPERLINK("https://lsnyc.legalserver.org/matter/dynamic-profile/view/1882058","18-1882058")</f>
        <v>0</v>
      </c>
      <c r="AD1210" t="s">
        <v>3447</v>
      </c>
      <c r="AE1210" t="s">
        <v>3463</v>
      </c>
      <c r="AF1210" t="s">
        <v>4123</v>
      </c>
      <c r="AG1210" t="s">
        <v>3383</v>
      </c>
      <c r="AH1210" t="s">
        <v>4905</v>
      </c>
      <c r="AK1210" t="s">
        <v>4911</v>
      </c>
      <c r="AL1210" t="s">
        <v>2117</v>
      </c>
      <c r="AN1210" t="s">
        <v>3420</v>
      </c>
    </row>
    <row r="1211" spans="1:41">
      <c r="A1211" s="1" t="s">
        <v>1247</v>
      </c>
      <c r="B1211" t="s">
        <v>1998</v>
      </c>
      <c r="C1211" t="s">
        <v>2001</v>
      </c>
      <c r="D1211" t="s">
        <v>2054</v>
      </c>
      <c r="E1211" t="s">
        <v>2111</v>
      </c>
      <c r="F1211" t="s">
        <v>2117</v>
      </c>
      <c r="G1211" t="s">
        <v>2216</v>
      </c>
      <c r="H1211">
        <v>10304</v>
      </c>
      <c r="I1211" t="s">
        <v>2229</v>
      </c>
      <c r="J1211">
        <v>6</v>
      </c>
      <c r="K1211">
        <v>3</v>
      </c>
      <c r="L1211" t="s">
        <v>2260</v>
      </c>
      <c r="M1211" t="s">
        <v>2677</v>
      </c>
      <c r="P1211" t="s">
        <v>2960</v>
      </c>
      <c r="Q1211" t="s">
        <v>2113</v>
      </c>
      <c r="R1211" t="s">
        <v>3259</v>
      </c>
      <c r="S1211" t="s">
        <v>3267</v>
      </c>
      <c r="X1211" t="s">
        <v>3354</v>
      </c>
      <c r="Y1211" t="s">
        <v>2678</v>
      </c>
      <c r="Z1211" t="s">
        <v>3359</v>
      </c>
      <c r="AA1211" t="s">
        <v>3406</v>
      </c>
      <c r="AB1211" t="s">
        <v>3415</v>
      </c>
      <c r="AC1211">
        <f>HYPERLINK("https://lsnyc.legalserver.org/matter/dynamic-profile/view/1882084","18-1882084")</f>
        <v>0</v>
      </c>
      <c r="AD1211" t="s">
        <v>3447</v>
      </c>
      <c r="AE1211" t="s">
        <v>3459</v>
      </c>
      <c r="AF1211" t="s">
        <v>3528</v>
      </c>
      <c r="AG1211" t="s">
        <v>3359</v>
      </c>
      <c r="AH1211" t="s">
        <v>4906</v>
      </c>
      <c r="AK1211" t="s">
        <v>4911</v>
      </c>
      <c r="AL1211" t="s">
        <v>2117</v>
      </c>
      <c r="AN1211" t="s">
        <v>3415</v>
      </c>
    </row>
    <row r="1212" spans="1:41">
      <c r="A1212" s="1" t="s">
        <v>1248</v>
      </c>
      <c r="B1212" t="s">
        <v>1998</v>
      </c>
      <c r="C1212" t="s">
        <v>2001</v>
      </c>
      <c r="D1212" t="s">
        <v>2054</v>
      </c>
      <c r="E1212" t="s">
        <v>2111</v>
      </c>
      <c r="F1212" t="s">
        <v>2117</v>
      </c>
      <c r="G1212" t="s">
        <v>2216</v>
      </c>
      <c r="H1212">
        <v>10304</v>
      </c>
      <c r="I1212" t="s">
        <v>2229</v>
      </c>
      <c r="J1212">
        <v>6</v>
      </c>
      <c r="K1212">
        <v>3</v>
      </c>
      <c r="L1212" t="s">
        <v>2260</v>
      </c>
      <c r="M1212" t="s">
        <v>2677</v>
      </c>
      <c r="P1212" t="s">
        <v>2960</v>
      </c>
      <c r="Q1212" t="s">
        <v>2113</v>
      </c>
      <c r="R1212" t="s">
        <v>3260</v>
      </c>
      <c r="S1212" t="s">
        <v>3266</v>
      </c>
      <c r="X1212" t="s">
        <v>3354</v>
      </c>
      <c r="Y1212" t="s">
        <v>2678</v>
      </c>
      <c r="Z1212" t="s">
        <v>3363</v>
      </c>
      <c r="AA1212" t="s">
        <v>3406</v>
      </c>
      <c r="AB1212" t="s">
        <v>3414</v>
      </c>
      <c r="AC1212">
        <f>HYPERLINK("https://lsnyc.legalserver.org/matter/dynamic-profile/view/1882087","18-1882087")</f>
        <v>0</v>
      </c>
      <c r="AD1212" t="s">
        <v>3447</v>
      </c>
      <c r="AE1212" t="s">
        <v>3459</v>
      </c>
      <c r="AF1212" t="s">
        <v>3528</v>
      </c>
      <c r="AG1212" t="s">
        <v>3363</v>
      </c>
      <c r="AH1212" t="s">
        <v>4905</v>
      </c>
      <c r="AK1212" t="s">
        <v>4911</v>
      </c>
      <c r="AL1212" t="s">
        <v>2117</v>
      </c>
      <c r="AN1212" t="s">
        <v>3414</v>
      </c>
    </row>
    <row r="1213" spans="1:41">
      <c r="A1213" s="1" t="s">
        <v>1249</v>
      </c>
      <c r="B1213" t="s">
        <v>2001</v>
      </c>
      <c r="C1213" t="s">
        <v>1998</v>
      </c>
      <c r="D1213" t="s">
        <v>2053</v>
      </c>
      <c r="E1213" t="s">
        <v>2112</v>
      </c>
      <c r="F1213" t="s">
        <v>2117</v>
      </c>
      <c r="G1213" t="s">
        <v>2216</v>
      </c>
      <c r="H1213">
        <v>10310</v>
      </c>
      <c r="I1213" t="s">
        <v>2229</v>
      </c>
      <c r="J1213">
        <v>2</v>
      </c>
      <c r="K1213">
        <v>1</v>
      </c>
      <c r="L1213" t="s">
        <v>2260</v>
      </c>
      <c r="M1213" t="s">
        <v>2677</v>
      </c>
      <c r="P1213" t="s">
        <v>2960</v>
      </c>
      <c r="Q1213" t="s">
        <v>2113</v>
      </c>
      <c r="R1213" t="s">
        <v>3259</v>
      </c>
      <c r="S1213" t="s">
        <v>3267</v>
      </c>
      <c r="T1213" t="s">
        <v>3294</v>
      </c>
      <c r="U1213" t="s">
        <v>2910</v>
      </c>
      <c r="X1213" t="s">
        <v>3354</v>
      </c>
      <c r="Y1213" t="s">
        <v>2678</v>
      </c>
      <c r="Z1213" t="s">
        <v>3380</v>
      </c>
      <c r="AA1213" t="s">
        <v>3406</v>
      </c>
      <c r="AB1213" t="s">
        <v>3415</v>
      </c>
      <c r="AC1213">
        <f>HYPERLINK("https://lsnyc.legalserver.org/matter/dynamic-profile/view/1882101","18-1882101")</f>
        <v>0</v>
      </c>
      <c r="AD1213" t="s">
        <v>3447</v>
      </c>
      <c r="AE1213" t="s">
        <v>3478</v>
      </c>
      <c r="AF1213" t="s">
        <v>4396</v>
      </c>
      <c r="AG1213" t="s">
        <v>3380</v>
      </c>
      <c r="AH1213" t="s">
        <v>4906</v>
      </c>
      <c r="AK1213" t="s">
        <v>4911</v>
      </c>
      <c r="AL1213" t="s">
        <v>2117</v>
      </c>
      <c r="AM1213" t="s">
        <v>3294</v>
      </c>
      <c r="AN1213" t="s">
        <v>3415</v>
      </c>
    </row>
    <row r="1214" spans="1:41">
      <c r="A1214" s="1" t="s">
        <v>1250</v>
      </c>
      <c r="B1214" t="s">
        <v>2001</v>
      </c>
      <c r="C1214" t="s">
        <v>1998</v>
      </c>
      <c r="D1214" t="s">
        <v>2053</v>
      </c>
      <c r="E1214" t="s">
        <v>2112</v>
      </c>
      <c r="F1214" t="s">
        <v>2117</v>
      </c>
      <c r="G1214" t="s">
        <v>2216</v>
      </c>
      <c r="H1214">
        <v>10310</v>
      </c>
      <c r="I1214" t="s">
        <v>2229</v>
      </c>
      <c r="J1214">
        <v>2</v>
      </c>
      <c r="K1214">
        <v>1</v>
      </c>
      <c r="L1214" t="s">
        <v>2260</v>
      </c>
      <c r="M1214" t="s">
        <v>2677</v>
      </c>
      <c r="P1214" t="s">
        <v>2960</v>
      </c>
      <c r="Q1214" t="s">
        <v>2113</v>
      </c>
      <c r="R1214" t="s">
        <v>3259</v>
      </c>
      <c r="S1214" t="s">
        <v>3272</v>
      </c>
      <c r="X1214" t="s">
        <v>3354</v>
      </c>
      <c r="Y1214" t="s">
        <v>2678</v>
      </c>
      <c r="Z1214" t="s">
        <v>3383</v>
      </c>
      <c r="AA1214" t="s">
        <v>3406</v>
      </c>
      <c r="AB1214" t="s">
        <v>3420</v>
      </c>
      <c r="AC1214">
        <f>HYPERLINK("https://lsnyc.legalserver.org/matter/dynamic-profile/view/1882103","18-1882103")</f>
        <v>0</v>
      </c>
      <c r="AD1214" t="s">
        <v>3447</v>
      </c>
      <c r="AE1214" t="s">
        <v>3478</v>
      </c>
      <c r="AF1214" t="s">
        <v>4397</v>
      </c>
      <c r="AG1214" t="s">
        <v>3383</v>
      </c>
      <c r="AH1214" t="s">
        <v>4905</v>
      </c>
      <c r="AK1214" t="s">
        <v>4911</v>
      </c>
      <c r="AL1214" t="s">
        <v>2117</v>
      </c>
      <c r="AN1214" t="s">
        <v>3420</v>
      </c>
    </row>
    <row r="1215" spans="1:41">
      <c r="A1215" s="1" t="s">
        <v>1251</v>
      </c>
      <c r="B1215" t="s">
        <v>2012</v>
      </c>
      <c r="C1215" t="s">
        <v>2016</v>
      </c>
      <c r="D1215" t="s">
        <v>2065</v>
      </c>
      <c r="E1215" t="s">
        <v>2112</v>
      </c>
      <c r="F1215" t="s">
        <v>2115</v>
      </c>
      <c r="G1215" t="s">
        <v>2216</v>
      </c>
      <c r="H1215">
        <v>10303</v>
      </c>
      <c r="J1215">
        <v>4</v>
      </c>
      <c r="K1215">
        <v>2</v>
      </c>
      <c r="L1215" t="s">
        <v>2316</v>
      </c>
      <c r="M1215" t="s">
        <v>2677</v>
      </c>
      <c r="P1215" t="s">
        <v>2960</v>
      </c>
      <c r="Q1215" t="s">
        <v>2113</v>
      </c>
      <c r="R1215" t="s">
        <v>3259</v>
      </c>
      <c r="S1215" t="s">
        <v>3267</v>
      </c>
      <c r="T1215" t="s">
        <v>3294</v>
      </c>
      <c r="U1215" t="s">
        <v>2956</v>
      </c>
      <c r="X1215" t="s">
        <v>3354</v>
      </c>
      <c r="Y1215" t="s">
        <v>2678</v>
      </c>
      <c r="Z1215" t="s">
        <v>3359</v>
      </c>
      <c r="AA1215" t="s">
        <v>3406</v>
      </c>
      <c r="AB1215" t="s">
        <v>3415</v>
      </c>
      <c r="AC1215">
        <f>HYPERLINK("https://lsnyc.legalserver.org/matter/dynamic-profile/view/1882109","18-1882109")</f>
        <v>0</v>
      </c>
      <c r="AD1215" t="s">
        <v>3447</v>
      </c>
      <c r="AE1215" t="s">
        <v>3478</v>
      </c>
      <c r="AF1215" t="s">
        <v>4398</v>
      </c>
      <c r="AG1215" t="s">
        <v>3359</v>
      </c>
      <c r="AH1215" t="s">
        <v>4906</v>
      </c>
      <c r="AK1215" t="s">
        <v>4911</v>
      </c>
      <c r="AL1215" t="s">
        <v>2115</v>
      </c>
      <c r="AM1215" t="s">
        <v>3294</v>
      </c>
      <c r="AN1215" t="s">
        <v>3415</v>
      </c>
    </row>
    <row r="1216" spans="1:41">
      <c r="A1216" s="1" t="s">
        <v>1252</v>
      </c>
      <c r="B1216" t="s">
        <v>2012</v>
      </c>
      <c r="C1216" t="s">
        <v>2016</v>
      </c>
      <c r="D1216" t="s">
        <v>2052</v>
      </c>
      <c r="E1216" t="s">
        <v>2112</v>
      </c>
      <c r="F1216" t="s">
        <v>2115</v>
      </c>
      <c r="G1216" t="s">
        <v>2216</v>
      </c>
      <c r="H1216">
        <v>10303</v>
      </c>
      <c r="J1216">
        <v>4</v>
      </c>
      <c r="K1216">
        <v>2</v>
      </c>
      <c r="L1216" t="s">
        <v>2284</v>
      </c>
      <c r="M1216" t="s">
        <v>2677</v>
      </c>
      <c r="P1216" t="s">
        <v>2960</v>
      </c>
      <c r="Q1216" t="s">
        <v>2113</v>
      </c>
      <c r="R1216" t="s">
        <v>3259</v>
      </c>
      <c r="S1216" t="s">
        <v>3267</v>
      </c>
      <c r="T1216" t="s">
        <v>3294</v>
      </c>
      <c r="U1216" t="s">
        <v>2956</v>
      </c>
      <c r="X1216" t="s">
        <v>3354</v>
      </c>
      <c r="Y1216" t="s">
        <v>2678</v>
      </c>
      <c r="Z1216" t="s">
        <v>3359</v>
      </c>
      <c r="AA1216" t="s">
        <v>3406</v>
      </c>
      <c r="AB1216" t="s">
        <v>3415</v>
      </c>
      <c r="AC1216">
        <f>HYPERLINK("https://lsnyc.legalserver.org/matter/dynamic-profile/view/1882112","18-1882112")</f>
        <v>0</v>
      </c>
      <c r="AD1216" t="s">
        <v>3447</v>
      </c>
      <c r="AE1216" t="s">
        <v>3478</v>
      </c>
      <c r="AF1216" t="s">
        <v>4399</v>
      </c>
      <c r="AG1216" t="s">
        <v>3359</v>
      </c>
      <c r="AH1216" t="s">
        <v>4906</v>
      </c>
      <c r="AK1216" t="s">
        <v>4911</v>
      </c>
      <c r="AL1216" t="s">
        <v>2115</v>
      </c>
      <c r="AM1216" t="s">
        <v>3294</v>
      </c>
      <c r="AN1216" t="s">
        <v>3415</v>
      </c>
    </row>
    <row r="1217" spans="1:40">
      <c r="A1217" s="1" t="s">
        <v>1253</v>
      </c>
      <c r="B1217" t="s">
        <v>2014</v>
      </c>
      <c r="C1217" t="s">
        <v>1998</v>
      </c>
      <c r="D1217" t="s">
        <v>2072</v>
      </c>
      <c r="E1217" t="s">
        <v>2111</v>
      </c>
      <c r="F1217" t="s">
        <v>2144</v>
      </c>
      <c r="G1217" t="s">
        <v>2216</v>
      </c>
      <c r="H1217">
        <v>10301</v>
      </c>
      <c r="I1217" t="s">
        <v>2230</v>
      </c>
      <c r="J1217">
        <v>1</v>
      </c>
      <c r="K1217">
        <v>0</v>
      </c>
      <c r="L1217" t="s">
        <v>2260</v>
      </c>
      <c r="M1217" t="s">
        <v>2677</v>
      </c>
      <c r="P1217" t="s">
        <v>2960</v>
      </c>
      <c r="Q1217" t="s">
        <v>2113</v>
      </c>
      <c r="R1217" t="s">
        <v>3259</v>
      </c>
      <c r="S1217" t="s">
        <v>3267</v>
      </c>
      <c r="X1217" t="s">
        <v>3354</v>
      </c>
      <c r="Y1217" t="s">
        <v>2678</v>
      </c>
      <c r="Z1217" t="s">
        <v>3380</v>
      </c>
      <c r="AA1217" t="s">
        <v>3406</v>
      </c>
      <c r="AB1217" t="s">
        <v>3415</v>
      </c>
      <c r="AC1217">
        <f>HYPERLINK("https://lsnyc.legalserver.org/matter/dynamic-profile/view/1882124","18-1882124")</f>
        <v>0</v>
      </c>
      <c r="AD1217" t="s">
        <v>3447</v>
      </c>
      <c r="AE1217" t="s">
        <v>3458</v>
      </c>
      <c r="AF1217" t="s">
        <v>4400</v>
      </c>
      <c r="AG1217" t="s">
        <v>3380</v>
      </c>
      <c r="AH1217" t="s">
        <v>4906</v>
      </c>
      <c r="AK1217" t="s">
        <v>4911</v>
      </c>
      <c r="AL1217" t="s">
        <v>2144</v>
      </c>
      <c r="AN1217" t="s">
        <v>3415</v>
      </c>
    </row>
    <row r="1218" spans="1:40">
      <c r="A1218" s="1" t="s">
        <v>1254</v>
      </c>
      <c r="B1218" t="s">
        <v>2010</v>
      </c>
      <c r="C1218" t="s">
        <v>2002</v>
      </c>
      <c r="D1218" t="s">
        <v>2033</v>
      </c>
      <c r="E1218" t="s">
        <v>2112</v>
      </c>
      <c r="F1218" t="s">
        <v>2117</v>
      </c>
      <c r="G1218" t="s">
        <v>2216</v>
      </c>
      <c r="H1218">
        <v>10303</v>
      </c>
      <c r="I1218" t="s">
        <v>2229</v>
      </c>
      <c r="J1218">
        <v>8</v>
      </c>
      <c r="K1218">
        <v>4</v>
      </c>
      <c r="L1218" t="s">
        <v>2260</v>
      </c>
      <c r="M1218" t="s">
        <v>2677</v>
      </c>
      <c r="P1218" t="s">
        <v>2961</v>
      </c>
      <c r="Q1218" t="s">
        <v>3255</v>
      </c>
      <c r="R1218" t="s">
        <v>3259</v>
      </c>
      <c r="S1218" t="s">
        <v>3264</v>
      </c>
      <c r="T1218" t="s">
        <v>3294</v>
      </c>
      <c r="U1218" t="s">
        <v>2856</v>
      </c>
      <c r="X1218" t="s">
        <v>3354</v>
      </c>
      <c r="Y1218" t="s">
        <v>2678</v>
      </c>
      <c r="Z1218" t="s">
        <v>3357</v>
      </c>
      <c r="AA1218" t="s">
        <v>3406</v>
      </c>
      <c r="AB1218" t="s">
        <v>3412</v>
      </c>
      <c r="AC1218">
        <f>HYPERLINK("https://lsnyc.legalserver.org/matter/dynamic-profile/view/1878308","18-1878308")</f>
        <v>0</v>
      </c>
      <c r="AD1218" t="s">
        <v>3447</v>
      </c>
      <c r="AE1218" t="s">
        <v>3463</v>
      </c>
      <c r="AF1218" t="s">
        <v>4401</v>
      </c>
      <c r="AG1218" t="s">
        <v>3357</v>
      </c>
      <c r="AH1218" t="s">
        <v>4904</v>
      </c>
      <c r="AL1218" t="s">
        <v>2117</v>
      </c>
      <c r="AM1218" t="s">
        <v>3294</v>
      </c>
      <c r="AN1218" t="s">
        <v>3412</v>
      </c>
    </row>
    <row r="1219" spans="1:40">
      <c r="A1219" s="1" t="s">
        <v>1255</v>
      </c>
      <c r="B1219" t="s">
        <v>2016</v>
      </c>
      <c r="C1219" t="s">
        <v>2017</v>
      </c>
      <c r="D1219" t="s">
        <v>2081</v>
      </c>
      <c r="E1219" t="s">
        <v>2112</v>
      </c>
      <c r="F1219" t="s">
        <v>2115</v>
      </c>
      <c r="G1219" t="s">
        <v>2216</v>
      </c>
      <c r="H1219">
        <v>10305</v>
      </c>
      <c r="I1219" t="s">
        <v>2229</v>
      </c>
      <c r="J1219">
        <v>5</v>
      </c>
      <c r="K1219">
        <v>2</v>
      </c>
      <c r="L1219" t="s">
        <v>2316</v>
      </c>
      <c r="M1219" t="s">
        <v>2677</v>
      </c>
      <c r="P1219" t="s">
        <v>2961</v>
      </c>
      <c r="Q1219" t="s">
        <v>2113</v>
      </c>
      <c r="R1219" t="s">
        <v>3259</v>
      </c>
      <c r="S1219" t="s">
        <v>3267</v>
      </c>
      <c r="T1219" t="s">
        <v>3294</v>
      </c>
      <c r="U1219" t="s">
        <v>2886</v>
      </c>
      <c r="X1219" t="s">
        <v>3354</v>
      </c>
      <c r="Y1219" t="s">
        <v>2678</v>
      </c>
      <c r="Z1219" t="s">
        <v>3359</v>
      </c>
      <c r="AA1219" t="s">
        <v>3406</v>
      </c>
      <c r="AB1219" t="s">
        <v>3415</v>
      </c>
      <c r="AC1219">
        <f>HYPERLINK("https://lsnyc.legalserver.org/matter/dynamic-profile/view/1881319","18-1881319")</f>
        <v>0</v>
      </c>
      <c r="AD1219" t="s">
        <v>3447</v>
      </c>
      <c r="AE1219" t="s">
        <v>3459</v>
      </c>
      <c r="AF1219" t="s">
        <v>4402</v>
      </c>
      <c r="AG1219" t="s">
        <v>3359</v>
      </c>
      <c r="AH1219" t="s">
        <v>4906</v>
      </c>
      <c r="AK1219" t="s">
        <v>4911</v>
      </c>
      <c r="AL1219" t="s">
        <v>2115</v>
      </c>
      <c r="AM1219" t="s">
        <v>3294</v>
      </c>
      <c r="AN1219" t="s">
        <v>3415</v>
      </c>
    </row>
    <row r="1220" spans="1:40">
      <c r="A1220" s="1" t="s">
        <v>1256</v>
      </c>
      <c r="B1220" t="s">
        <v>2001</v>
      </c>
      <c r="C1220" t="s">
        <v>2001</v>
      </c>
      <c r="D1220" t="s">
        <v>2027</v>
      </c>
      <c r="E1220" t="s">
        <v>2112</v>
      </c>
      <c r="F1220" t="s">
        <v>2117</v>
      </c>
      <c r="G1220" t="s">
        <v>2212</v>
      </c>
      <c r="H1220">
        <v>11433</v>
      </c>
      <c r="I1220" t="s">
        <v>2229</v>
      </c>
      <c r="J1220">
        <v>4</v>
      </c>
      <c r="K1220">
        <v>2</v>
      </c>
      <c r="L1220" t="s">
        <v>2306</v>
      </c>
      <c r="M1220" t="s">
        <v>2677</v>
      </c>
      <c r="P1220" t="s">
        <v>2961</v>
      </c>
      <c r="Q1220" t="s">
        <v>2113</v>
      </c>
      <c r="R1220" t="s">
        <v>3259</v>
      </c>
      <c r="S1220" t="s">
        <v>3268</v>
      </c>
      <c r="X1220" t="s">
        <v>3354</v>
      </c>
      <c r="Y1220" t="s">
        <v>2677</v>
      </c>
      <c r="Z1220" t="s">
        <v>3368</v>
      </c>
      <c r="AA1220" t="s">
        <v>3406</v>
      </c>
      <c r="AB1220" t="s">
        <v>3416</v>
      </c>
      <c r="AC1220">
        <f>HYPERLINK("https://lsnyc.legalserver.org/matter/dynamic-profile/view/1881331","18-1881331")</f>
        <v>0</v>
      </c>
      <c r="AD1220" t="s">
        <v>3445</v>
      </c>
      <c r="AE1220" t="s">
        <v>3455</v>
      </c>
      <c r="AF1220" t="s">
        <v>3909</v>
      </c>
      <c r="AG1220" t="s">
        <v>3368</v>
      </c>
      <c r="AH1220" t="s">
        <v>4906</v>
      </c>
      <c r="AK1220" t="s">
        <v>4911</v>
      </c>
      <c r="AL1220" t="s">
        <v>2117</v>
      </c>
      <c r="AN1220" t="s">
        <v>3416</v>
      </c>
    </row>
    <row r="1221" spans="1:40">
      <c r="A1221" s="1" t="s">
        <v>1257</v>
      </c>
      <c r="B1221" t="s">
        <v>2000</v>
      </c>
      <c r="C1221" t="s">
        <v>2016</v>
      </c>
      <c r="D1221" t="s">
        <v>2068</v>
      </c>
      <c r="E1221" t="s">
        <v>2112</v>
      </c>
      <c r="F1221" t="s">
        <v>2135</v>
      </c>
      <c r="G1221" t="s">
        <v>2212</v>
      </c>
      <c r="H1221">
        <v>11433</v>
      </c>
      <c r="I1221" t="s">
        <v>2229</v>
      </c>
      <c r="J1221">
        <v>3</v>
      </c>
      <c r="K1221">
        <v>2</v>
      </c>
      <c r="L1221" t="s">
        <v>2515</v>
      </c>
      <c r="M1221" t="s">
        <v>2677</v>
      </c>
      <c r="P1221" t="s">
        <v>2961</v>
      </c>
      <c r="Q1221" t="s">
        <v>2113</v>
      </c>
      <c r="R1221" t="s">
        <v>3259</v>
      </c>
      <c r="S1221" t="s">
        <v>3287</v>
      </c>
      <c r="X1221" t="s">
        <v>3354</v>
      </c>
      <c r="Y1221" t="s">
        <v>2677</v>
      </c>
      <c r="Z1221" t="s">
        <v>3378</v>
      </c>
      <c r="AA1221" t="s">
        <v>3406</v>
      </c>
      <c r="AB1221" t="s">
        <v>3435</v>
      </c>
      <c r="AC1221">
        <f>HYPERLINK("https://lsnyc.legalserver.org/matter/dynamic-profile/view/1881381","18-1881381")</f>
        <v>0</v>
      </c>
      <c r="AD1221" t="s">
        <v>3445</v>
      </c>
      <c r="AE1221" t="s">
        <v>3455</v>
      </c>
      <c r="AF1221" t="s">
        <v>4403</v>
      </c>
      <c r="AG1221" t="s">
        <v>3378</v>
      </c>
      <c r="AH1221" t="s">
        <v>4904</v>
      </c>
      <c r="AK1221" t="s">
        <v>4911</v>
      </c>
      <c r="AL1221" t="s">
        <v>2135</v>
      </c>
      <c r="AN1221" t="s">
        <v>3435</v>
      </c>
    </row>
    <row r="1222" spans="1:40">
      <c r="A1222" s="1" t="s">
        <v>1258</v>
      </c>
      <c r="B1222" t="s">
        <v>2001</v>
      </c>
      <c r="C1222" t="s">
        <v>2001</v>
      </c>
      <c r="D1222" t="s">
        <v>2078</v>
      </c>
      <c r="E1222" t="s">
        <v>2111</v>
      </c>
      <c r="F1222" t="s">
        <v>2116</v>
      </c>
      <c r="G1222" t="s">
        <v>2216</v>
      </c>
      <c r="H1222">
        <v>10310</v>
      </c>
      <c r="I1222" t="s">
        <v>2230</v>
      </c>
      <c r="J1222">
        <v>1</v>
      </c>
      <c r="K1222">
        <v>0</v>
      </c>
      <c r="L1222" t="s">
        <v>2331</v>
      </c>
      <c r="M1222" t="s">
        <v>2677</v>
      </c>
      <c r="P1222" t="s">
        <v>2961</v>
      </c>
      <c r="Q1222" t="s">
        <v>3255</v>
      </c>
      <c r="R1222" t="s">
        <v>3258</v>
      </c>
      <c r="S1222" t="s">
        <v>3271</v>
      </c>
      <c r="X1222" t="s">
        <v>3354</v>
      </c>
      <c r="Y1222" t="s">
        <v>2678</v>
      </c>
      <c r="Z1222" t="s">
        <v>3362</v>
      </c>
      <c r="AA1222" t="s">
        <v>3406</v>
      </c>
      <c r="AB1222" t="s">
        <v>3419</v>
      </c>
      <c r="AC1222">
        <f>HYPERLINK("https://lsnyc.legalserver.org/matter/dynamic-profile/view/1881408","18-1881408")</f>
        <v>0</v>
      </c>
      <c r="AD1222" t="s">
        <v>3447</v>
      </c>
      <c r="AE1222" t="s">
        <v>3462</v>
      </c>
      <c r="AF1222" t="s">
        <v>4404</v>
      </c>
      <c r="AG1222" t="s">
        <v>3362</v>
      </c>
      <c r="AH1222" t="s">
        <v>4904</v>
      </c>
      <c r="AK1222" t="s">
        <v>4911</v>
      </c>
      <c r="AL1222" t="s">
        <v>2116</v>
      </c>
      <c r="AN1222" t="s">
        <v>3419</v>
      </c>
    </row>
    <row r="1223" spans="1:40">
      <c r="A1223" s="1" t="s">
        <v>1259</v>
      </c>
      <c r="B1223" t="s">
        <v>2001</v>
      </c>
      <c r="C1223" t="s">
        <v>1998</v>
      </c>
      <c r="D1223" t="s">
        <v>2099</v>
      </c>
      <c r="E1223" t="s">
        <v>2112</v>
      </c>
      <c r="F1223" t="s">
        <v>2116</v>
      </c>
      <c r="G1223" t="s">
        <v>2216</v>
      </c>
      <c r="H1223">
        <v>10310</v>
      </c>
      <c r="I1223" t="s">
        <v>2229</v>
      </c>
      <c r="J1223">
        <v>3</v>
      </c>
      <c r="K1223">
        <v>1</v>
      </c>
      <c r="L1223" t="s">
        <v>2516</v>
      </c>
      <c r="M1223" t="s">
        <v>2677</v>
      </c>
      <c r="P1223" t="s">
        <v>2961</v>
      </c>
      <c r="Q1223" t="s">
        <v>3255</v>
      </c>
      <c r="R1223" t="s">
        <v>3258</v>
      </c>
      <c r="S1223" t="s">
        <v>3271</v>
      </c>
      <c r="T1223" t="s">
        <v>3294</v>
      </c>
      <c r="U1223" t="s">
        <v>2882</v>
      </c>
      <c r="X1223" t="s">
        <v>3354</v>
      </c>
      <c r="Y1223" t="s">
        <v>2678</v>
      </c>
      <c r="Z1223" t="s">
        <v>3362</v>
      </c>
      <c r="AA1223" t="s">
        <v>3406</v>
      </c>
      <c r="AB1223" t="s">
        <v>3419</v>
      </c>
      <c r="AC1223">
        <f>HYPERLINK("https://lsnyc.legalserver.org/matter/dynamic-profile/view/1881412","18-1881412")</f>
        <v>0</v>
      </c>
      <c r="AD1223" t="s">
        <v>3447</v>
      </c>
      <c r="AE1223" t="s">
        <v>3462</v>
      </c>
      <c r="AF1223" t="s">
        <v>4405</v>
      </c>
      <c r="AG1223" t="s">
        <v>3362</v>
      </c>
      <c r="AH1223" t="s">
        <v>4904</v>
      </c>
      <c r="AK1223" t="s">
        <v>4911</v>
      </c>
      <c r="AL1223" t="s">
        <v>2116</v>
      </c>
      <c r="AM1223" t="s">
        <v>3294</v>
      </c>
      <c r="AN1223" t="s">
        <v>3419</v>
      </c>
    </row>
    <row r="1224" spans="1:40">
      <c r="A1224" s="1" t="s">
        <v>1260</v>
      </c>
      <c r="B1224" t="s">
        <v>1998</v>
      </c>
      <c r="C1224" t="s">
        <v>2018</v>
      </c>
      <c r="D1224" t="s">
        <v>2058</v>
      </c>
      <c r="E1224" t="s">
        <v>2111</v>
      </c>
      <c r="F1224" t="s">
        <v>2117</v>
      </c>
      <c r="G1224" t="s">
        <v>2216</v>
      </c>
      <c r="H1224">
        <v>10314</v>
      </c>
      <c r="I1224" t="s">
        <v>2229</v>
      </c>
      <c r="J1224">
        <v>2</v>
      </c>
      <c r="K1224">
        <v>1</v>
      </c>
      <c r="L1224" t="s">
        <v>2260</v>
      </c>
      <c r="M1224" t="s">
        <v>2677</v>
      </c>
      <c r="P1224" t="s">
        <v>2962</v>
      </c>
      <c r="Q1224" t="s">
        <v>3255</v>
      </c>
      <c r="R1224" t="s">
        <v>3259</v>
      </c>
      <c r="S1224" t="s">
        <v>3267</v>
      </c>
      <c r="X1224" t="s">
        <v>3354</v>
      </c>
      <c r="Y1224" t="s">
        <v>2678</v>
      </c>
      <c r="Z1224" t="s">
        <v>3359</v>
      </c>
      <c r="AA1224" t="s">
        <v>3406</v>
      </c>
      <c r="AB1224" t="s">
        <v>3415</v>
      </c>
      <c r="AC1224">
        <f>HYPERLINK("https://lsnyc.legalserver.org/matter/dynamic-profile/view/1857579","18-1857579")</f>
        <v>0</v>
      </c>
      <c r="AD1224" t="s">
        <v>3447</v>
      </c>
      <c r="AE1224" t="s">
        <v>3463</v>
      </c>
      <c r="AF1224" t="s">
        <v>4406</v>
      </c>
      <c r="AG1224" t="s">
        <v>3359</v>
      </c>
      <c r="AH1224" t="s">
        <v>4906</v>
      </c>
      <c r="AK1224" t="s">
        <v>4911</v>
      </c>
      <c r="AL1224" t="s">
        <v>2117</v>
      </c>
      <c r="AN1224" t="s">
        <v>3415</v>
      </c>
    </row>
    <row r="1225" spans="1:40">
      <c r="A1225" s="1" t="s">
        <v>1261</v>
      </c>
      <c r="B1225" t="s">
        <v>2016</v>
      </c>
      <c r="C1225" t="s">
        <v>1998</v>
      </c>
      <c r="D1225" t="s">
        <v>2055</v>
      </c>
      <c r="E1225" t="s">
        <v>2112</v>
      </c>
      <c r="F1225" t="s">
        <v>2116</v>
      </c>
      <c r="G1225" t="s">
        <v>2213</v>
      </c>
      <c r="H1225">
        <v>10455</v>
      </c>
      <c r="I1225" t="s">
        <v>2229</v>
      </c>
      <c r="J1225">
        <v>4</v>
      </c>
      <c r="K1225">
        <v>2</v>
      </c>
      <c r="L1225" t="s">
        <v>2286</v>
      </c>
      <c r="M1225" t="s">
        <v>2677</v>
      </c>
      <c r="P1225" t="s">
        <v>2962</v>
      </c>
      <c r="Q1225" t="s">
        <v>2113</v>
      </c>
      <c r="R1225" t="s">
        <v>3259</v>
      </c>
      <c r="S1225" t="s">
        <v>3264</v>
      </c>
      <c r="X1225" t="s">
        <v>3354</v>
      </c>
      <c r="Y1225" t="s">
        <v>2677</v>
      </c>
      <c r="Z1225" t="s">
        <v>3357</v>
      </c>
      <c r="AA1225" t="s">
        <v>3406</v>
      </c>
      <c r="AB1225" t="s">
        <v>3412</v>
      </c>
      <c r="AC1225">
        <f>HYPERLINK("https://lsnyc.legalserver.org/matter/dynamic-profile/view/1880912","18-1880912")</f>
        <v>0</v>
      </c>
      <c r="AD1225" t="s">
        <v>3445</v>
      </c>
      <c r="AE1225" t="s">
        <v>3452</v>
      </c>
      <c r="AF1225" t="s">
        <v>4407</v>
      </c>
      <c r="AG1225" t="s">
        <v>3357</v>
      </c>
      <c r="AH1225" t="s">
        <v>4904</v>
      </c>
      <c r="AK1225" t="s">
        <v>4911</v>
      </c>
      <c r="AL1225" t="s">
        <v>2116</v>
      </c>
      <c r="AN1225" t="s">
        <v>3412</v>
      </c>
    </row>
    <row r="1226" spans="1:40">
      <c r="A1226" s="1" t="s">
        <v>1262</v>
      </c>
      <c r="B1226" t="s">
        <v>2001</v>
      </c>
      <c r="C1226" t="s">
        <v>1998</v>
      </c>
      <c r="D1226" t="s">
        <v>2066</v>
      </c>
      <c r="E1226" t="s">
        <v>2112</v>
      </c>
      <c r="F1226" t="s">
        <v>2135</v>
      </c>
      <c r="G1226" t="s">
        <v>2214</v>
      </c>
      <c r="H1226">
        <v>11208</v>
      </c>
      <c r="I1226" t="s">
        <v>2229</v>
      </c>
      <c r="J1226">
        <v>4</v>
      </c>
      <c r="K1226">
        <v>3</v>
      </c>
      <c r="L1226" t="s">
        <v>2416</v>
      </c>
      <c r="M1226" t="s">
        <v>2677</v>
      </c>
      <c r="P1226" t="s">
        <v>2962</v>
      </c>
      <c r="Q1226" t="s">
        <v>2113</v>
      </c>
      <c r="R1226" t="s">
        <v>3259</v>
      </c>
      <c r="S1226" t="s">
        <v>3264</v>
      </c>
      <c r="X1226" t="s">
        <v>3354</v>
      </c>
      <c r="Y1226" t="s">
        <v>2677</v>
      </c>
      <c r="Z1226" t="s">
        <v>3357</v>
      </c>
      <c r="AA1226" t="s">
        <v>3406</v>
      </c>
      <c r="AB1226" t="s">
        <v>3412</v>
      </c>
      <c r="AC1226">
        <f>HYPERLINK("https://lsnyc.legalserver.org/matter/dynamic-profile/view/1881188","18-1881188")</f>
        <v>0</v>
      </c>
      <c r="AD1226" t="s">
        <v>3445</v>
      </c>
      <c r="AE1226" t="s">
        <v>3455</v>
      </c>
      <c r="AF1226" t="s">
        <v>3964</v>
      </c>
      <c r="AG1226" t="s">
        <v>3357</v>
      </c>
      <c r="AH1226" t="s">
        <v>4904</v>
      </c>
      <c r="AK1226" t="s">
        <v>4911</v>
      </c>
      <c r="AL1226" t="s">
        <v>2135</v>
      </c>
      <c r="AN1226" t="s">
        <v>3412</v>
      </c>
    </row>
    <row r="1227" spans="1:40">
      <c r="A1227" s="1" t="s">
        <v>1263</v>
      </c>
      <c r="B1227" t="s">
        <v>2001</v>
      </c>
      <c r="C1227" t="s">
        <v>1998</v>
      </c>
      <c r="D1227" t="s">
        <v>2051</v>
      </c>
      <c r="E1227" t="s">
        <v>2112</v>
      </c>
      <c r="F1227" t="s">
        <v>2114</v>
      </c>
      <c r="G1227" t="s">
        <v>2212</v>
      </c>
      <c r="H1227">
        <v>11355</v>
      </c>
      <c r="I1227" t="s">
        <v>2229</v>
      </c>
      <c r="J1227">
        <v>2</v>
      </c>
      <c r="K1227">
        <v>1</v>
      </c>
      <c r="L1227" t="s">
        <v>2260</v>
      </c>
      <c r="M1227" t="s">
        <v>2677</v>
      </c>
      <c r="P1227" t="s">
        <v>2799</v>
      </c>
      <c r="Q1227" t="s">
        <v>2113</v>
      </c>
      <c r="R1227" t="s">
        <v>3259</v>
      </c>
      <c r="S1227" t="s">
        <v>3267</v>
      </c>
      <c r="X1227" t="s">
        <v>3354</v>
      </c>
      <c r="Y1227" t="s">
        <v>2678</v>
      </c>
      <c r="Z1227" t="s">
        <v>3359</v>
      </c>
      <c r="AA1227" t="s">
        <v>3406</v>
      </c>
      <c r="AB1227" t="s">
        <v>3415</v>
      </c>
      <c r="AC1227">
        <f>HYPERLINK("https://lsnyc.legalserver.org/matter/dynamic-profile/view/1881214","18-1881214")</f>
        <v>0</v>
      </c>
      <c r="AD1227" t="s">
        <v>3443</v>
      </c>
      <c r="AE1227" t="s">
        <v>3472</v>
      </c>
      <c r="AF1227" t="s">
        <v>4096</v>
      </c>
      <c r="AG1227" t="s">
        <v>3359</v>
      </c>
      <c r="AH1227" t="s">
        <v>4906</v>
      </c>
      <c r="AL1227" t="s">
        <v>2114</v>
      </c>
      <c r="AN1227" t="s">
        <v>3415</v>
      </c>
    </row>
    <row r="1228" spans="1:40">
      <c r="A1228" s="1" t="s">
        <v>1264</v>
      </c>
      <c r="B1228" t="s">
        <v>1998</v>
      </c>
      <c r="C1228" t="s">
        <v>2003</v>
      </c>
      <c r="D1228" t="s">
        <v>2037</v>
      </c>
      <c r="E1228" t="s">
        <v>2112</v>
      </c>
      <c r="F1228" t="s">
        <v>2174</v>
      </c>
      <c r="G1228" t="s">
        <v>2212</v>
      </c>
      <c r="H1228">
        <v>11374</v>
      </c>
      <c r="I1228" t="s">
        <v>2232</v>
      </c>
      <c r="J1228">
        <v>2</v>
      </c>
      <c r="K1228">
        <v>1</v>
      </c>
      <c r="L1228" t="s">
        <v>2260</v>
      </c>
      <c r="M1228" t="s">
        <v>2677</v>
      </c>
      <c r="P1228" t="s">
        <v>2962</v>
      </c>
      <c r="Q1228" t="s">
        <v>2113</v>
      </c>
      <c r="R1228" t="s">
        <v>3259</v>
      </c>
      <c r="S1228" t="s">
        <v>3267</v>
      </c>
      <c r="X1228" t="s">
        <v>3354</v>
      </c>
      <c r="Y1228" t="s">
        <v>2678</v>
      </c>
      <c r="Z1228" t="s">
        <v>3359</v>
      </c>
      <c r="AA1228" t="s">
        <v>3406</v>
      </c>
      <c r="AB1228" t="s">
        <v>3415</v>
      </c>
      <c r="AC1228">
        <f>HYPERLINK("https://lsnyc.legalserver.org/matter/dynamic-profile/view/1882074","18-1882074")</f>
        <v>0</v>
      </c>
      <c r="AD1228" t="s">
        <v>3447</v>
      </c>
      <c r="AE1228" t="s">
        <v>3478</v>
      </c>
      <c r="AF1228" t="s">
        <v>4408</v>
      </c>
      <c r="AG1228" t="s">
        <v>3359</v>
      </c>
      <c r="AH1228" t="s">
        <v>4906</v>
      </c>
      <c r="AK1228" t="s">
        <v>4911</v>
      </c>
      <c r="AL1228" t="s">
        <v>2174</v>
      </c>
      <c r="AN1228" t="s">
        <v>3415</v>
      </c>
    </row>
    <row r="1229" spans="1:40">
      <c r="A1229" s="1" t="s">
        <v>1265</v>
      </c>
      <c r="B1229" t="s">
        <v>2012</v>
      </c>
      <c r="C1229" t="s">
        <v>2002</v>
      </c>
      <c r="D1229" t="s">
        <v>2057</v>
      </c>
      <c r="E1229" t="s">
        <v>2112</v>
      </c>
      <c r="F1229" t="s">
        <v>2115</v>
      </c>
      <c r="G1229" t="s">
        <v>2214</v>
      </c>
      <c r="H1229">
        <v>11218</v>
      </c>
      <c r="I1229" t="s">
        <v>2229</v>
      </c>
      <c r="J1229">
        <v>4</v>
      </c>
      <c r="K1229">
        <v>3</v>
      </c>
      <c r="L1229" t="s">
        <v>2517</v>
      </c>
      <c r="M1229" t="s">
        <v>2677</v>
      </c>
      <c r="P1229" t="s">
        <v>2963</v>
      </c>
      <c r="Q1229" t="s">
        <v>2113</v>
      </c>
      <c r="R1229" t="s">
        <v>3259</v>
      </c>
      <c r="S1229" t="s">
        <v>3264</v>
      </c>
      <c r="X1229" t="s">
        <v>3354</v>
      </c>
      <c r="Y1229" t="s">
        <v>2677</v>
      </c>
      <c r="Z1229" t="s">
        <v>3357</v>
      </c>
      <c r="AA1229" t="s">
        <v>3406</v>
      </c>
      <c r="AB1229" t="s">
        <v>3412</v>
      </c>
      <c r="AC1229">
        <f>HYPERLINK("https://lsnyc.legalserver.org/matter/dynamic-profile/view/1881045","18-1881045")</f>
        <v>0</v>
      </c>
      <c r="AD1229" t="s">
        <v>3445</v>
      </c>
      <c r="AE1229" t="s">
        <v>3455</v>
      </c>
      <c r="AF1229" t="s">
        <v>4409</v>
      </c>
      <c r="AG1229" t="s">
        <v>3357</v>
      </c>
      <c r="AH1229" t="s">
        <v>4904</v>
      </c>
      <c r="AK1229" t="s">
        <v>4911</v>
      </c>
      <c r="AL1229" t="s">
        <v>2115</v>
      </c>
      <c r="AN1229" t="s">
        <v>3412</v>
      </c>
    </row>
    <row r="1230" spans="1:40">
      <c r="A1230" s="1" t="s">
        <v>1266</v>
      </c>
      <c r="B1230" t="s">
        <v>1998</v>
      </c>
      <c r="C1230" t="s">
        <v>2000</v>
      </c>
      <c r="D1230" t="s">
        <v>2065</v>
      </c>
      <c r="E1230" t="s">
        <v>2111</v>
      </c>
      <c r="F1230" t="s">
        <v>2117</v>
      </c>
      <c r="G1230" t="s">
        <v>2213</v>
      </c>
      <c r="H1230">
        <v>10457</v>
      </c>
      <c r="I1230" t="s">
        <v>2229</v>
      </c>
      <c r="J1230">
        <v>2</v>
      </c>
      <c r="K1230">
        <v>1</v>
      </c>
      <c r="L1230" t="s">
        <v>2260</v>
      </c>
      <c r="M1230" t="s">
        <v>2677</v>
      </c>
      <c r="P1230" t="s">
        <v>2794</v>
      </c>
      <c r="Q1230" t="s">
        <v>2113</v>
      </c>
      <c r="R1230" t="s">
        <v>3259</v>
      </c>
      <c r="S1230" t="s">
        <v>3267</v>
      </c>
      <c r="T1230" t="s">
        <v>3294</v>
      </c>
      <c r="U1230" t="s">
        <v>3306</v>
      </c>
      <c r="X1230" t="s">
        <v>3354</v>
      </c>
      <c r="Y1230" t="s">
        <v>2678</v>
      </c>
      <c r="Z1230" t="s">
        <v>3380</v>
      </c>
      <c r="AA1230" t="s">
        <v>3406</v>
      </c>
      <c r="AB1230" t="s">
        <v>3415</v>
      </c>
      <c r="AC1230">
        <f>HYPERLINK("https://lsnyc.legalserver.org/matter/dynamic-profile/view/1881110","18-1881110")</f>
        <v>0</v>
      </c>
      <c r="AD1230" t="s">
        <v>3442</v>
      </c>
      <c r="AE1230" t="s">
        <v>3470</v>
      </c>
      <c r="AF1230" t="s">
        <v>4068</v>
      </c>
      <c r="AG1230" t="s">
        <v>3380</v>
      </c>
      <c r="AH1230" t="s">
        <v>4906</v>
      </c>
      <c r="AL1230" t="s">
        <v>2117</v>
      </c>
      <c r="AM1230" t="s">
        <v>3294</v>
      </c>
      <c r="AN1230" t="s">
        <v>3415</v>
      </c>
    </row>
    <row r="1231" spans="1:40">
      <c r="A1231" s="1" t="s">
        <v>1267</v>
      </c>
      <c r="B1231" t="s">
        <v>2000</v>
      </c>
      <c r="C1231" t="s">
        <v>2002</v>
      </c>
      <c r="D1231" t="s">
        <v>2062</v>
      </c>
      <c r="E1231" t="s">
        <v>2111</v>
      </c>
      <c r="F1231" t="s">
        <v>2160</v>
      </c>
      <c r="G1231" t="s">
        <v>2212</v>
      </c>
      <c r="H1231">
        <v>11104</v>
      </c>
      <c r="I1231" t="s">
        <v>2229</v>
      </c>
      <c r="J1231">
        <v>3</v>
      </c>
      <c r="K1231">
        <v>1</v>
      </c>
      <c r="L1231" t="s">
        <v>2316</v>
      </c>
      <c r="M1231" t="s">
        <v>2677</v>
      </c>
      <c r="P1231" t="s">
        <v>2963</v>
      </c>
      <c r="Q1231" t="s">
        <v>2113</v>
      </c>
      <c r="R1231" t="s">
        <v>3259</v>
      </c>
      <c r="S1231" t="s">
        <v>3267</v>
      </c>
      <c r="X1231" t="s">
        <v>3354</v>
      </c>
      <c r="Y1231" t="s">
        <v>2678</v>
      </c>
      <c r="Z1231" t="s">
        <v>3359</v>
      </c>
      <c r="AA1231" t="s">
        <v>3406</v>
      </c>
      <c r="AB1231" t="s">
        <v>3415</v>
      </c>
      <c r="AC1231">
        <f>HYPERLINK("https://lsnyc.legalserver.org/matter/dynamic-profile/view/1881130","18-1881130")</f>
        <v>0</v>
      </c>
      <c r="AD1231" t="s">
        <v>3446</v>
      </c>
      <c r="AE1231" t="s">
        <v>3456</v>
      </c>
      <c r="AF1231" t="s">
        <v>4410</v>
      </c>
      <c r="AG1231" t="s">
        <v>3359</v>
      </c>
      <c r="AH1231" t="s">
        <v>4908</v>
      </c>
      <c r="AK1231" t="s">
        <v>4911</v>
      </c>
      <c r="AL1231" t="s">
        <v>2160</v>
      </c>
      <c r="AN1231" t="s">
        <v>3415</v>
      </c>
    </row>
    <row r="1232" spans="1:40">
      <c r="A1232" s="1" t="s">
        <v>1268</v>
      </c>
      <c r="B1232" t="s">
        <v>2013</v>
      </c>
      <c r="C1232" t="s">
        <v>2016</v>
      </c>
      <c r="D1232" t="s">
        <v>2087</v>
      </c>
      <c r="E1232" t="s">
        <v>2112</v>
      </c>
      <c r="F1232" t="s">
        <v>2195</v>
      </c>
      <c r="G1232" t="s">
        <v>2212</v>
      </c>
      <c r="H1232">
        <v>11375</v>
      </c>
      <c r="I1232" t="s">
        <v>2251</v>
      </c>
      <c r="J1232">
        <v>2</v>
      </c>
      <c r="K1232">
        <v>0</v>
      </c>
      <c r="L1232" t="s">
        <v>2260</v>
      </c>
      <c r="M1232" t="s">
        <v>2677</v>
      </c>
      <c r="P1232" t="s">
        <v>2963</v>
      </c>
      <c r="Q1232" t="s">
        <v>2113</v>
      </c>
      <c r="R1232" t="s">
        <v>3258</v>
      </c>
      <c r="S1232" t="s">
        <v>3271</v>
      </c>
      <c r="X1232" t="s">
        <v>3354</v>
      </c>
      <c r="Y1232" t="s">
        <v>2677</v>
      </c>
      <c r="Z1232" t="s">
        <v>3362</v>
      </c>
      <c r="AA1232" t="s">
        <v>3406</v>
      </c>
      <c r="AB1232" t="s">
        <v>3419</v>
      </c>
      <c r="AC1232">
        <f>HYPERLINK("https://lsnyc.legalserver.org/matter/dynamic-profile/view/1881145","18-1881145")</f>
        <v>0</v>
      </c>
      <c r="AD1232" t="s">
        <v>3443</v>
      </c>
      <c r="AE1232" t="s">
        <v>3490</v>
      </c>
      <c r="AF1232" t="s">
        <v>4411</v>
      </c>
      <c r="AG1232" t="s">
        <v>3362</v>
      </c>
      <c r="AH1232" t="s">
        <v>4904</v>
      </c>
      <c r="AK1232" t="s">
        <v>4911</v>
      </c>
      <c r="AL1232" t="s">
        <v>2195</v>
      </c>
      <c r="AN1232" t="s">
        <v>3419</v>
      </c>
    </row>
    <row r="1233" spans="1:41">
      <c r="A1233" s="1" t="s">
        <v>1269</v>
      </c>
      <c r="B1233" t="s">
        <v>1998</v>
      </c>
      <c r="C1233" t="s">
        <v>2001</v>
      </c>
      <c r="D1233" t="s">
        <v>2026</v>
      </c>
      <c r="E1233" t="s">
        <v>2112</v>
      </c>
      <c r="F1233" t="s">
        <v>2117</v>
      </c>
      <c r="G1233" t="s">
        <v>2213</v>
      </c>
      <c r="H1233">
        <v>10460</v>
      </c>
      <c r="I1233" t="s">
        <v>2229</v>
      </c>
      <c r="J1233">
        <v>2</v>
      </c>
      <c r="K1233">
        <v>1</v>
      </c>
      <c r="L1233" t="s">
        <v>2260</v>
      </c>
      <c r="M1233" t="s">
        <v>2677</v>
      </c>
      <c r="P1233" t="s">
        <v>2963</v>
      </c>
      <c r="Q1233" t="s">
        <v>2113</v>
      </c>
      <c r="R1233" t="s">
        <v>3259</v>
      </c>
      <c r="S1233" t="s">
        <v>3267</v>
      </c>
      <c r="X1233" t="s">
        <v>3354</v>
      </c>
      <c r="Y1233" t="s">
        <v>2678</v>
      </c>
      <c r="Z1233" t="s">
        <v>3359</v>
      </c>
      <c r="AA1233" t="s">
        <v>3406</v>
      </c>
      <c r="AB1233" t="s">
        <v>3415</v>
      </c>
      <c r="AC1233">
        <f>HYPERLINK("https://lsnyc.legalserver.org/matter/dynamic-profile/view/1881159","18-1881159")</f>
        <v>0</v>
      </c>
      <c r="AD1233" t="s">
        <v>3444</v>
      </c>
      <c r="AE1233" t="s">
        <v>3466</v>
      </c>
      <c r="AF1233" t="s">
        <v>3660</v>
      </c>
      <c r="AG1233" t="s">
        <v>3359</v>
      </c>
      <c r="AH1233" t="s">
        <v>4906</v>
      </c>
      <c r="AK1233" t="s">
        <v>4911</v>
      </c>
      <c r="AL1233" t="s">
        <v>2117</v>
      </c>
      <c r="AN1233" t="s">
        <v>3415</v>
      </c>
    </row>
    <row r="1234" spans="1:41">
      <c r="A1234" s="1" t="s">
        <v>1270</v>
      </c>
      <c r="B1234" t="s">
        <v>1998</v>
      </c>
      <c r="C1234" t="s">
        <v>2000</v>
      </c>
      <c r="D1234" t="s">
        <v>2084</v>
      </c>
      <c r="E1234" t="s">
        <v>2112</v>
      </c>
      <c r="F1234" t="s">
        <v>2115</v>
      </c>
      <c r="G1234" t="s">
        <v>2213</v>
      </c>
      <c r="H1234">
        <v>10454</v>
      </c>
      <c r="I1234" t="s">
        <v>2229</v>
      </c>
      <c r="J1234">
        <v>3</v>
      </c>
      <c r="K1234">
        <v>1</v>
      </c>
      <c r="L1234" t="s">
        <v>2297</v>
      </c>
      <c r="M1234" t="s">
        <v>2677</v>
      </c>
      <c r="P1234" t="s">
        <v>2964</v>
      </c>
      <c r="Q1234" t="s">
        <v>2113</v>
      </c>
      <c r="R1234" t="s">
        <v>3259</v>
      </c>
      <c r="S1234" t="s">
        <v>3267</v>
      </c>
      <c r="X1234" t="s">
        <v>3354</v>
      </c>
      <c r="Y1234" t="s">
        <v>2678</v>
      </c>
      <c r="Z1234" t="s">
        <v>3380</v>
      </c>
      <c r="AA1234" t="s">
        <v>3406</v>
      </c>
      <c r="AB1234" t="s">
        <v>3415</v>
      </c>
      <c r="AC1234">
        <f>HYPERLINK("https://lsnyc.legalserver.org/matter/dynamic-profile/view/1880907","18-1880907")</f>
        <v>0</v>
      </c>
      <c r="AD1234" t="s">
        <v>3444</v>
      </c>
      <c r="AE1234" t="s">
        <v>3466</v>
      </c>
      <c r="AF1234" t="s">
        <v>3867</v>
      </c>
      <c r="AG1234" t="s">
        <v>3380</v>
      </c>
      <c r="AH1234" t="s">
        <v>4906</v>
      </c>
      <c r="AK1234" t="s">
        <v>4911</v>
      </c>
      <c r="AL1234" t="s">
        <v>2115</v>
      </c>
      <c r="AN1234" t="s">
        <v>3415</v>
      </c>
    </row>
    <row r="1235" spans="1:41">
      <c r="A1235" s="1" t="s">
        <v>1271</v>
      </c>
      <c r="B1235" t="s">
        <v>2005</v>
      </c>
      <c r="C1235" t="s">
        <v>2015</v>
      </c>
      <c r="D1235" t="s">
        <v>2045</v>
      </c>
      <c r="E1235" t="s">
        <v>2111</v>
      </c>
      <c r="F1235" t="s">
        <v>2120</v>
      </c>
      <c r="G1235" t="s">
        <v>2213</v>
      </c>
      <c r="H1235">
        <v>10469</v>
      </c>
      <c r="I1235" t="s">
        <v>2230</v>
      </c>
      <c r="J1235">
        <v>2</v>
      </c>
      <c r="K1235">
        <v>0</v>
      </c>
      <c r="L1235" t="s">
        <v>2283</v>
      </c>
      <c r="M1235" t="s">
        <v>2677</v>
      </c>
      <c r="P1235" t="s">
        <v>2964</v>
      </c>
      <c r="Q1235" t="s">
        <v>2113</v>
      </c>
      <c r="R1235" t="s">
        <v>3259</v>
      </c>
      <c r="S1235" t="s">
        <v>3268</v>
      </c>
      <c r="X1235" t="s">
        <v>3354</v>
      </c>
      <c r="Y1235" t="s">
        <v>2677</v>
      </c>
      <c r="Z1235" t="s">
        <v>3368</v>
      </c>
      <c r="AA1235" t="s">
        <v>3406</v>
      </c>
      <c r="AB1235" t="s">
        <v>3416</v>
      </c>
      <c r="AC1235">
        <f>HYPERLINK("https://lsnyc.legalserver.org/matter/dynamic-profile/view/1880969","18-1880969")</f>
        <v>0</v>
      </c>
      <c r="AD1235" t="s">
        <v>3445</v>
      </c>
      <c r="AE1235" t="s">
        <v>3455</v>
      </c>
      <c r="AF1235" t="s">
        <v>4412</v>
      </c>
      <c r="AG1235" t="s">
        <v>3368</v>
      </c>
      <c r="AH1235" t="s">
        <v>4904</v>
      </c>
      <c r="AK1235" t="s">
        <v>4911</v>
      </c>
      <c r="AL1235" t="s">
        <v>2120</v>
      </c>
      <c r="AN1235" t="s">
        <v>3416</v>
      </c>
    </row>
    <row r="1236" spans="1:41">
      <c r="A1236" s="1" t="s">
        <v>1272</v>
      </c>
      <c r="B1236" t="s">
        <v>2009</v>
      </c>
      <c r="C1236" t="s">
        <v>1998</v>
      </c>
      <c r="D1236" t="s">
        <v>2046</v>
      </c>
      <c r="E1236" t="s">
        <v>2112</v>
      </c>
      <c r="F1236" t="s">
        <v>2121</v>
      </c>
      <c r="G1236" t="s">
        <v>2212</v>
      </c>
      <c r="H1236">
        <v>11372</v>
      </c>
      <c r="I1236" t="s">
        <v>2229</v>
      </c>
      <c r="J1236">
        <v>1</v>
      </c>
      <c r="K1236">
        <v>0</v>
      </c>
      <c r="L1236" t="s">
        <v>2272</v>
      </c>
      <c r="M1236" t="s">
        <v>2677</v>
      </c>
      <c r="P1236" t="s">
        <v>2964</v>
      </c>
      <c r="Q1236" t="s">
        <v>2113</v>
      </c>
      <c r="R1236" t="s">
        <v>3258</v>
      </c>
      <c r="S1236" t="s">
        <v>3271</v>
      </c>
      <c r="X1236" t="s">
        <v>3354</v>
      </c>
      <c r="Y1236" t="s">
        <v>2677</v>
      </c>
      <c r="Z1236" t="s">
        <v>3362</v>
      </c>
      <c r="AA1236" t="s">
        <v>3406</v>
      </c>
      <c r="AB1236" t="s">
        <v>3419</v>
      </c>
      <c r="AC1236">
        <f>HYPERLINK("https://lsnyc.legalserver.org/matter/dynamic-profile/view/1880987","18-1880987")</f>
        <v>0</v>
      </c>
      <c r="AD1236" t="s">
        <v>3445</v>
      </c>
      <c r="AE1236" t="s">
        <v>3452</v>
      </c>
      <c r="AF1236" t="s">
        <v>3519</v>
      </c>
      <c r="AG1236" t="s">
        <v>3362</v>
      </c>
      <c r="AH1236" t="s">
        <v>4904</v>
      </c>
      <c r="AK1236" t="s">
        <v>4911</v>
      </c>
      <c r="AL1236" t="s">
        <v>2121</v>
      </c>
      <c r="AN1236" t="s">
        <v>3419</v>
      </c>
    </row>
    <row r="1237" spans="1:41">
      <c r="A1237" s="1" t="s">
        <v>1273</v>
      </c>
      <c r="B1237" t="s">
        <v>1998</v>
      </c>
      <c r="C1237" t="s">
        <v>2004</v>
      </c>
      <c r="D1237" t="s">
        <v>2057</v>
      </c>
      <c r="E1237" t="s">
        <v>2112</v>
      </c>
      <c r="F1237" t="s">
        <v>2122</v>
      </c>
      <c r="G1237" t="s">
        <v>2211</v>
      </c>
      <c r="H1237">
        <v>10038</v>
      </c>
      <c r="I1237" t="s">
        <v>2230</v>
      </c>
      <c r="J1237">
        <v>1</v>
      </c>
      <c r="K1237">
        <v>0</v>
      </c>
      <c r="L1237" t="s">
        <v>2260</v>
      </c>
      <c r="M1237" t="s">
        <v>2677</v>
      </c>
      <c r="P1237" t="s">
        <v>2964</v>
      </c>
      <c r="Q1237" t="s">
        <v>2113</v>
      </c>
      <c r="R1237" t="s">
        <v>3259</v>
      </c>
      <c r="S1237" t="s">
        <v>3268</v>
      </c>
      <c r="X1237" t="s">
        <v>3354</v>
      </c>
      <c r="Y1237" t="s">
        <v>2677</v>
      </c>
      <c r="Z1237" t="s">
        <v>3368</v>
      </c>
      <c r="AA1237" t="s">
        <v>3406</v>
      </c>
      <c r="AB1237" t="s">
        <v>3416</v>
      </c>
      <c r="AC1237">
        <f>HYPERLINK("https://lsnyc.legalserver.org/matter/dynamic-profile/view/1881018","18-1881018")</f>
        <v>0</v>
      </c>
      <c r="AD1237" t="s">
        <v>3445</v>
      </c>
      <c r="AE1237" t="s">
        <v>3455</v>
      </c>
      <c r="AF1237" t="s">
        <v>4413</v>
      </c>
      <c r="AG1237" t="s">
        <v>3368</v>
      </c>
      <c r="AH1237" t="s">
        <v>4904</v>
      </c>
      <c r="AK1237" t="s">
        <v>4911</v>
      </c>
      <c r="AL1237" t="s">
        <v>2122</v>
      </c>
      <c r="AN1237" t="s">
        <v>3416</v>
      </c>
    </row>
    <row r="1238" spans="1:41">
      <c r="A1238" s="1" t="s">
        <v>1274</v>
      </c>
      <c r="B1238" t="s">
        <v>2014</v>
      </c>
      <c r="C1238" t="s">
        <v>2016</v>
      </c>
      <c r="D1238" t="s">
        <v>2031</v>
      </c>
      <c r="E1238" t="s">
        <v>2112</v>
      </c>
      <c r="F1238" t="s">
        <v>2196</v>
      </c>
      <c r="G1238" t="s">
        <v>2213</v>
      </c>
      <c r="H1238">
        <v>10456</v>
      </c>
      <c r="J1238">
        <v>2</v>
      </c>
      <c r="K1238">
        <v>1</v>
      </c>
      <c r="L1238" t="s">
        <v>2260</v>
      </c>
      <c r="M1238" t="s">
        <v>2677</v>
      </c>
      <c r="P1238" t="s">
        <v>2964</v>
      </c>
      <c r="Q1238" t="s">
        <v>3255</v>
      </c>
      <c r="R1238" t="s">
        <v>3259</v>
      </c>
      <c r="S1238" t="s">
        <v>3268</v>
      </c>
      <c r="T1238" t="s">
        <v>3294</v>
      </c>
      <c r="U1238" t="s">
        <v>2960</v>
      </c>
      <c r="X1238" t="s">
        <v>3354</v>
      </c>
      <c r="Y1238" t="s">
        <v>2678</v>
      </c>
      <c r="Z1238" t="s">
        <v>3360</v>
      </c>
      <c r="AA1238" t="s">
        <v>3406</v>
      </c>
      <c r="AB1238" t="s">
        <v>3416</v>
      </c>
      <c r="AC1238">
        <f>HYPERLINK("https://lsnyc.legalserver.org/matter/dynamic-profile/view/1881154","18-1881154")</f>
        <v>0</v>
      </c>
      <c r="AD1238" t="s">
        <v>3447</v>
      </c>
      <c r="AE1238" t="s">
        <v>3463</v>
      </c>
      <c r="AF1238" t="s">
        <v>3591</v>
      </c>
      <c r="AG1238" t="s">
        <v>3360</v>
      </c>
      <c r="AH1238" t="s">
        <v>4904</v>
      </c>
      <c r="AK1238" t="s">
        <v>4911</v>
      </c>
      <c r="AL1238" t="s">
        <v>2196</v>
      </c>
      <c r="AM1238" t="s">
        <v>3294</v>
      </c>
      <c r="AN1238" t="s">
        <v>3416</v>
      </c>
    </row>
    <row r="1239" spans="1:41">
      <c r="A1239" s="1" t="s">
        <v>1275</v>
      </c>
      <c r="B1239" t="s">
        <v>1998</v>
      </c>
      <c r="C1239" t="s">
        <v>2009</v>
      </c>
      <c r="D1239" t="s">
        <v>2051</v>
      </c>
      <c r="E1239" t="s">
        <v>2112</v>
      </c>
      <c r="F1239" t="s">
        <v>2116</v>
      </c>
      <c r="G1239" t="s">
        <v>2212</v>
      </c>
      <c r="H1239">
        <v>11368</v>
      </c>
      <c r="I1239" t="s">
        <v>2229</v>
      </c>
      <c r="J1239">
        <v>3</v>
      </c>
      <c r="K1239">
        <v>2</v>
      </c>
      <c r="L1239" t="s">
        <v>2273</v>
      </c>
      <c r="M1239" t="s">
        <v>2677</v>
      </c>
      <c r="P1239" t="s">
        <v>2965</v>
      </c>
      <c r="Q1239" t="s">
        <v>2113</v>
      </c>
      <c r="R1239" t="s">
        <v>3259</v>
      </c>
      <c r="S1239" t="s">
        <v>3264</v>
      </c>
      <c r="X1239" t="s">
        <v>3354</v>
      </c>
      <c r="Y1239" t="s">
        <v>2677</v>
      </c>
      <c r="Z1239" t="s">
        <v>3357</v>
      </c>
      <c r="AA1239" t="s">
        <v>3406</v>
      </c>
      <c r="AB1239" t="s">
        <v>3412</v>
      </c>
      <c r="AC1239">
        <f>HYPERLINK("https://lsnyc.legalserver.org/matter/dynamic-profile/view/1880869","18-1880869")</f>
        <v>0</v>
      </c>
      <c r="AD1239" t="s">
        <v>3445</v>
      </c>
      <c r="AE1239" t="s">
        <v>3455</v>
      </c>
      <c r="AF1239" t="s">
        <v>4293</v>
      </c>
      <c r="AG1239" t="s">
        <v>3357</v>
      </c>
      <c r="AH1239" t="s">
        <v>4904</v>
      </c>
      <c r="AK1239" t="s">
        <v>4911</v>
      </c>
      <c r="AL1239" t="s">
        <v>2116</v>
      </c>
      <c r="AN1239" t="s">
        <v>3412</v>
      </c>
    </row>
    <row r="1240" spans="1:41">
      <c r="A1240" s="1" t="s">
        <v>1276</v>
      </c>
      <c r="B1240" t="s">
        <v>2001</v>
      </c>
      <c r="C1240" t="s">
        <v>2012</v>
      </c>
      <c r="D1240" t="s">
        <v>2027</v>
      </c>
      <c r="E1240" t="s">
        <v>2111</v>
      </c>
      <c r="F1240" t="s">
        <v>2115</v>
      </c>
      <c r="G1240" t="s">
        <v>2214</v>
      </c>
      <c r="H1240">
        <v>11220</v>
      </c>
      <c r="I1240" t="s">
        <v>2229</v>
      </c>
      <c r="J1240">
        <v>5</v>
      </c>
      <c r="K1240">
        <v>3</v>
      </c>
      <c r="L1240" t="s">
        <v>2272</v>
      </c>
      <c r="M1240" t="s">
        <v>2677</v>
      </c>
      <c r="P1240" t="s">
        <v>2966</v>
      </c>
      <c r="Q1240" t="s">
        <v>2113</v>
      </c>
      <c r="R1240" t="s">
        <v>3259</v>
      </c>
      <c r="S1240" t="s">
        <v>3267</v>
      </c>
      <c r="X1240" t="s">
        <v>3354</v>
      </c>
      <c r="Y1240" t="s">
        <v>2677</v>
      </c>
      <c r="Z1240" t="s">
        <v>3359</v>
      </c>
      <c r="AA1240" t="s">
        <v>3406</v>
      </c>
      <c r="AB1240" t="s">
        <v>3415</v>
      </c>
      <c r="AC1240">
        <f>HYPERLINK("https://lsnyc.legalserver.org/matter/dynamic-profile/view/1880794","18-1880794")</f>
        <v>0</v>
      </c>
      <c r="AD1240" t="s">
        <v>3445</v>
      </c>
      <c r="AE1240" t="s">
        <v>3455</v>
      </c>
      <c r="AF1240" t="s">
        <v>4414</v>
      </c>
      <c r="AG1240" t="s">
        <v>3359</v>
      </c>
      <c r="AH1240" t="s">
        <v>4906</v>
      </c>
      <c r="AI1240" t="s">
        <v>4909</v>
      </c>
      <c r="AK1240" t="s">
        <v>4911</v>
      </c>
      <c r="AL1240" t="s">
        <v>2115</v>
      </c>
      <c r="AN1240" t="s">
        <v>3415</v>
      </c>
    </row>
    <row r="1241" spans="1:41">
      <c r="A1241" s="1" t="s">
        <v>1277</v>
      </c>
      <c r="B1241" t="s">
        <v>2001</v>
      </c>
      <c r="C1241" t="s">
        <v>2016</v>
      </c>
      <c r="D1241" t="s">
        <v>2040</v>
      </c>
      <c r="E1241" t="s">
        <v>2112</v>
      </c>
      <c r="F1241" t="s">
        <v>2117</v>
      </c>
      <c r="G1241" t="s">
        <v>2213</v>
      </c>
      <c r="H1241">
        <v>10454</v>
      </c>
      <c r="J1241">
        <v>5</v>
      </c>
      <c r="K1241">
        <v>2</v>
      </c>
      <c r="L1241" t="s">
        <v>2262</v>
      </c>
      <c r="M1241" t="s">
        <v>2677</v>
      </c>
      <c r="P1241" t="s">
        <v>2966</v>
      </c>
      <c r="Q1241" t="s">
        <v>3255</v>
      </c>
      <c r="R1241" t="s">
        <v>3259</v>
      </c>
      <c r="S1241" t="s">
        <v>3270</v>
      </c>
      <c r="T1241" t="s">
        <v>3294</v>
      </c>
      <c r="U1241" t="s">
        <v>2967</v>
      </c>
      <c r="V1241" t="s">
        <v>3353</v>
      </c>
      <c r="X1241" t="s">
        <v>3354</v>
      </c>
      <c r="Y1241" t="s">
        <v>2678</v>
      </c>
      <c r="Z1241" t="s">
        <v>3364</v>
      </c>
      <c r="AA1241" t="s">
        <v>3406</v>
      </c>
      <c r="AB1241" t="s">
        <v>3418</v>
      </c>
      <c r="AC1241">
        <f>HYPERLINK("https://lsnyc.legalserver.org/matter/dynamic-profile/view/1880828","18-1880828")</f>
        <v>0</v>
      </c>
      <c r="AD1241" t="s">
        <v>3444</v>
      </c>
      <c r="AE1241" t="s">
        <v>3468</v>
      </c>
      <c r="AF1241" t="s">
        <v>3831</v>
      </c>
      <c r="AG1241" t="s">
        <v>3364</v>
      </c>
      <c r="AH1241" t="s">
        <v>4904</v>
      </c>
      <c r="AK1241" t="s">
        <v>4911</v>
      </c>
      <c r="AL1241" t="s">
        <v>2117</v>
      </c>
      <c r="AM1241" t="s">
        <v>3294</v>
      </c>
      <c r="AN1241" t="s">
        <v>3418</v>
      </c>
      <c r="AO1241" t="s">
        <v>3353</v>
      </c>
    </row>
    <row r="1242" spans="1:41">
      <c r="A1242" s="1" t="s">
        <v>1278</v>
      </c>
      <c r="B1242" t="s">
        <v>2012</v>
      </c>
      <c r="C1242" t="s">
        <v>1998</v>
      </c>
      <c r="D1242" t="s">
        <v>2028</v>
      </c>
      <c r="E1242" t="s">
        <v>2112</v>
      </c>
      <c r="F1242" t="s">
        <v>2123</v>
      </c>
      <c r="G1242" t="s">
        <v>2211</v>
      </c>
      <c r="H1242">
        <v>10027</v>
      </c>
      <c r="I1242" t="s">
        <v>2230</v>
      </c>
      <c r="J1242">
        <v>3</v>
      </c>
      <c r="K1242">
        <v>2</v>
      </c>
      <c r="L1242" t="s">
        <v>2518</v>
      </c>
      <c r="M1242" t="s">
        <v>2677</v>
      </c>
      <c r="P1242" t="s">
        <v>2966</v>
      </c>
      <c r="Q1242" t="s">
        <v>2113</v>
      </c>
      <c r="R1242" t="s">
        <v>3260</v>
      </c>
      <c r="S1242" t="s">
        <v>3266</v>
      </c>
      <c r="X1242" t="s">
        <v>3354</v>
      </c>
      <c r="Y1242" t="s">
        <v>2677</v>
      </c>
      <c r="AB1242" t="s">
        <v>3414</v>
      </c>
      <c r="AC1242">
        <f>HYPERLINK("https://lsnyc.legalserver.org/matter/dynamic-profile/view/1917896","20-1917896")</f>
        <v>0</v>
      </c>
      <c r="AD1242" t="s">
        <v>3445</v>
      </c>
      <c r="AE1242" t="s">
        <v>3452</v>
      </c>
      <c r="AF1242" t="s">
        <v>4415</v>
      </c>
      <c r="AI1242" t="s">
        <v>4909</v>
      </c>
      <c r="AL1242" t="s">
        <v>2123</v>
      </c>
      <c r="AN1242" t="s">
        <v>3414</v>
      </c>
    </row>
    <row r="1243" spans="1:41">
      <c r="A1243" s="1" t="s">
        <v>1279</v>
      </c>
      <c r="B1243" t="s">
        <v>2001</v>
      </c>
      <c r="C1243" t="s">
        <v>2012</v>
      </c>
      <c r="D1243" t="s">
        <v>2078</v>
      </c>
      <c r="E1243" t="s">
        <v>2112</v>
      </c>
      <c r="F1243" t="s">
        <v>2117</v>
      </c>
      <c r="G1243" t="s">
        <v>2213</v>
      </c>
      <c r="H1243">
        <v>10455</v>
      </c>
      <c r="I1243" t="s">
        <v>2229</v>
      </c>
      <c r="J1243">
        <v>2</v>
      </c>
      <c r="K1243">
        <v>1</v>
      </c>
      <c r="L1243" t="s">
        <v>2260</v>
      </c>
      <c r="M1243" t="s">
        <v>2677</v>
      </c>
      <c r="P1243" t="s">
        <v>2967</v>
      </c>
      <c r="Q1243" t="s">
        <v>2113</v>
      </c>
      <c r="R1243" t="s">
        <v>3259</v>
      </c>
      <c r="S1243" t="s">
        <v>3267</v>
      </c>
      <c r="X1243" t="s">
        <v>3354</v>
      </c>
      <c r="Y1243" t="s">
        <v>2678</v>
      </c>
      <c r="Z1243" t="s">
        <v>3380</v>
      </c>
      <c r="AA1243" t="s">
        <v>3406</v>
      </c>
      <c r="AB1243" t="s">
        <v>3415</v>
      </c>
      <c r="AC1243">
        <f>HYPERLINK("https://lsnyc.legalserver.org/matter/dynamic-profile/view/1880581","18-1880581")</f>
        <v>0</v>
      </c>
      <c r="AD1243" t="s">
        <v>3444</v>
      </c>
      <c r="AE1243" t="s">
        <v>3466</v>
      </c>
      <c r="AF1243" t="s">
        <v>3857</v>
      </c>
      <c r="AG1243" t="s">
        <v>3380</v>
      </c>
      <c r="AH1243" t="s">
        <v>4906</v>
      </c>
      <c r="AK1243" t="s">
        <v>4911</v>
      </c>
      <c r="AL1243" t="s">
        <v>2117</v>
      </c>
      <c r="AN1243" t="s">
        <v>3415</v>
      </c>
    </row>
    <row r="1244" spans="1:41">
      <c r="A1244" s="1" t="s">
        <v>1280</v>
      </c>
      <c r="B1244" t="s">
        <v>2001</v>
      </c>
      <c r="C1244" t="s">
        <v>2016</v>
      </c>
      <c r="D1244" t="s">
        <v>2040</v>
      </c>
      <c r="E1244" t="s">
        <v>2111</v>
      </c>
      <c r="F1244" t="s">
        <v>2117</v>
      </c>
      <c r="G1244" t="s">
        <v>2212</v>
      </c>
      <c r="H1244">
        <v>11691</v>
      </c>
      <c r="I1244" t="s">
        <v>2229</v>
      </c>
      <c r="J1244">
        <v>4</v>
      </c>
      <c r="K1244">
        <v>1</v>
      </c>
      <c r="L1244" t="s">
        <v>2314</v>
      </c>
      <c r="M1244" t="s">
        <v>2677</v>
      </c>
      <c r="P1244" t="s">
        <v>2967</v>
      </c>
      <c r="Q1244" t="s">
        <v>2113</v>
      </c>
      <c r="R1244" t="s">
        <v>3259</v>
      </c>
      <c r="S1244" t="s">
        <v>3267</v>
      </c>
      <c r="X1244" t="s">
        <v>3354</v>
      </c>
      <c r="Y1244" t="s">
        <v>2677</v>
      </c>
      <c r="Z1244" t="s">
        <v>3359</v>
      </c>
      <c r="AA1244" t="s">
        <v>3406</v>
      </c>
      <c r="AB1244" t="s">
        <v>3415</v>
      </c>
      <c r="AC1244">
        <f>HYPERLINK("https://lsnyc.legalserver.org/matter/dynamic-profile/view/1880630","18-1880630")</f>
        <v>0</v>
      </c>
      <c r="AD1244" t="s">
        <v>3445</v>
      </c>
      <c r="AE1244" t="s">
        <v>3455</v>
      </c>
      <c r="AF1244" t="s">
        <v>3921</v>
      </c>
      <c r="AG1244" t="s">
        <v>3359</v>
      </c>
      <c r="AH1244" t="s">
        <v>4906</v>
      </c>
      <c r="AK1244" t="s">
        <v>4911</v>
      </c>
      <c r="AL1244" t="s">
        <v>2117</v>
      </c>
      <c r="AN1244" t="s">
        <v>3415</v>
      </c>
    </row>
    <row r="1245" spans="1:41">
      <c r="A1245" s="1" t="s">
        <v>1281</v>
      </c>
      <c r="B1245" t="s">
        <v>2001</v>
      </c>
      <c r="C1245" t="s">
        <v>2012</v>
      </c>
      <c r="D1245" t="s">
        <v>2027</v>
      </c>
      <c r="E1245" t="s">
        <v>2111</v>
      </c>
      <c r="F1245" t="s">
        <v>2114</v>
      </c>
      <c r="G1245" t="s">
        <v>2216</v>
      </c>
      <c r="H1245">
        <v>10301</v>
      </c>
      <c r="J1245">
        <v>3</v>
      </c>
      <c r="K1245">
        <v>2</v>
      </c>
      <c r="L1245" t="s">
        <v>2260</v>
      </c>
      <c r="M1245" t="s">
        <v>2677</v>
      </c>
      <c r="P1245" t="s">
        <v>2967</v>
      </c>
      <c r="Q1245" t="s">
        <v>2113</v>
      </c>
      <c r="R1245" t="s">
        <v>3259</v>
      </c>
      <c r="S1245" t="s">
        <v>3267</v>
      </c>
      <c r="X1245" t="s">
        <v>3354</v>
      </c>
      <c r="Y1245" t="s">
        <v>2678</v>
      </c>
      <c r="Z1245" t="s">
        <v>3359</v>
      </c>
      <c r="AA1245" t="s">
        <v>3406</v>
      </c>
      <c r="AB1245" t="s">
        <v>3415</v>
      </c>
      <c r="AC1245">
        <f>HYPERLINK("https://lsnyc.legalserver.org/matter/dynamic-profile/view/1880863","18-1880863")</f>
        <v>0</v>
      </c>
      <c r="AD1245" t="s">
        <v>3447</v>
      </c>
      <c r="AE1245" t="s">
        <v>3478</v>
      </c>
      <c r="AF1245" t="s">
        <v>4271</v>
      </c>
      <c r="AG1245" t="s">
        <v>3359</v>
      </c>
      <c r="AH1245" t="s">
        <v>4906</v>
      </c>
      <c r="AK1245" t="s">
        <v>4911</v>
      </c>
      <c r="AL1245" t="s">
        <v>2114</v>
      </c>
      <c r="AN1245" t="s">
        <v>3415</v>
      </c>
    </row>
    <row r="1246" spans="1:41">
      <c r="A1246" s="1" t="s">
        <v>1282</v>
      </c>
      <c r="B1246" t="s">
        <v>2001</v>
      </c>
      <c r="C1246" t="s">
        <v>2012</v>
      </c>
      <c r="D1246" t="s">
        <v>2058</v>
      </c>
      <c r="E1246" t="s">
        <v>2111</v>
      </c>
      <c r="F1246" t="s">
        <v>2114</v>
      </c>
      <c r="G1246" t="s">
        <v>2216</v>
      </c>
      <c r="H1246">
        <v>10301</v>
      </c>
      <c r="I1246" t="s">
        <v>2229</v>
      </c>
      <c r="J1246">
        <v>3</v>
      </c>
      <c r="K1246">
        <v>2</v>
      </c>
      <c r="L1246" t="s">
        <v>2260</v>
      </c>
      <c r="M1246" t="s">
        <v>2677</v>
      </c>
      <c r="P1246" t="s">
        <v>2967</v>
      </c>
      <c r="Q1246" t="s">
        <v>2113</v>
      </c>
      <c r="R1246" t="s">
        <v>3259</v>
      </c>
      <c r="S1246" t="s">
        <v>3267</v>
      </c>
      <c r="X1246" t="s">
        <v>3354</v>
      </c>
      <c r="Y1246" t="s">
        <v>2678</v>
      </c>
      <c r="Z1246" t="s">
        <v>3359</v>
      </c>
      <c r="AA1246" t="s">
        <v>3406</v>
      </c>
      <c r="AB1246" t="s">
        <v>3415</v>
      </c>
      <c r="AC1246">
        <f>HYPERLINK("https://lsnyc.legalserver.org/matter/dynamic-profile/view/1880866","18-1880866")</f>
        <v>0</v>
      </c>
      <c r="AD1246" t="s">
        <v>3447</v>
      </c>
      <c r="AE1246" t="s">
        <v>3478</v>
      </c>
      <c r="AF1246" t="s">
        <v>4276</v>
      </c>
      <c r="AG1246" t="s">
        <v>3359</v>
      </c>
      <c r="AH1246" t="s">
        <v>4906</v>
      </c>
      <c r="AK1246" t="s">
        <v>4911</v>
      </c>
      <c r="AL1246" t="s">
        <v>2114</v>
      </c>
      <c r="AN1246" t="s">
        <v>3415</v>
      </c>
    </row>
    <row r="1247" spans="1:41">
      <c r="A1247" s="1" t="s">
        <v>1283</v>
      </c>
      <c r="B1247" t="s">
        <v>2001</v>
      </c>
      <c r="C1247" t="s">
        <v>2000</v>
      </c>
      <c r="D1247" t="s">
        <v>2057</v>
      </c>
      <c r="E1247" t="s">
        <v>2112</v>
      </c>
      <c r="F1247" t="s">
        <v>2116</v>
      </c>
      <c r="G1247" t="s">
        <v>2216</v>
      </c>
      <c r="H1247">
        <v>10304</v>
      </c>
      <c r="I1247" t="s">
        <v>2230</v>
      </c>
      <c r="J1247">
        <v>7</v>
      </c>
      <c r="K1247">
        <v>3</v>
      </c>
      <c r="L1247" t="s">
        <v>2456</v>
      </c>
      <c r="M1247" t="s">
        <v>2677</v>
      </c>
      <c r="P1247" t="s">
        <v>2968</v>
      </c>
      <c r="Q1247" t="s">
        <v>3255</v>
      </c>
      <c r="R1247" t="s">
        <v>3259</v>
      </c>
      <c r="S1247" t="s">
        <v>3264</v>
      </c>
      <c r="T1247" t="s">
        <v>3294</v>
      </c>
      <c r="U1247" t="s">
        <v>2863</v>
      </c>
      <c r="X1247" t="s">
        <v>3354</v>
      </c>
      <c r="Y1247" t="s">
        <v>2678</v>
      </c>
      <c r="Z1247" t="s">
        <v>3357</v>
      </c>
      <c r="AA1247" t="s">
        <v>3406</v>
      </c>
      <c r="AB1247" t="s">
        <v>3412</v>
      </c>
      <c r="AC1247">
        <f>HYPERLINK("https://lsnyc.legalserver.org/matter/dynamic-profile/view/1878818","18-1878818")</f>
        <v>0</v>
      </c>
      <c r="AD1247" t="s">
        <v>3447</v>
      </c>
      <c r="AE1247" t="s">
        <v>3462</v>
      </c>
      <c r="AF1247" t="s">
        <v>4124</v>
      </c>
      <c r="AG1247" t="s">
        <v>3357</v>
      </c>
      <c r="AH1247" t="s">
        <v>4904</v>
      </c>
      <c r="AK1247" t="s">
        <v>4911</v>
      </c>
      <c r="AL1247" t="s">
        <v>2116</v>
      </c>
      <c r="AM1247" t="s">
        <v>3294</v>
      </c>
      <c r="AN1247" t="s">
        <v>3412</v>
      </c>
    </row>
    <row r="1248" spans="1:41">
      <c r="A1248" s="1" t="s">
        <v>1284</v>
      </c>
      <c r="B1248" t="s">
        <v>2011</v>
      </c>
      <c r="C1248" t="s">
        <v>2009</v>
      </c>
      <c r="D1248" t="s">
        <v>2036</v>
      </c>
      <c r="E1248" t="s">
        <v>2111</v>
      </c>
      <c r="F1248" t="s">
        <v>2144</v>
      </c>
      <c r="G1248" t="s">
        <v>2216</v>
      </c>
      <c r="H1248">
        <v>10303</v>
      </c>
      <c r="I1248" t="s">
        <v>2230</v>
      </c>
      <c r="J1248">
        <v>3</v>
      </c>
      <c r="K1248">
        <v>2</v>
      </c>
      <c r="L1248" t="s">
        <v>2260</v>
      </c>
      <c r="M1248" t="s">
        <v>2677</v>
      </c>
      <c r="P1248" t="s">
        <v>2968</v>
      </c>
      <c r="Q1248" t="s">
        <v>3255</v>
      </c>
      <c r="R1248" t="s">
        <v>3258</v>
      </c>
      <c r="S1248" t="s">
        <v>3262</v>
      </c>
      <c r="T1248" t="s">
        <v>3294</v>
      </c>
      <c r="U1248" t="s">
        <v>2957</v>
      </c>
      <c r="X1248" t="s">
        <v>3354</v>
      </c>
      <c r="Y1248" t="s">
        <v>2678</v>
      </c>
      <c r="Z1248" t="s">
        <v>3355</v>
      </c>
      <c r="AA1248" t="s">
        <v>3406</v>
      </c>
      <c r="AB1248" t="s">
        <v>3410</v>
      </c>
      <c r="AC1248">
        <f>HYPERLINK("https://lsnyc.legalserver.org/matter/dynamic-profile/view/1879652","18-1879652")</f>
        <v>0</v>
      </c>
      <c r="AD1248" t="s">
        <v>3447</v>
      </c>
      <c r="AE1248" t="s">
        <v>3478</v>
      </c>
      <c r="AF1248" t="s">
        <v>4416</v>
      </c>
      <c r="AG1248" t="s">
        <v>3355</v>
      </c>
      <c r="AH1248" t="s">
        <v>4904</v>
      </c>
      <c r="AK1248" t="s">
        <v>4911</v>
      </c>
      <c r="AL1248" t="s">
        <v>2144</v>
      </c>
      <c r="AM1248" t="s">
        <v>3294</v>
      </c>
      <c r="AN1248" t="s">
        <v>3410</v>
      </c>
    </row>
    <row r="1249" spans="1:40">
      <c r="A1249" s="1" t="s">
        <v>1285</v>
      </c>
      <c r="B1249" t="s">
        <v>2016</v>
      </c>
      <c r="C1249" t="s">
        <v>2000</v>
      </c>
      <c r="D1249" t="s">
        <v>2105</v>
      </c>
      <c r="E1249" t="s">
        <v>2111</v>
      </c>
      <c r="F1249" t="s">
        <v>2120</v>
      </c>
      <c r="G1249" t="s">
        <v>2211</v>
      </c>
      <c r="H1249">
        <v>10029</v>
      </c>
      <c r="I1249" t="s">
        <v>2230</v>
      </c>
      <c r="J1249">
        <v>2</v>
      </c>
      <c r="K1249">
        <v>0</v>
      </c>
      <c r="L1249" t="s">
        <v>2514</v>
      </c>
      <c r="M1249" t="s">
        <v>2677</v>
      </c>
      <c r="P1249" t="s">
        <v>2968</v>
      </c>
      <c r="Q1249" t="s">
        <v>2113</v>
      </c>
      <c r="R1249" t="s">
        <v>3258</v>
      </c>
      <c r="S1249" t="s">
        <v>3273</v>
      </c>
      <c r="T1249" t="s">
        <v>3294</v>
      </c>
      <c r="U1249" t="s">
        <v>2893</v>
      </c>
      <c r="X1249" t="s">
        <v>3354</v>
      </c>
      <c r="Y1249" t="s">
        <v>2678</v>
      </c>
      <c r="Z1249" t="s">
        <v>3370</v>
      </c>
      <c r="AA1249" t="s">
        <v>3406</v>
      </c>
      <c r="AB1249" t="s">
        <v>3421</v>
      </c>
      <c r="AC1249">
        <f>HYPERLINK("https://lsnyc.legalserver.org/matter/dynamic-profile/view/1880452","18-1880452")</f>
        <v>0</v>
      </c>
      <c r="AD1249" t="s">
        <v>3442</v>
      </c>
      <c r="AE1249" t="s">
        <v>3460</v>
      </c>
      <c r="AF1249" t="s">
        <v>4395</v>
      </c>
      <c r="AG1249" t="s">
        <v>3370</v>
      </c>
      <c r="AH1249" t="s">
        <v>4904</v>
      </c>
      <c r="AK1249" t="s">
        <v>4911</v>
      </c>
      <c r="AL1249" t="s">
        <v>2120</v>
      </c>
      <c r="AM1249" t="s">
        <v>3294</v>
      </c>
      <c r="AN1249" t="s">
        <v>3421</v>
      </c>
    </row>
    <row r="1250" spans="1:40">
      <c r="A1250" s="1" t="s">
        <v>1286</v>
      </c>
      <c r="B1250" t="s">
        <v>2005</v>
      </c>
      <c r="C1250" t="s">
        <v>2002</v>
      </c>
      <c r="D1250" t="s">
        <v>2039</v>
      </c>
      <c r="E1250" t="s">
        <v>2112</v>
      </c>
      <c r="F1250" t="s">
        <v>2123</v>
      </c>
      <c r="G1250" t="s">
        <v>2213</v>
      </c>
      <c r="H1250">
        <v>10460</v>
      </c>
      <c r="I1250" t="s">
        <v>2229</v>
      </c>
      <c r="J1250">
        <v>4</v>
      </c>
      <c r="K1250">
        <v>1</v>
      </c>
      <c r="L1250" t="s">
        <v>2260</v>
      </c>
      <c r="M1250" t="s">
        <v>2677</v>
      </c>
      <c r="P1250" t="s">
        <v>2968</v>
      </c>
      <c r="Q1250" t="s">
        <v>2113</v>
      </c>
      <c r="R1250" t="s">
        <v>3259</v>
      </c>
      <c r="S1250" t="s">
        <v>3264</v>
      </c>
      <c r="X1250" t="s">
        <v>3354</v>
      </c>
      <c r="Y1250" t="s">
        <v>2677</v>
      </c>
      <c r="Z1250" t="s">
        <v>3357</v>
      </c>
      <c r="AA1250" t="s">
        <v>3406</v>
      </c>
      <c r="AB1250" t="s">
        <v>3412</v>
      </c>
      <c r="AC1250">
        <f>HYPERLINK("https://lsnyc.legalserver.org/matter/dynamic-profile/view/1880494","18-1880494")</f>
        <v>0</v>
      </c>
      <c r="AD1250" t="s">
        <v>3445</v>
      </c>
      <c r="AE1250" t="s">
        <v>3455</v>
      </c>
      <c r="AF1250" t="s">
        <v>4118</v>
      </c>
      <c r="AG1250" t="s">
        <v>3357</v>
      </c>
      <c r="AH1250" t="s">
        <v>4904</v>
      </c>
      <c r="AK1250" t="s">
        <v>4911</v>
      </c>
      <c r="AL1250" t="s">
        <v>2123</v>
      </c>
      <c r="AN1250" t="s">
        <v>3412</v>
      </c>
    </row>
    <row r="1251" spans="1:40">
      <c r="A1251" s="1" t="s">
        <v>1287</v>
      </c>
      <c r="B1251" t="s">
        <v>2004</v>
      </c>
      <c r="C1251" t="s">
        <v>2009</v>
      </c>
      <c r="D1251" t="s">
        <v>2078</v>
      </c>
      <c r="E1251" t="s">
        <v>2111</v>
      </c>
      <c r="F1251" t="s">
        <v>2129</v>
      </c>
      <c r="G1251" t="s">
        <v>2214</v>
      </c>
      <c r="H1251">
        <v>11206</v>
      </c>
      <c r="I1251" t="s">
        <v>2232</v>
      </c>
      <c r="J1251">
        <v>1</v>
      </c>
      <c r="K1251">
        <v>0</v>
      </c>
      <c r="L1251" t="s">
        <v>2260</v>
      </c>
      <c r="M1251" t="s">
        <v>2677</v>
      </c>
      <c r="P1251" t="s">
        <v>2968</v>
      </c>
      <c r="Q1251" t="s">
        <v>2113</v>
      </c>
      <c r="R1251" t="s">
        <v>3259</v>
      </c>
      <c r="S1251" t="s">
        <v>3268</v>
      </c>
      <c r="T1251" t="s">
        <v>3294</v>
      </c>
      <c r="U1251" t="s">
        <v>3310</v>
      </c>
      <c r="X1251" t="s">
        <v>3354</v>
      </c>
      <c r="Y1251" t="s">
        <v>2677</v>
      </c>
      <c r="Z1251" t="s">
        <v>3368</v>
      </c>
      <c r="AA1251" t="s">
        <v>3406</v>
      </c>
      <c r="AB1251" t="s">
        <v>3416</v>
      </c>
      <c r="AC1251">
        <f>HYPERLINK("https://lsnyc.legalserver.org/matter/dynamic-profile/view/1880506","18-1880506")</f>
        <v>0</v>
      </c>
      <c r="AD1251" t="s">
        <v>3446</v>
      </c>
      <c r="AE1251" t="s">
        <v>3456</v>
      </c>
      <c r="AF1251" t="s">
        <v>4417</v>
      </c>
      <c r="AG1251" t="s">
        <v>3368</v>
      </c>
      <c r="AH1251" t="s">
        <v>4904</v>
      </c>
      <c r="AK1251" t="s">
        <v>4911</v>
      </c>
      <c r="AL1251" t="s">
        <v>2129</v>
      </c>
      <c r="AM1251" t="s">
        <v>3294</v>
      </c>
      <c r="AN1251" t="s">
        <v>3416</v>
      </c>
    </row>
    <row r="1252" spans="1:40">
      <c r="A1252" s="1" t="s">
        <v>1288</v>
      </c>
      <c r="B1252" t="s">
        <v>1998</v>
      </c>
      <c r="C1252" t="s">
        <v>1998</v>
      </c>
      <c r="D1252" t="s">
        <v>2047</v>
      </c>
      <c r="E1252" t="s">
        <v>2112</v>
      </c>
      <c r="F1252" t="s">
        <v>2123</v>
      </c>
      <c r="G1252" t="s">
        <v>2213</v>
      </c>
      <c r="H1252">
        <v>10460</v>
      </c>
      <c r="I1252" t="s">
        <v>2229</v>
      </c>
      <c r="J1252">
        <v>2</v>
      </c>
      <c r="K1252">
        <v>0</v>
      </c>
      <c r="L1252" t="s">
        <v>2417</v>
      </c>
      <c r="M1252" t="s">
        <v>2677</v>
      </c>
      <c r="P1252" t="s">
        <v>2969</v>
      </c>
      <c r="Q1252" t="s">
        <v>2113</v>
      </c>
      <c r="R1252" t="s">
        <v>3258</v>
      </c>
      <c r="S1252" t="s">
        <v>3271</v>
      </c>
      <c r="T1252" t="s">
        <v>3294</v>
      </c>
      <c r="U1252" t="s">
        <v>3304</v>
      </c>
      <c r="X1252" t="s">
        <v>3354</v>
      </c>
      <c r="Y1252" t="s">
        <v>2677</v>
      </c>
      <c r="Z1252" t="s">
        <v>3362</v>
      </c>
      <c r="AA1252" t="s">
        <v>3406</v>
      </c>
      <c r="AB1252" t="s">
        <v>3419</v>
      </c>
      <c r="AC1252">
        <f>HYPERLINK("https://lsnyc.legalserver.org/matter/dynamic-profile/view/1880287","18-1880287")</f>
        <v>0</v>
      </c>
      <c r="AD1252" t="s">
        <v>3445</v>
      </c>
      <c r="AE1252" t="s">
        <v>3452</v>
      </c>
      <c r="AF1252" t="s">
        <v>3965</v>
      </c>
      <c r="AG1252" t="s">
        <v>3362</v>
      </c>
      <c r="AH1252" t="s">
        <v>4904</v>
      </c>
      <c r="AK1252" t="s">
        <v>4911</v>
      </c>
      <c r="AL1252" t="s">
        <v>2123</v>
      </c>
      <c r="AM1252" t="s">
        <v>3294</v>
      </c>
      <c r="AN1252" t="s">
        <v>3419</v>
      </c>
    </row>
    <row r="1253" spans="1:40">
      <c r="A1253" s="1" t="s">
        <v>1289</v>
      </c>
      <c r="B1253" t="s">
        <v>1998</v>
      </c>
      <c r="C1253" t="s">
        <v>2000</v>
      </c>
      <c r="D1253" t="s">
        <v>2060</v>
      </c>
      <c r="E1253" t="s">
        <v>2111</v>
      </c>
      <c r="F1253" t="s">
        <v>2131</v>
      </c>
      <c r="G1253" t="s">
        <v>2214</v>
      </c>
      <c r="H1253">
        <v>11220</v>
      </c>
      <c r="I1253" t="s">
        <v>2229</v>
      </c>
      <c r="J1253">
        <v>1</v>
      </c>
      <c r="K1253">
        <v>0</v>
      </c>
      <c r="L1253" t="s">
        <v>2519</v>
      </c>
      <c r="M1253" t="s">
        <v>2677</v>
      </c>
      <c r="P1253" t="s">
        <v>2969</v>
      </c>
      <c r="Q1253" t="s">
        <v>2113</v>
      </c>
      <c r="R1253" t="s">
        <v>3259</v>
      </c>
      <c r="S1253" t="s">
        <v>3267</v>
      </c>
      <c r="X1253" t="s">
        <v>3354</v>
      </c>
      <c r="Y1253" t="s">
        <v>2678</v>
      </c>
      <c r="Z1253" t="s">
        <v>3359</v>
      </c>
      <c r="AA1253" t="s">
        <v>3406</v>
      </c>
      <c r="AB1253" t="s">
        <v>3415</v>
      </c>
      <c r="AC1253">
        <f>HYPERLINK("https://lsnyc.legalserver.org/matter/dynamic-profile/view/1880296","18-1880296")</f>
        <v>0</v>
      </c>
      <c r="AD1253" t="s">
        <v>3446</v>
      </c>
      <c r="AE1253" t="s">
        <v>3454</v>
      </c>
      <c r="AF1253" t="s">
        <v>4418</v>
      </c>
      <c r="AG1253" t="s">
        <v>3359</v>
      </c>
      <c r="AH1253" t="s">
        <v>4906</v>
      </c>
      <c r="AK1253" t="s">
        <v>4911</v>
      </c>
      <c r="AL1253" t="s">
        <v>2131</v>
      </c>
      <c r="AN1253" t="s">
        <v>3415</v>
      </c>
    </row>
    <row r="1254" spans="1:40">
      <c r="A1254" s="1" t="s">
        <v>1290</v>
      </c>
      <c r="B1254" t="s">
        <v>1998</v>
      </c>
      <c r="C1254" t="s">
        <v>2016</v>
      </c>
      <c r="D1254" t="s">
        <v>2060</v>
      </c>
      <c r="E1254" t="s">
        <v>2112</v>
      </c>
      <c r="F1254" t="s">
        <v>2135</v>
      </c>
      <c r="G1254" t="s">
        <v>2214</v>
      </c>
      <c r="H1254">
        <v>11215</v>
      </c>
      <c r="I1254" t="s">
        <v>2229</v>
      </c>
      <c r="J1254">
        <v>5</v>
      </c>
      <c r="K1254">
        <v>4</v>
      </c>
      <c r="L1254" t="s">
        <v>2270</v>
      </c>
      <c r="M1254" t="s">
        <v>2677</v>
      </c>
      <c r="P1254" t="s">
        <v>2969</v>
      </c>
      <c r="Q1254" t="s">
        <v>2113</v>
      </c>
      <c r="R1254" t="s">
        <v>3258</v>
      </c>
      <c r="S1254" t="s">
        <v>3269</v>
      </c>
      <c r="X1254" t="s">
        <v>3354</v>
      </c>
      <c r="Y1254" t="s">
        <v>2677</v>
      </c>
      <c r="Z1254" t="s">
        <v>3361</v>
      </c>
      <c r="AA1254" t="s">
        <v>3406</v>
      </c>
      <c r="AB1254" t="s">
        <v>3417</v>
      </c>
      <c r="AC1254">
        <f>HYPERLINK("https://lsnyc.legalserver.org/matter/dynamic-profile/view/1880357","18-1880357")</f>
        <v>0</v>
      </c>
      <c r="AD1254" t="s">
        <v>3445</v>
      </c>
      <c r="AE1254" t="s">
        <v>3455</v>
      </c>
      <c r="AF1254" t="s">
        <v>4419</v>
      </c>
      <c r="AG1254" t="s">
        <v>3361</v>
      </c>
      <c r="AH1254" t="s">
        <v>4904</v>
      </c>
      <c r="AK1254" t="s">
        <v>4911</v>
      </c>
      <c r="AL1254" t="s">
        <v>2135</v>
      </c>
      <c r="AN1254" t="s">
        <v>3417</v>
      </c>
    </row>
    <row r="1255" spans="1:40">
      <c r="A1255" s="1" t="s">
        <v>1291</v>
      </c>
      <c r="B1255" t="s">
        <v>1998</v>
      </c>
      <c r="C1255" t="s">
        <v>2005</v>
      </c>
      <c r="D1255" t="s">
        <v>2037</v>
      </c>
      <c r="E1255" t="s">
        <v>2111</v>
      </c>
      <c r="F1255" t="s">
        <v>2117</v>
      </c>
      <c r="G1255" t="s">
        <v>2211</v>
      </c>
      <c r="H1255">
        <v>10029</v>
      </c>
      <c r="I1255" t="s">
        <v>2113</v>
      </c>
      <c r="J1255">
        <v>3</v>
      </c>
      <c r="K1255">
        <v>2</v>
      </c>
      <c r="L1255" t="s">
        <v>2260</v>
      </c>
      <c r="M1255" t="s">
        <v>2677</v>
      </c>
      <c r="P1255" t="s">
        <v>2747</v>
      </c>
      <c r="Q1255" t="s">
        <v>2113</v>
      </c>
      <c r="R1255" t="s">
        <v>3259</v>
      </c>
      <c r="S1255" t="s">
        <v>3272</v>
      </c>
      <c r="X1255" t="s">
        <v>3354</v>
      </c>
      <c r="Y1255" t="s">
        <v>2678</v>
      </c>
      <c r="Z1255" t="s">
        <v>3364</v>
      </c>
      <c r="AA1255" t="s">
        <v>3406</v>
      </c>
      <c r="AB1255" t="s">
        <v>3420</v>
      </c>
      <c r="AC1255">
        <f>HYPERLINK("https://lsnyc.legalserver.org/matter/dynamic-profile/view/1880371","18-1880371")</f>
        <v>0</v>
      </c>
      <c r="AD1255" t="s">
        <v>3442</v>
      </c>
      <c r="AE1255" t="s">
        <v>3470</v>
      </c>
      <c r="AF1255" t="s">
        <v>4066</v>
      </c>
      <c r="AG1255" t="s">
        <v>3364</v>
      </c>
      <c r="AH1255" t="s">
        <v>4904</v>
      </c>
      <c r="AL1255" t="s">
        <v>2117</v>
      </c>
      <c r="AN1255" t="s">
        <v>3420</v>
      </c>
    </row>
    <row r="1256" spans="1:40">
      <c r="A1256" s="1" t="s">
        <v>1292</v>
      </c>
      <c r="B1256" t="s">
        <v>1998</v>
      </c>
      <c r="C1256" t="s">
        <v>1998</v>
      </c>
      <c r="D1256" t="s">
        <v>2084</v>
      </c>
      <c r="E1256" t="s">
        <v>2112</v>
      </c>
      <c r="F1256" t="s">
        <v>2135</v>
      </c>
      <c r="G1256" t="s">
        <v>2213</v>
      </c>
      <c r="H1256">
        <v>10473</v>
      </c>
      <c r="I1256" t="s">
        <v>2229</v>
      </c>
      <c r="J1256">
        <v>4</v>
      </c>
      <c r="K1256">
        <v>3</v>
      </c>
      <c r="L1256" t="s">
        <v>2520</v>
      </c>
      <c r="M1256" t="s">
        <v>2677</v>
      </c>
      <c r="P1256" t="s">
        <v>2969</v>
      </c>
      <c r="Q1256" t="s">
        <v>2113</v>
      </c>
      <c r="R1256" t="s">
        <v>3258</v>
      </c>
      <c r="S1256" t="s">
        <v>3269</v>
      </c>
      <c r="X1256" t="s">
        <v>3354</v>
      </c>
      <c r="Y1256" t="s">
        <v>2677</v>
      </c>
      <c r="Z1256" t="s">
        <v>3361</v>
      </c>
      <c r="AA1256" t="s">
        <v>3406</v>
      </c>
      <c r="AB1256" t="s">
        <v>3417</v>
      </c>
      <c r="AC1256">
        <f>HYPERLINK("https://lsnyc.legalserver.org/matter/dynamic-profile/view/1880374","18-1880374")</f>
        <v>0</v>
      </c>
      <c r="AD1256" t="s">
        <v>3445</v>
      </c>
      <c r="AE1256" t="s">
        <v>3455</v>
      </c>
      <c r="AF1256" t="s">
        <v>4420</v>
      </c>
      <c r="AG1256" t="s">
        <v>3361</v>
      </c>
      <c r="AH1256" t="s">
        <v>4904</v>
      </c>
      <c r="AK1256" t="s">
        <v>4911</v>
      </c>
      <c r="AL1256" t="s">
        <v>2135</v>
      </c>
      <c r="AN1256" t="s">
        <v>3417</v>
      </c>
    </row>
    <row r="1257" spans="1:40">
      <c r="A1257" s="1" t="s">
        <v>1293</v>
      </c>
      <c r="B1257" t="s">
        <v>2001</v>
      </c>
      <c r="C1257" t="s">
        <v>1998</v>
      </c>
      <c r="D1257" t="s">
        <v>2075</v>
      </c>
      <c r="E1257" t="s">
        <v>2112</v>
      </c>
      <c r="F1257" t="s">
        <v>2117</v>
      </c>
      <c r="G1257" t="s">
        <v>2211</v>
      </c>
      <c r="H1257">
        <v>10029</v>
      </c>
      <c r="I1257" t="s">
        <v>2229</v>
      </c>
      <c r="J1257">
        <v>3</v>
      </c>
      <c r="K1257">
        <v>2</v>
      </c>
      <c r="L1257" t="s">
        <v>2260</v>
      </c>
      <c r="M1257" t="s">
        <v>2677</v>
      </c>
      <c r="P1257" t="s">
        <v>2747</v>
      </c>
      <c r="Q1257" t="s">
        <v>2113</v>
      </c>
      <c r="R1257" t="s">
        <v>3259</v>
      </c>
      <c r="S1257" t="s">
        <v>3272</v>
      </c>
      <c r="X1257" t="s">
        <v>3354</v>
      </c>
      <c r="Y1257" t="s">
        <v>2678</v>
      </c>
      <c r="Z1257" t="s">
        <v>3364</v>
      </c>
      <c r="AA1257" t="s">
        <v>3406</v>
      </c>
      <c r="AB1257" t="s">
        <v>3420</v>
      </c>
      <c r="AC1257">
        <f>HYPERLINK("https://lsnyc.legalserver.org/matter/dynamic-profile/view/1880376","18-1880376")</f>
        <v>0</v>
      </c>
      <c r="AD1257" t="s">
        <v>3442</v>
      </c>
      <c r="AE1257" t="s">
        <v>3470</v>
      </c>
      <c r="AF1257" t="s">
        <v>4065</v>
      </c>
      <c r="AG1257" t="s">
        <v>3364</v>
      </c>
      <c r="AH1257" t="s">
        <v>4904</v>
      </c>
      <c r="AL1257" t="s">
        <v>2117</v>
      </c>
      <c r="AN1257" t="s">
        <v>3420</v>
      </c>
    </row>
    <row r="1258" spans="1:40">
      <c r="A1258" s="1" t="s">
        <v>1294</v>
      </c>
      <c r="B1258" t="s">
        <v>1998</v>
      </c>
      <c r="C1258" t="s">
        <v>2017</v>
      </c>
      <c r="D1258" t="s">
        <v>2068</v>
      </c>
      <c r="E1258" t="s">
        <v>2111</v>
      </c>
      <c r="F1258" t="s">
        <v>2182</v>
      </c>
      <c r="G1258" t="s">
        <v>2213</v>
      </c>
      <c r="H1258">
        <v>10452</v>
      </c>
      <c r="I1258" t="s">
        <v>2230</v>
      </c>
      <c r="J1258">
        <v>1</v>
      </c>
      <c r="K1258">
        <v>0</v>
      </c>
      <c r="L1258" t="s">
        <v>2260</v>
      </c>
      <c r="M1258" t="s">
        <v>2677</v>
      </c>
      <c r="P1258" t="s">
        <v>2970</v>
      </c>
      <c r="Q1258" t="s">
        <v>2113</v>
      </c>
      <c r="R1258" t="s">
        <v>3259</v>
      </c>
      <c r="S1258" t="s">
        <v>3264</v>
      </c>
      <c r="X1258" t="s">
        <v>3354</v>
      </c>
      <c r="Y1258" t="s">
        <v>2677</v>
      </c>
      <c r="Z1258" t="s">
        <v>3357</v>
      </c>
      <c r="AA1258" t="s">
        <v>3406</v>
      </c>
      <c r="AB1258" t="s">
        <v>3412</v>
      </c>
      <c r="AC1258">
        <f>HYPERLINK("https://lsnyc.legalserver.org/matter/dynamic-profile/view/1880091","18-1880091")</f>
        <v>0</v>
      </c>
      <c r="AD1258" t="s">
        <v>3445</v>
      </c>
      <c r="AE1258" t="s">
        <v>3469</v>
      </c>
      <c r="AF1258" t="s">
        <v>4421</v>
      </c>
      <c r="AG1258" t="s">
        <v>3357</v>
      </c>
      <c r="AH1258" t="s">
        <v>4904</v>
      </c>
      <c r="AK1258" t="s">
        <v>4911</v>
      </c>
      <c r="AL1258" t="s">
        <v>2182</v>
      </c>
      <c r="AN1258" t="s">
        <v>3412</v>
      </c>
    </row>
    <row r="1259" spans="1:40">
      <c r="A1259" s="1" t="s">
        <v>1295</v>
      </c>
      <c r="B1259" t="s">
        <v>2018</v>
      </c>
      <c r="C1259" t="s">
        <v>2016</v>
      </c>
      <c r="D1259" t="s">
        <v>2028</v>
      </c>
      <c r="E1259" t="s">
        <v>2112</v>
      </c>
      <c r="F1259" t="s">
        <v>2116</v>
      </c>
      <c r="G1259" t="s">
        <v>2212</v>
      </c>
      <c r="H1259">
        <v>11368</v>
      </c>
      <c r="I1259" t="s">
        <v>2229</v>
      </c>
      <c r="J1259">
        <v>1</v>
      </c>
      <c r="K1259">
        <v>0</v>
      </c>
      <c r="L1259" t="s">
        <v>2521</v>
      </c>
      <c r="M1259" t="s">
        <v>2677</v>
      </c>
      <c r="P1259" t="s">
        <v>2824</v>
      </c>
      <c r="Q1259" t="s">
        <v>3257</v>
      </c>
      <c r="R1259" t="s">
        <v>3259</v>
      </c>
      <c r="S1259" t="s">
        <v>3264</v>
      </c>
      <c r="X1259" t="s">
        <v>3354</v>
      </c>
      <c r="Y1259" t="s">
        <v>2678</v>
      </c>
      <c r="Z1259" t="s">
        <v>3357</v>
      </c>
      <c r="AA1259" t="s">
        <v>3406</v>
      </c>
      <c r="AB1259" t="s">
        <v>3412</v>
      </c>
      <c r="AC1259">
        <f>HYPERLINK("https://lsnyc.legalserver.org/matter/dynamic-profile/view/1880152","18-1880152")</f>
        <v>0</v>
      </c>
      <c r="AD1259" t="s">
        <v>3443</v>
      </c>
      <c r="AE1259" t="s">
        <v>3471</v>
      </c>
      <c r="AF1259" t="s">
        <v>4422</v>
      </c>
      <c r="AG1259" t="s">
        <v>3357</v>
      </c>
      <c r="AH1259" t="s">
        <v>4904</v>
      </c>
      <c r="AL1259" t="s">
        <v>2116</v>
      </c>
      <c r="AN1259" t="s">
        <v>3412</v>
      </c>
    </row>
    <row r="1260" spans="1:40">
      <c r="A1260" s="1" t="s">
        <v>1296</v>
      </c>
      <c r="B1260" t="s">
        <v>2012</v>
      </c>
      <c r="C1260" t="s">
        <v>1998</v>
      </c>
      <c r="D1260" t="s">
        <v>2076</v>
      </c>
      <c r="E1260" t="s">
        <v>2111</v>
      </c>
      <c r="F1260" t="s">
        <v>2117</v>
      </c>
      <c r="G1260" t="s">
        <v>2213</v>
      </c>
      <c r="H1260">
        <v>10460</v>
      </c>
      <c r="I1260" t="s">
        <v>2229</v>
      </c>
      <c r="J1260">
        <v>1</v>
      </c>
      <c r="K1260">
        <v>0</v>
      </c>
      <c r="L1260" t="s">
        <v>2272</v>
      </c>
      <c r="M1260" t="s">
        <v>2677</v>
      </c>
      <c r="P1260" t="s">
        <v>2970</v>
      </c>
      <c r="Q1260" t="s">
        <v>2113</v>
      </c>
      <c r="R1260" t="s">
        <v>3259</v>
      </c>
      <c r="S1260" t="s">
        <v>3267</v>
      </c>
      <c r="X1260" t="s">
        <v>3354</v>
      </c>
      <c r="Y1260" t="s">
        <v>2678</v>
      </c>
      <c r="Z1260" t="s">
        <v>3359</v>
      </c>
      <c r="AA1260" t="s">
        <v>3406</v>
      </c>
      <c r="AB1260" t="s">
        <v>3415</v>
      </c>
      <c r="AC1260">
        <f>HYPERLINK("https://lsnyc.legalserver.org/matter/dynamic-profile/view/1880170","18-1880170")</f>
        <v>0</v>
      </c>
      <c r="AD1260" t="s">
        <v>3444</v>
      </c>
      <c r="AE1260" t="s">
        <v>3466</v>
      </c>
      <c r="AF1260" t="s">
        <v>4423</v>
      </c>
      <c r="AG1260" t="s">
        <v>3359</v>
      </c>
      <c r="AH1260" t="s">
        <v>4904</v>
      </c>
      <c r="AK1260" t="s">
        <v>4911</v>
      </c>
      <c r="AL1260" t="s">
        <v>2117</v>
      </c>
      <c r="AN1260" t="s">
        <v>3415</v>
      </c>
    </row>
    <row r="1261" spans="1:40">
      <c r="A1261" s="1" t="s">
        <v>1297</v>
      </c>
      <c r="B1261" t="s">
        <v>1998</v>
      </c>
      <c r="C1261" t="s">
        <v>2005</v>
      </c>
      <c r="D1261" t="s">
        <v>2096</v>
      </c>
      <c r="E1261" t="s">
        <v>2112</v>
      </c>
      <c r="F1261" t="s">
        <v>2117</v>
      </c>
      <c r="G1261" t="s">
        <v>2212</v>
      </c>
      <c r="H1261">
        <v>11691</v>
      </c>
      <c r="I1261" t="s">
        <v>2229</v>
      </c>
      <c r="J1261">
        <v>2</v>
      </c>
      <c r="K1261">
        <v>1</v>
      </c>
      <c r="L1261" t="s">
        <v>2260</v>
      </c>
      <c r="M1261" t="s">
        <v>2677</v>
      </c>
      <c r="P1261" t="s">
        <v>2752</v>
      </c>
      <c r="Q1261" t="s">
        <v>2113</v>
      </c>
      <c r="R1261" t="s">
        <v>3259</v>
      </c>
      <c r="S1261" t="s">
        <v>3267</v>
      </c>
      <c r="X1261" t="s">
        <v>3354</v>
      </c>
      <c r="Y1261" t="s">
        <v>2677</v>
      </c>
      <c r="Z1261" t="s">
        <v>3359</v>
      </c>
      <c r="AA1261" t="s">
        <v>3406</v>
      </c>
      <c r="AB1261" t="s">
        <v>3415</v>
      </c>
      <c r="AC1261">
        <f>HYPERLINK("https://lsnyc.legalserver.org/matter/dynamic-profile/view/1880010","18-1880010")</f>
        <v>0</v>
      </c>
      <c r="AD1261" t="s">
        <v>3443</v>
      </c>
      <c r="AE1261" t="s">
        <v>3471</v>
      </c>
      <c r="AF1261" t="s">
        <v>4353</v>
      </c>
      <c r="AG1261" t="s">
        <v>3359</v>
      </c>
      <c r="AH1261" t="s">
        <v>4906</v>
      </c>
      <c r="AL1261" t="s">
        <v>2117</v>
      </c>
      <c r="AN1261" t="s">
        <v>3415</v>
      </c>
    </row>
    <row r="1262" spans="1:40">
      <c r="A1262" s="1" t="s">
        <v>1298</v>
      </c>
      <c r="B1262" t="s">
        <v>1998</v>
      </c>
      <c r="C1262" t="s">
        <v>2016</v>
      </c>
      <c r="D1262" t="s">
        <v>2067</v>
      </c>
      <c r="E1262" t="s">
        <v>2112</v>
      </c>
      <c r="F1262" t="s">
        <v>2117</v>
      </c>
      <c r="G1262" t="s">
        <v>2212</v>
      </c>
      <c r="H1262">
        <v>11691</v>
      </c>
      <c r="I1262" t="s">
        <v>2229</v>
      </c>
      <c r="J1262">
        <v>2</v>
      </c>
      <c r="K1262">
        <v>1</v>
      </c>
      <c r="L1262" t="s">
        <v>2260</v>
      </c>
      <c r="M1262" t="s">
        <v>2677</v>
      </c>
      <c r="P1262" t="s">
        <v>2747</v>
      </c>
      <c r="Q1262" t="s">
        <v>2113</v>
      </c>
      <c r="R1262" t="s">
        <v>3259</v>
      </c>
      <c r="S1262" t="s">
        <v>3267</v>
      </c>
      <c r="X1262" t="s">
        <v>3354</v>
      </c>
      <c r="Y1262" t="s">
        <v>2678</v>
      </c>
      <c r="Z1262" t="s">
        <v>3359</v>
      </c>
      <c r="AA1262" t="s">
        <v>3406</v>
      </c>
      <c r="AB1262" t="s">
        <v>3415</v>
      </c>
      <c r="AC1262">
        <f>HYPERLINK("https://lsnyc.legalserver.org/matter/dynamic-profile/view/1880022","18-1880022")</f>
        <v>0</v>
      </c>
      <c r="AD1262" t="s">
        <v>3443</v>
      </c>
      <c r="AE1262" t="s">
        <v>3471</v>
      </c>
      <c r="AF1262" t="s">
        <v>4269</v>
      </c>
      <c r="AG1262" t="s">
        <v>3359</v>
      </c>
      <c r="AH1262" t="s">
        <v>4906</v>
      </c>
      <c r="AL1262" t="s">
        <v>2117</v>
      </c>
      <c r="AN1262" t="s">
        <v>3415</v>
      </c>
    </row>
    <row r="1263" spans="1:40">
      <c r="A1263" s="1" t="s">
        <v>1299</v>
      </c>
      <c r="B1263" t="s">
        <v>2009</v>
      </c>
      <c r="C1263" t="s">
        <v>2016</v>
      </c>
      <c r="D1263" t="s">
        <v>2048</v>
      </c>
      <c r="E1263" t="s">
        <v>2112</v>
      </c>
      <c r="F1263" t="s">
        <v>2117</v>
      </c>
      <c r="G1263" t="s">
        <v>2213</v>
      </c>
      <c r="H1263">
        <v>10460</v>
      </c>
      <c r="I1263" t="s">
        <v>2229</v>
      </c>
      <c r="J1263">
        <v>2</v>
      </c>
      <c r="K1263">
        <v>1</v>
      </c>
      <c r="L1263" t="s">
        <v>2260</v>
      </c>
      <c r="M1263" t="s">
        <v>2677</v>
      </c>
      <c r="P1263" t="s">
        <v>2971</v>
      </c>
      <c r="Q1263" t="s">
        <v>3257</v>
      </c>
      <c r="R1263" t="s">
        <v>3259</v>
      </c>
      <c r="S1263" t="s">
        <v>3267</v>
      </c>
      <c r="X1263" t="s">
        <v>3354</v>
      </c>
      <c r="Y1263" t="s">
        <v>2678</v>
      </c>
      <c r="Z1263" t="s">
        <v>3359</v>
      </c>
      <c r="AA1263" t="s">
        <v>3406</v>
      </c>
      <c r="AB1263" t="s">
        <v>3415</v>
      </c>
      <c r="AC1263">
        <f>HYPERLINK("https://lsnyc.legalserver.org/matter/dynamic-profile/view/1880066","18-1880066")</f>
        <v>0</v>
      </c>
      <c r="AD1263" t="s">
        <v>3444</v>
      </c>
      <c r="AE1263" t="s">
        <v>3466</v>
      </c>
      <c r="AF1263" t="s">
        <v>4229</v>
      </c>
      <c r="AG1263" t="s">
        <v>3359</v>
      </c>
      <c r="AH1263" t="s">
        <v>4906</v>
      </c>
      <c r="AK1263" t="s">
        <v>4911</v>
      </c>
      <c r="AL1263" t="s">
        <v>2117</v>
      </c>
      <c r="AN1263" t="s">
        <v>3415</v>
      </c>
    </row>
    <row r="1264" spans="1:40">
      <c r="A1264" s="1" t="s">
        <v>1300</v>
      </c>
      <c r="B1264" t="s">
        <v>1998</v>
      </c>
      <c r="C1264" t="s">
        <v>2009</v>
      </c>
      <c r="D1264" t="s">
        <v>2047</v>
      </c>
      <c r="E1264" t="s">
        <v>2112</v>
      </c>
      <c r="F1264" t="s">
        <v>2135</v>
      </c>
      <c r="G1264" t="s">
        <v>2212</v>
      </c>
      <c r="H1264">
        <v>11370</v>
      </c>
      <c r="I1264" t="s">
        <v>2229</v>
      </c>
      <c r="J1264">
        <v>1</v>
      </c>
      <c r="K1264">
        <v>0</v>
      </c>
      <c r="L1264" t="s">
        <v>2462</v>
      </c>
      <c r="M1264" t="s">
        <v>2677</v>
      </c>
      <c r="P1264" t="s">
        <v>2741</v>
      </c>
      <c r="Q1264" t="s">
        <v>2113</v>
      </c>
      <c r="R1264" t="s">
        <v>3258</v>
      </c>
      <c r="S1264" t="s">
        <v>3271</v>
      </c>
      <c r="T1264" t="s">
        <v>3294</v>
      </c>
      <c r="U1264" t="s">
        <v>2883</v>
      </c>
      <c r="X1264" t="s">
        <v>3354</v>
      </c>
      <c r="Y1264" t="s">
        <v>2677</v>
      </c>
      <c r="Z1264" t="s">
        <v>3362</v>
      </c>
      <c r="AA1264" t="s">
        <v>3406</v>
      </c>
      <c r="AB1264" t="s">
        <v>3419</v>
      </c>
      <c r="AC1264">
        <f>HYPERLINK("https://lsnyc.legalserver.org/matter/dynamic-profile/view/1880070","18-1880070")</f>
        <v>0</v>
      </c>
      <c r="AD1264" t="s">
        <v>3445</v>
      </c>
      <c r="AE1264" t="s">
        <v>3452</v>
      </c>
      <c r="AF1264" t="s">
        <v>4158</v>
      </c>
      <c r="AG1264" t="s">
        <v>3362</v>
      </c>
      <c r="AH1264" t="s">
        <v>4904</v>
      </c>
      <c r="AL1264" t="s">
        <v>2135</v>
      </c>
      <c r="AM1264" t="s">
        <v>3294</v>
      </c>
      <c r="AN1264" t="s">
        <v>3419</v>
      </c>
    </row>
    <row r="1265" spans="1:41">
      <c r="A1265" s="1" t="s">
        <v>1301</v>
      </c>
      <c r="B1265" t="s">
        <v>2009</v>
      </c>
      <c r="C1265" t="s">
        <v>2004</v>
      </c>
      <c r="D1265" t="s">
        <v>2039</v>
      </c>
      <c r="E1265" t="s">
        <v>2112</v>
      </c>
      <c r="F1265" t="s">
        <v>2140</v>
      </c>
      <c r="G1265" t="s">
        <v>2212</v>
      </c>
      <c r="H1265">
        <v>11103</v>
      </c>
      <c r="I1265" t="s">
        <v>2245</v>
      </c>
      <c r="J1265">
        <v>1</v>
      </c>
      <c r="K1265">
        <v>0</v>
      </c>
      <c r="L1265" t="s">
        <v>2376</v>
      </c>
      <c r="M1265" t="s">
        <v>2677</v>
      </c>
      <c r="P1265" t="s">
        <v>2972</v>
      </c>
      <c r="Q1265" t="s">
        <v>2113</v>
      </c>
      <c r="R1265" t="s">
        <v>3258</v>
      </c>
      <c r="S1265" t="s">
        <v>3269</v>
      </c>
      <c r="X1265" t="s">
        <v>3354</v>
      </c>
      <c r="Y1265" t="s">
        <v>2677</v>
      </c>
      <c r="Z1265" t="s">
        <v>3361</v>
      </c>
      <c r="AA1265" t="s">
        <v>3406</v>
      </c>
      <c r="AB1265" t="s">
        <v>3417</v>
      </c>
      <c r="AC1265">
        <f>HYPERLINK("https://lsnyc.legalserver.org/matter/dynamic-profile/view/1879840","18-1879840")</f>
        <v>0</v>
      </c>
      <c r="AD1265" t="s">
        <v>3445</v>
      </c>
      <c r="AE1265" t="s">
        <v>3455</v>
      </c>
      <c r="AF1265" t="s">
        <v>4424</v>
      </c>
      <c r="AG1265" t="s">
        <v>3361</v>
      </c>
      <c r="AH1265" t="s">
        <v>4904</v>
      </c>
      <c r="AK1265" t="s">
        <v>4911</v>
      </c>
      <c r="AL1265" t="s">
        <v>2140</v>
      </c>
      <c r="AN1265" t="s">
        <v>3417</v>
      </c>
    </row>
    <row r="1266" spans="1:41">
      <c r="A1266" s="1" t="s">
        <v>1302</v>
      </c>
      <c r="B1266" t="s">
        <v>2016</v>
      </c>
      <c r="C1266" t="s">
        <v>2012</v>
      </c>
      <c r="D1266" t="s">
        <v>2048</v>
      </c>
      <c r="E1266" t="s">
        <v>2112</v>
      </c>
      <c r="F1266" t="s">
        <v>2116</v>
      </c>
      <c r="G1266" t="s">
        <v>2213</v>
      </c>
      <c r="H1266">
        <v>10468</v>
      </c>
      <c r="J1266">
        <v>3</v>
      </c>
      <c r="K1266">
        <v>2</v>
      </c>
      <c r="L1266" t="s">
        <v>2446</v>
      </c>
      <c r="M1266" t="s">
        <v>2677</v>
      </c>
      <c r="P1266" t="s">
        <v>2972</v>
      </c>
      <c r="Q1266" t="s">
        <v>2113</v>
      </c>
      <c r="R1266" t="s">
        <v>3258</v>
      </c>
      <c r="S1266" t="s">
        <v>3269</v>
      </c>
      <c r="X1266" t="s">
        <v>3354</v>
      </c>
      <c r="Y1266" t="s">
        <v>2677</v>
      </c>
      <c r="Z1266" t="s">
        <v>3361</v>
      </c>
      <c r="AA1266" t="s">
        <v>3406</v>
      </c>
      <c r="AB1266" t="s">
        <v>3417</v>
      </c>
      <c r="AC1266">
        <f>HYPERLINK("https://lsnyc.legalserver.org/matter/dynamic-profile/view/1879854","18-1879854")</f>
        <v>0</v>
      </c>
      <c r="AD1266" t="s">
        <v>3445</v>
      </c>
      <c r="AE1266" t="s">
        <v>3455</v>
      </c>
      <c r="AF1266" t="s">
        <v>4425</v>
      </c>
      <c r="AG1266" t="s">
        <v>3361</v>
      </c>
      <c r="AH1266" t="s">
        <v>4904</v>
      </c>
      <c r="AK1266" t="s">
        <v>4911</v>
      </c>
      <c r="AL1266" t="s">
        <v>2116</v>
      </c>
      <c r="AN1266" t="s">
        <v>3417</v>
      </c>
    </row>
    <row r="1267" spans="1:41">
      <c r="A1267" s="1" t="s">
        <v>1303</v>
      </c>
      <c r="B1267" t="s">
        <v>2000</v>
      </c>
      <c r="C1267" t="s">
        <v>2001</v>
      </c>
      <c r="D1267" t="s">
        <v>2057</v>
      </c>
      <c r="E1267" t="s">
        <v>2112</v>
      </c>
      <c r="F1267" t="s">
        <v>2116</v>
      </c>
      <c r="G1267" t="s">
        <v>2213</v>
      </c>
      <c r="H1267">
        <v>10467</v>
      </c>
      <c r="I1267" t="s">
        <v>2229</v>
      </c>
      <c r="J1267">
        <v>3</v>
      </c>
      <c r="K1267">
        <v>2</v>
      </c>
      <c r="L1267" t="s">
        <v>2478</v>
      </c>
      <c r="M1267" t="s">
        <v>2677</v>
      </c>
      <c r="P1267" t="s">
        <v>2972</v>
      </c>
      <c r="Q1267" t="s">
        <v>2113</v>
      </c>
      <c r="R1267" t="s">
        <v>3258</v>
      </c>
      <c r="S1267" t="s">
        <v>3269</v>
      </c>
      <c r="X1267" t="s">
        <v>3354</v>
      </c>
      <c r="Y1267" t="s">
        <v>2677</v>
      </c>
      <c r="Z1267" t="s">
        <v>3361</v>
      </c>
      <c r="AA1267" t="s">
        <v>3406</v>
      </c>
      <c r="AB1267" t="s">
        <v>3417</v>
      </c>
      <c r="AC1267">
        <f>HYPERLINK("https://lsnyc.legalserver.org/matter/dynamic-profile/view/1879873","18-1879873")</f>
        <v>0</v>
      </c>
      <c r="AD1267" t="s">
        <v>3445</v>
      </c>
      <c r="AE1267" t="s">
        <v>3455</v>
      </c>
      <c r="AF1267" t="s">
        <v>4214</v>
      </c>
      <c r="AG1267" t="s">
        <v>3361</v>
      </c>
      <c r="AH1267" t="s">
        <v>4904</v>
      </c>
      <c r="AK1267" t="s">
        <v>4911</v>
      </c>
      <c r="AL1267" t="s">
        <v>2116</v>
      </c>
      <c r="AN1267" t="s">
        <v>3417</v>
      </c>
    </row>
    <row r="1268" spans="1:41">
      <c r="A1268" s="1" t="s">
        <v>1304</v>
      </c>
      <c r="B1268" t="s">
        <v>2000</v>
      </c>
      <c r="C1268" t="s">
        <v>2016</v>
      </c>
      <c r="D1268" t="s">
        <v>2081</v>
      </c>
      <c r="E1268" t="s">
        <v>2112</v>
      </c>
      <c r="F1268" t="s">
        <v>2160</v>
      </c>
      <c r="G1268" t="s">
        <v>2212</v>
      </c>
      <c r="H1268">
        <v>11368</v>
      </c>
      <c r="I1268" t="s">
        <v>2229</v>
      </c>
      <c r="J1268">
        <v>3</v>
      </c>
      <c r="K1268">
        <v>1</v>
      </c>
      <c r="L1268" t="s">
        <v>2256</v>
      </c>
      <c r="M1268" t="s">
        <v>2677</v>
      </c>
      <c r="P1268" t="s">
        <v>2972</v>
      </c>
      <c r="Q1268" t="s">
        <v>2113</v>
      </c>
      <c r="R1268" t="s">
        <v>3258</v>
      </c>
      <c r="S1268" t="s">
        <v>3269</v>
      </c>
      <c r="X1268" t="s">
        <v>3354</v>
      </c>
      <c r="Y1268" t="s">
        <v>2677</v>
      </c>
      <c r="Z1268" t="s">
        <v>3361</v>
      </c>
      <c r="AA1268" t="s">
        <v>3406</v>
      </c>
      <c r="AB1268" t="s">
        <v>3417</v>
      </c>
      <c r="AC1268">
        <f>HYPERLINK("https://lsnyc.legalserver.org/matter/dynamic-profile/view/1879885","18-1879885")</f>
        <v>0</v>
      </c>
      <c r="AD1268" t="s">
        <v>3445</v>
      </c>
      <c r="AE1268" t="s">
        <v>3455</v>
      </c>
      <c r="AF1268" t="s">
        <v>4426</v>
      </c>
      <c r="AG1268" t="s">
        <v>3361</v>
      </c>
      <c r="AH1268" t="s">
        <v>4904</v>
      </c>
      <c r="AK1268" t="s">
        <v>4911</v>
      </c>
      <c r="AL1268" t="s">
        <v>2160</v>
      </c>
      <c r="AN1268" t="s">
        <v>3417</v>
      </c>
    </row>
    <row r="1269" spans="1:41">
      <c r="A1269" s="1" t="s">
        <v>1305</v>
      </c>
      <c r="B1269" t="s">
        <v>1998</v>
      </c>
      <c r="C1269" t="s">
        <v>2016</v>
      </c>
      <c r="D1269" t="s">
        <v>2040</v>
      </c>
      <c r="E1269" t="s">
        <v>2112</v>
      </c>
      <c r="F1269" t="s">
        <v>2115</v>
      </c>
      <c r="G1269" t="s">
        <v>2212</v>
      </c>
      <c r="H1269">
        <v>11435</v>
      </c>
      <c r="I1269" t="s">
        <v>2229</v>
      </c>
      <c r="J1269">
        <v>2</v>
      </c>
      <c r="K1269">
        <v>1</v>
      </c>
      <c r="L1269" t="s">
        <v>2281</v>
      </c>
      <c r="M1269" t="s">
        <v>2677</v>
      </c>
      <c r="P1269" t="s">
        <v>2972</v>
      </c>
      <c r="Q1269" t="s">
        <v>2113</v>
      </c>
      <c r="R1269" t="s">
        <v>3260</v>
      </c>
      <c r="S1269" t="s">
        <v>3266</v>
      </c>
      <c r="X1269" t="s">
        <v>3354</v>
      </c>
      <c r="Y1269" t="s">
        <v>2678</v>
      </c>
      <c r="AB1269" t="s">
        <v>3414</v>
      </c>
      <c r="AC1269">
        <f>HYPERLINK("https://lsnyc.legalserver.org/matter/dynamic-profile/view/1879914","18-1879914")</f>
        <v>0</v>
      </c>
      <c r="AD1269" t="s">
        <v>3443</v>
      </c>
      <c r="AE1269" t="s">
        <v>3471</v>
      </c>
      <c r="AF1269" t="s">
        <v>4427</v>
      </c>
      <c r="AI1269" t="s">
        <v>4909</v>
      </c>
      <c r="AL1269" t="s">
        <v>2115</v>
      </c>
      <c r="AN1269" t="s">
        <v>3414</v>
      </c>
    </row>
    <row r="1270" spans="1:41">
      <c r="A1270" s="1" t="s">
        <v>1306</v>
      </c>
      <c r="B1270" t="s">
        <v>1998</v>
      </c>
      <c r="C1270" t="s">
        <v>1998</v>
      </c>
      <c r="D1270" t="s">
        <v>2057</v>
      </c>
      <c r="E1270" t="s">
        <v>2111</v>
      </c>
      <c r="F1270" t="s">
        <v>2179</v>
      </c>
      <c r="G1270" t="s">
        <v>2211</v>
      </c>
      <c r="H1270">
        <v>10301</v>
      </c>
      <c r="I1270" t="s">
        <v>2230</v>
      </c>
      <c r="J1270">
        <v>1</v>
      </c>
      <c r="K1270">
        <v>0</v>
      </c>
      <c r="L1270" t="s">
        <v>2272</v>
      </c>
      <c r="M1270" t="s">
        <v>2677</v>
      </c>
      <c r="P1270" t="s">
        <v>2972</v>
      </c>
      <c r="Q1270" t="s">
        <v>2113</v>
      </c>
      <c r="R1270" t="s">
        <v>3259</v>
      </c>
      <c r="S1270" t="s">
        <v>3270</v>
      </c>
      <c r="T1270" t="s">
        <v>3294</v>
      </c>
      <c r="U1270" t="s">
        <v>2689</v>
      </c>
      <c r="X1270" t="s">
        <v>3354</v>
      </c>
      <c r="Y1270" t="s">
        <v>2678</v>
      </c>
      <c r="Z1270" t="s">
        <v>3361</v>
      </c>
      <c r="AA1270" t="s">
        <v>3406</v>
      </c>
      <c r="AB1270" t="s">
        <v>3418</v>
      </c>
      <c r="AC1270">
        <f>HYPERLINK("https://lsnyc.legalserver.org/matter/dynamic-profile/view/1879981","18-1879981")</f>
        <v>0</v>
      </c>
      <c r="AD1270" t="s">
        <v>3442</v>
      </c>
      <c r="AE1270" t="s">
        <v>3470</v>
      </c>
      <c r="AF1270" t="s">
        <v>4428</v>
      </c>
      <c r="AG1270" t="s">
        <v>3361</v>
      </c>
      <c r="AH1270" t="s">
        <v>4904</v>
      </c>
      <c r="AK1270" t="s">
        <v>4911</v>
      </c>
      <c r="AL1270" t="s">
        <v>2179</v>
      </c>
      <c r="AM1270" t="s">
        <v>3294</v>
      </c>
      <c r="AN1270" t="s">
        <v>3418</v>
      </c>
    </row>
    <row r="1271" spans="1:41">
      <c r="A1271" s="1" t="s">
        <v>1307</v>
      </c>
      <c r="B1271" t="s">
        <v>1998</v>
      </c>
      <c r="C1271" t="s">
        <v>2005</v>
      </c>
      <c r="D1271" t="s">
        <v>2066</v>
      </c>
      <c r="E1271" t="s">
        <v>2112</v>
      </c>
      <c r="G1271" t="s">
        <v>2211</v>
      </c>
      <c r="H1271">
        <v>10033</v>
      </c>
      <c r="I1271" t="s">
        <v>2229</v>
      </c>
      <c r="J1271">
        <v>2</v>
      </c>
      <c r="K1271">
        <v>1</v>
      </c>
      <c r="L1271" t="s">
        <v>2522</v>
      </c>
      <c r="M1271" t="s">
        <v>2678</v>
      </c>
      <c r="P1271" t="s">
        <v>2973</v>
      </c>
      <c r="Q1271" t="s">
        <v>2113</v>
      </c>
      <c r="R1271" t="s">
        <v>3258</v>
      </c>
      <c r="S1271" t="s">
        <v>3269</v>
      </c>
      <c r="X1271" t="s">
        <v>3354</v>
      </c>
      <c r="Y1271" t="s">
        <v>2677</v>
      </c>
      <c r="Z1271" t="s">
        <v>3361</v>
      </c>
      <c r="AA1271" t="s">
        <v>3406</v>
      </c>
      <c r="AB1271" t="s">
        <v>3417</v>
      </c>
      <c r="AC1271">
        <f>HYPERLINK("https://lsnyc.legalserver.org/matter/dynamic-profile/view/1879785","18-1879785")</f>
        <v>0</v>
      </c>
      <c r="AD1271" t="s">
        <v>3445</v>
      </c>
      <c r="AE1271" t="s">
        <v>3455</v>
      </c>
      <c r="AF1271" t="s">
        <v>4429</v>
      </c>
      <c r="AG1271" t="s">
        <v>3361</v>
      </c>
      <c r="AH1271" t="s">
        <v>4904</v>
      </c>
      <c r="AJ1271" t="s">
        <v>4910</v>
      </c>
      <c r="AN1271" t="s">
        <v>3417</v>
      </c>
    </row>
    <row r="1272" spans="1:41">
      <c r="A1272" s="1" t="s">
        <v>1308</v>
      </c>
      <c r="B1272" t="s">
        <v>1998</v>
      </c>
      <c r="C1272" t="s">
        <v>2001</v>
      </c>
      <c r="D1272" t="s">
        <v>2027</v>
      </c>
      <c r="E1272" t="s">
        <v>2112</v>
      </c>
      <c r="F1272" t="s">
        <v>2117</v>
      </c>
      <c r="G1272" t="s">
        <v>2213</v>
      </c>
      <c r="H1272">
        <v>10454</v>
      </c>
      <c r="I1272" t="s">
        <v>2229</v>
      </c>
      <c r="J1272">
        <v>4</v>
      </c>
      <c r="K1272">
        <v>2</v>
      </c>
      <c r="L1272" t="s">
        <v>2523</v>
      </c>
      <c r="M1272" t="s">
        <v>2677</v>
      </c>
      <c r="P1272" t="s">
        <v>2974</v>
      </c>
      <c r="Q1272" t="s">
        <v>2113</v>
      </c>
      <c r="R1272" t="s">
        <v>3259</v>
      </c>
      <c r="S1272" t="s">
        <v>3267</v>
      </c>
      <c r="X1272" t="s">
        <v>3354</v>
      </c>
      <c r="Y1272" t="s">
        <v>2677</v>
      </c>
      <c r="Z1272" t="s">
        <v>3359</v>
      </c>
      <c r="AA1272" t="s">
        <v>3406</v>
      </c>
      <c r="AB1272" t="s">
        <v>3415</v>
      </c>
      <c r="AC1272">
        <f>HYPERLINK("https://lsnyc.legalserver.org/matter/dynamic-profile/view/1879618","18-1879618")</f>
        <v>0</v>
      </c>
      <c r="AD1272" t="s">
        <v>3445</v>
      </c>
      <c r="AE1272" t="s">
        <v>3455</v>
      </c>
      <c r="AF1272" t="s">
        <v>3917</v>
      </c>
      <c r="AG1272" t="s">
        <v>3359</v>
      </c>
      <c r="AH1272" t="s">
        <v>4906</v>
      </c>
      <c r="AK1272" t="s">
        <v>4911</v>
      </c>
      <c r="AL1272" t="s">
        <v>2117</v>
      </c>
      <c r="AN1272" t="s">
        <v>3415</v>
      </c>
    </row>
    <row r="1273" spans="1:41">
      <c r="A1273" s="1" t="s">
        <v>1309</v>
      </c>
      <c r="B1273" t="s">
        <v>1998</v>
      </c>
      <c r="C1273" t="s">
        <v>2016</v>
      </c>
      <c r="D1273" t="s">
        <v>2045</v>
      </c>
      <c r="E1273" t="s">
        <v>2112</v>
      </c>
      <c r="F1273" t="s">
        <v>2143</v>
      </c>
      <c r="G1273" t="s">
        <v>2212</v>
      </c>
      <c r="H1273">
        <v>11412</v>
      </c>
      <c r="J1273">
        <v>2</v>
      </c>
      <c r="K1273">
        <v>1</v>
      </c>
      <c r="L1273" t="s">
        <v>2392</v>
      </c>
      <c r="M1273" t="s">
        <v>2677</v>
      </c>
      <c r="P1273" t="s">
        <v>2974</v>
      </c>
      <c r="Q1273" t="s">
        <v>2113</v>
      </c>
      <c r="R1273" t="s">
        <v>3258</v>
      </c>
      <c r="S1273" t="s">
        <v>3269</v>
      </c>
      <c r="X1273" t="s">
        <v>3354</v>
      </c>
      <c r="Y1273" t="s">
        <v>2677</v>
      </c>
      <c r="Z1273" t="s">
        <v>3361</v>
      </c>
      <c r="AA1273" t="s">
        <v>3406</v>
      </c>
      <c r="AB1273" t="s">
        <v>3417</v>
      </c>
      <c r="AC1273">
        <f>HYPERLINK("https://lsnyc.legalserver.org/matter/dynamic-profile/view/1879624","18-1879624")</f>
        <v>0</v>
      </c>
      <c r="AD1273" t="s">
        <v>3445</v>
      </c>
      <c r="AE1273" t="s">
        <v>3455</v>
      </c>
      <c r="AF1273" t="s">
        <v>4430</v>
      </c>
      <c r="AG1273" t="s">
        <v>3361</v>
      </c>
      <c r="AH1273" t="s">
        <v>4904</v>
      </c>
      <c r="AK1273" t="s">
        <v>4911</v>
      </c>
      <c r="AL1273" t="s">
        <v>2143</v>
      </c>
      <c r="AN1273" t="s">
        <v>3417</v>
      </c>
    </row>
    <row r="1274" spans="1:41">
      <c r="A1274" s="1" t="s">
        <v>1310</v>
      </c>
      <c r="B1274" t="s">
        <v>2000</v>
      </c>
      <c r="C1274" t="s">
        <v>2009</v>
      </c>
      <c r="D1274" t="s">
        <v>2081</v>
      </c>
      <c r="E1274" t="s">
        <v>2112</v>
      </c>
      <c r="F1274" t="s">
        <v>2135</v>
      </c>
      <c r="G1274" t="s">
        <v>2214</v>
      </c>
      <c r="H1274">
        <v>11214</v>
      </c>
      <c r="I1274" t="s">
        <v>2229</v>
      </c>
      <c r="J1274">
        <v>4</v>
      </c>
      <c r="K1274">
        <v>3</v>
      </c>
      <c r="L1274" t="s">
        <v>2331</v>
      </c>
      <c r="M1274" t="s">
        <v>2677</v>
      </c>
      <c r="P1274" t="s">
        <v>2974</v>
      </c>
      <c r="Q1274" t="s">
        <v>2113</v>
      </c>
      <c r="R1274" t="s">
        <v>3259</v>
      </c>
      <c r="S1274" t="s">
        <v>3264</v>
      </c>
      <c r="X1274" t="s">
        <v>3354</v>
      </c>
      <c r="Y1274" t="s">
        <v>2677</v>
      </c>
      <c r="Z1274" t="s">
        <v>3357</v>
      </c>
      <c r="AA1274" t="s">
        <v>3406</v>
      </c>
      <c r="AB1274" t="s">
        <v>3412</v>
      </c>
      <c r="AC1274">
        <f>HYPERLINK("https://lsnyc.legalserver.org/matter/dynamic-profile/view/1879626","18-1879626")</f>
        <v>0</v>
      </c>
      <c r="AD1274" t="s">
        <v>3445</v>
      </c>
      <c r="AE1274" t="s">
        <v>3455</v>
      </c>
      <c r="AF1274" t="s">
        <v>4431</v>
      </c>
      <c r="AG1274" t="s">
        <v>3357</v>
      </c>
      <c r="AH1274" t="s">
        <v>4904</v>
      </c>
      <c r="AK1274" t="s">
        <v>4911</v>
      </c>
      <c r="AL1274" t="s">
        <v>2135</v>
      </c>
      <c r="AN1274" t="s">
        <v>3412</v>
      </c>
    </row>
    <row r="1275" spans="1:41">
      <c r="A1275" s="1" t="s">
        <v>1311</v>
      </c>
      <c r="B1275" t="s">
        <v>2009</v>
      </c>
      <c r="C1275" t="s">
        <v>2000</v>
      </c>
      <c r="D1275" t="s">
        <v>2099</v>
      </c>
      <c r="E1275" t="s">
        <v>2111</v>
      </c>
      <c r="F1275" t="s">
        <v>2123</v>
      </c>
      <c r="G1275" t="s">
        <v>2213</v>
      </c>
      <c r="H1275">
        <v>10468</v>
      </c>
      <c r="I1275" t="s">
        <v>2229</v>
      </c>
      <c r="J1275">
        <v>1</v>
      </c>
      <c r="K1275">
        <v>0</v>
      </c>
      <c r="L1275" t="s">
        <v>2385</v>
      </c>
      <c r="M1275" t="s">
        <v>2677</v>
      </c>
      <c r="P1275" t="s">
        <v>2974</v>
      </c>
      <c r="Q1275" t="s">
        <v>2113</v>
      </c>
      <c r="R1275" t="s">
        <v>3258</v>
      </c>
      <c r="S1275" t="s">
        <v>3273</v>
      </c>
      <c r="T1275" t="s">
        <v>3294</v>
      </c>
      <c r="U1275" t="s">
        <v>2859</v>
      </c>
      <c r="X1275" t="s">
        <v>3354</v>
      </c>
      <c r="Y1275" t="s">
        <v>2678</v>
      </c>
      <c r="Z1275" t="s">
        <v>3370</v>
      </c>
      <c r="AA1275" t="s">
        <v>3406</v>
      </c>
      <c r="AB1275" t="s">
        <v>3421</v>
      </c>
      <c r="AC1275">
        <f>HYPERLINK("https://lsnyc.legalserver.org/matter/dynamic-profile/view/1879656","18-1879656")</f>
        <v>0</v>
      </c>
      <c r="AD1275" t="s">
        <v>3442</v>
      </c>
      <c r="AE1275" t="s">
        <v>3470</v>
      </c>
      <c r="AF1275" t="s">
        <v>4432</v>
      </c>
      <c r="AG1275" t="s">
        <v>3370</v>
      </c>
      <c r="AH1275" t="s">
        <v>4904</v>
      </c>
      <c r="AK1275" t="s">
        <v>4911</v>
      </c>
      <c r="AL1275" t="s">
        <v>2123</v>
      </c>
      <c r="AM1275" t="s">
        <v>3294</v>
      </c>
      <c r="AN1275" t="s">
        <v>3421</v>
      </c>
    </row>
    <row r="1276" spans="1:41">
      <c r="A1276" s="1" t="s">
        <v>1312</v>
      </c>
      <c r="B1276" t="s">
        <v>2000</v>
      </c>
      <c r="C1276" t="s">
        <v>1998</v>
      </c>
      <c r="D1276" t="s">
        <v>2072</v>
      </c>
      <c r="E1276" t="s">
        <v>2112</v>
      </c>
      <c r="F1276" t="s">
        <v>2116</v>
      </c>
      <c r="G1276" t="s">
        <v>2213</v>
      </c>
      <c r="H1276">
        <v>10468</v>
      </c>
      <c r="I1276" t="s">
        <v>2230</v>
      </c>
      <c r="J1276">
        <v>4</v>
      </c>
      <c r="K1276">
        <v>2</v>
      </c>
      <c r="L1276" t="s">
        <v>2508</v>
      </c>
      <c r="M1276" t="s">
        <v>2677</v>
      </c>
      <c r="P1276" t="s">
        <v>2974</v>
      </c>
      <c r="Q1276" t="s">
        <v>2113</v>
      </c>
      <c r="R1276" t="s">
        <v>3258</v>
      </c>
      <c r="S1276" t="s">
        <v>3269</v>
      </c>
      <c r="T1276" t="s">
        <v>3294</v>
      </c>
      <c r="U1276" t="s">
        <v>2835</v>
      </c>
      <c r="X1276" t="s">
        <v>3354</v>
      </c>
      <c r="Y1276" t="s">
        <v>2677</v>
      </c>
      <c r="Z1276" t="s">
        <v>3361</v>
      </c>
      <c r="AA1276" t="s">
        <v>3406</v>
      </c>
      <c r="AB1276" t="s">
        <v>3417</v>
      </c>
      <c r="AC1276">
        <f>HYPERLINK("https://lsnyc.legalserver.org/matter/dynamic-profile/view/1879679","18-1879679")</f>
        <v>0</v>
      </c>
      <c r="AD1276" t="s">
        <v>3446</v>
      </c>
      <c r="AE1276" t="s">
        <v>3456</v>
      </c>
      <c r="AF1276" t="s">
        <v>4361</v>
      </c>
      <c r="AG1276" t="s">
        <v>3361</v>
      </c>
      <c r="AH1276" t="s">
        <v>4904</v>
      </c>
      <c r="AK1276" t="s">
        <v>4911</v>
      </c>
      <c r="AL1276" t="s">
        <v>2116</v>
      </c>
      <c r="AM1276" t="s">
        <v>3294</v>
      </c>
      <c r="AN1276" t="s">
        <v>3417</v>
      </c>
    </row>
    <row r="1277" spans="1:41">
      <c r="A1277" s="1" t="s">
        <v>1313</v>
      </c>
      <c r="B1277" t="s">
        <v>1998</v>
      </c>
      <c r="C1277" t="s">
        <v>1998</v>
      </c>
      <c r="D1277" t="s">
        <v>2093</v>
      </c>
      <c r="E1277" t="s">
        <v>2112</v>
      </c>
      <c r="F1277" t="s">
        <v>2122</v>
      </c>
      <c r="G1277" t="s">
        <v>2212</v>
      </c>
      <c r="H1277">
        <v>11435</v>
      </c>
      <c r="I1277" t="s">
        <v>2230</v>
      </c>
      <c r="J1277">
        <v>3</v>
      </c>
      <c r="K1277">
        <v>2</v>
      </c>
      <c r="L1277" t="s">
        <v>2524</v>
      </c>
      <c r="M1277" t="s">
        <v>2677</v>
      </c>
      <c r="P1277" t="s">
        <v>2974</v>
      </c>
      <c r="Q1277" t="s">
        <v>2113</v>
      </c>
      <c r="R1277" t="s">
        <v>3258</v>
      </c>
      <c r="S1277" t="s">
        <v>3269</v>
      </c>
      <c r="X1277" t="s">
        <v>3354</v>
      </c>
      <c r="Y1277" t="s">
        <v>2677</v>
      </c>
      <c r="Z1277" t="s">
        <v>3361</v>
      </c>
      <c r="AA1277" t="s">
        <v>3406</v>
      </c>
      <c r="AB1277" t="s">
        <v>3417</v>
      </c>
      <c r="AC1277">
        <f>HYPERLINK("https://lsnyc.legalserver.org/matter/dynamic-profile/view/1879685","18-1879685")</f>
        <v>0</v>
      </c>
      <c r="AD1277" t="s">
        <v>3446</v>
      </c>
      <c r="AE1277" t="s">
        <v>3456</v>
      </c>
      <c r="AF1277" t="s">
        <v>3889</v>
      </c>
      <c r="AG1277" t="s">
        <v>3361</v>
      </c>
      <c r="AH1277" t="s">
        <v>4904</v>
      </c>
      <c r="AK1277" t="s">
        <v>4911</v>
      </c>
      <c r="AL1277" t="s">
        <v>2122</v>
      </c>
      <c r="AN1277" t="s">
        <v>3417</v>
      </c>
    </row>
    <row r="1278" spans="1:41">
      <c r="A1278" s="1" t="s">
        <v>1314</v>
      </c>
      <c r="B1278" t="s">
        <v>2000</v>
      </c>
      <c r="C1278" t="s">
        <v>2002</v>
      </c>
      <c r="D1278" t="s">
        <v>2034</v>
      </c>
      <c r="E1278" t="s">
        <v>2111</v>
      </c>
      <c r="F1278" t="s">
        <v>2135</v>
      </c>
      <c r="G1278" t="s">
        <v>2213</v>
      </c>
      <c r="H1278">
        <v>10458</v>
      </c>
      <c r="I1278" t="s">
        <v>2229</v>
      </c>
      <c r="J1278">
        <v>2</v>
      </c>
      <c r="K1278">
        <v>1</v>
      </c>
      <c r="L1278" t="s">
        <v>2316</v>
      </c>
      <c r="M1278" t="s">
        <v>2677</v>
      </c>
      <c r="P1278" t="s">
        <v>2974</v>
      </c>
      <c r="Q1278" t="s">
        <v>3255</v>
      </c>
      <c r="R1278" t="s">
        <v>3259</v>
      </c>
      <c r="S1278" t="s">
        <v>3272</v>
      </c>
      <c r="V1278" t="s">
        <v>3352</v>
      </c>
      <c r="X1278" t="s">
        <v>3354</v>
      </c>
      <c r="Y1278" t="s">
        <v>2678</v>
      </c>
      <c r="Z1278" t="s">
        <v>3364</v>
      </c>
      <c r="AA1278" t="s">
        <v>3406</v>
      </c>
      <c r="AB1278" t="s">
        <v>3420</v>
      </c>
      <c r="AC1278">
        <f>HYPERLINK("https://lsnyc.legalserver.org/matter/dynamic-profile/view/1879688","18-1879688")</f>
        <v>0</v>
      </c>
      <c r="AD1278" t="s">
        <v>3444</v>
      </c>
      <c r="AE1278" t="s">
        <v>3466</v>
      </c>
      <c r="AF1278" t="s">
        <v>3760</v>
      </c>
      <c r="AG1278" t="s">
        <v>3364</v>
      </c>
      <c r="AH1278" t="s">
        <v>4904</v>
      </c>
      <c r="AL1278" t="s">
        <v>2135</v>
      </c>
      <c r="AN1278" t="s">
        <v>3420</v>
      </c>
      <c r="AO1278" t="s">
        <v>3352</v>
      </c>
    </row>
    <row r="1279" spans="1:41">
      <c r="A1279" s="1" t="s">
        <v>1315</v>
      </c>
      <c r="B1279" t="s">
        <v>2004</v>
      </c>
      <c r="C1279" t="s">
        <v>2000</v>
      </c>
      <c r="D1279" t="s">
        <v>2043</v>
      </c>
      <c r="E1279" t="s">
        <v>2112</v>
      </c>
      <c r="F1279" t="s">
        <v>2117</v>
      </c>
      <c r="G1279" t="s">
        <v>2213</v>
      </c>
      <c r="H1279">
        <v>10455</v>
      </c>
      <c r="I1279" t="s">
        <v>2229</v>
      </c>
      <c r="J1279">
        <v>3</v>
      </c>
      <c r="K1279">
        <v>0</v>
      </c>
      <c r="L1279" t="s">
        <v>2525</v>
      </c>
      <c r="M1279" t="s">
        <v>2677</v>
      </c>
      <c r="P1279" t="s">
        <v>2975</v>
      </c>
      <c r="Q1279" t="s">
        <v>2113</v>
      </c>
      <c r="R1279" t="s">
        <v>3258</v>
      </c>
      <c r="S1279" t="s">
        <v>3271</v>
      </c>
      <c r="T1279" t="s">
        <v>3294</v>
      </c>
      <c r="U1279" t="s">
        <v>2887</v>
      </c>
      <c r="V1279" t="s">
        <v>3352</v>
      </c>
      <c r="X1279" t="s">
        <v>3354</v>
      </c>
      <c r="Y1279" t="s">
        <v>2677</v>
      </c>
      <c r="Z1279" t="s">
        <v>3362</v>
      </c>
      <c r="AA1279" t="s">
        <v>3406</v>
      </c>
      <c r="AB1279" t="s">
        <v>3419</v>
      </c>
      <c r="AC1279">
        <f>HYPERLINK("https://lsnyc.legalserver.org/matter/dynamic-profile/view/1879483","18-1879483")</f>
        <v>0</v>
      </c>
      <c r="AD1279" t="s">
        <v>3445</v>
      </c>
      <c r="AE1279" t="s">
        <v>3452</v>
      </c>
      <c r="AF1279" t="s">
        <v>3515</v>
      </c>
      <c r="AG1279" t="s">
        <v>3362</v>
      </c>
      <c r="AH1279" t="s">
        <v>4904</v>
      </c>
      <c r="AK1279" t="s">
        <v>4911</v>
      </c>
      <c r="AL1279" t="s">
        <v>2117</v>
      </c>
      <c r="AM1279" t="s">
        <v>3294</v>
      </c>
      <c r="AN1279" t="s">
        <v>3419</v>
      </c>
      <c r="AO1279" t="s">
        <v>3352</v>
      </c>
    </row>
    <row r="1280" spans="1:41">
      <c r="A1280" s="1" t="s">
        <v>1316</v>
      </c>
      <c r="B1280" t="s">
        <v>2000</v>
      </c>
      <c r="C1280" t="s">
        <v>1998</v>
      </c>
      <c r="D1280" t="s">
        <v>2056</v>
      </c>
      <c r="E1280" t="s">
        <v>2112</v>
      </c>
      <c r="F1280" t="s">
        <v>2182</v>
      </c>
      <c r="G1280" t="s">
        <v>2213</v>
      </c>
      <c r="H1280">
        <v>10456</v>
      </c>
      <c r="I1280" t="s">
        <v>2230</v>
      </c>
      <c r="J1280">
        <v>6</v>
      </c>
      <c r="K1280">
        <v>2</v>
      </c>
      <c r="L1280" t="s">
        <v>2466</v>
      </c>
      <c r="M1280" t="s">
        <v>2677</v>
      </c>
      <c r="P1280" t="s">
        <v>2975</v>
      </c>
      <c r="Q1280" t="s">
        <v>2113</v>
      </c>
      <c r="R1280" t="s">
        <v>3259</v>
      </c>
      <c r="S1280" t="s">
        <v>3270</v>
      </c>
      <c r="X1280" t="s">
        <v>3354</v>
      </c>
      <c r="Y1280" t="s">
        <v>2677</v>
      </c>
      <c r="Z1280" t="s">
        <v>3362</v>
      </c>
      <c r="AA1280" t="s">
        <v>3406</v>
      </c>
      <c r="AB1280" t="s">
        <v>3418</v>
      </c>
      <c r="AC1280">
        <f>HYPERLINK("https://lsnyc.legalserver.org/matter/dynamic-profile/view/1879493","18-1879493")</f>
        <v>0</v>
      </c>
      <c r="AD1280" t="s">
        <v>3445</v>
      </c>
      <c r="AE1280" t="s">
        <v>3452</v>
      </c>
      <c r="AF1280" t="s">
        <v>4164</v>
      </c>
      <c r="AG1280" t="s">
        <v>3362</v>
      </c>
      <c r="AH1280" t="s">
        <v>4904</v>
      </c>
      <c r="AK1280" t="s">
        <v>4911</v>
      </c>
      <c r="AL1280" t="s">
        <v>2182</v>
      </c>
      <c r="AN1280" t="s">
        <v>3418</v>
      </c>
    </row>
    <row r="1281" spans="1:41">
      <c r="A1281" s="1" t="s">
        <v>1317</v>
      </c>
      <c r="B1281" t="s">
        <v>2000</v>
      </c>
      <c r="C1281" t="s">
        <v>2016</v>
      </c>
      <c r="D1281" t="s">
        <v>2097</v>
      </c>
      <c r="E1281" t="s">
        <v>2111</v>
      </c>
      <c r="F1281" t="s">
        <v>2120</v>
      </c>
      <c r="G1281" t="s">
        <v>2214</v>
      </c>
      <c r="H1281">
        <v>11236</v>
      </c>
      <c r="I1281" t="s">
        <v>2230</v>
      </c>
      <c r="J1281">
        <v>1</v>
      </c>
      <c r="K1281">
        <v>0</v>
      </c>
      <c r="L1281" t="s">
        <v>2390</v>
      </c>
      <c r="M1281" t="s">
        <v>2677</v>
      </c>
      <c r="P1281" t="s">
        <v>2975</v>
      </c>
      <c r="Q1281" t="s">
        <v>2113</v>
      </c>
      <c r="R1281" t="s">
        <v>3258</v>
      </c>
      <c r="S1281" t="s">
        <v>3271</v>
      </c>
      <c r="V1281" t="s">
        <v>3352</v>
      </c>
      <c r="X1281" t="s">
        <v>3354</v>
      </c>
      <c r="Y1281" t="s">
        <v>2678</v>
      </c>
      <c r="Z1281" t="s">
        <v>3362</v>
      </c>
      <c r="AA1281" t="s">
        <v>3406</v>
      </c>
      <c r="AB1281" t="s">
        <v>3419</v>
      </c>
      <c r="AC1281">
        <f>HYPERLINK("https://lsnyc.legalserver.org/matter/dynamic-profile/view/1879499","18-1879499")</f>
        <v>0</v>
      </c>
      <c r="AD1281" t="s">
        <v>3446</v>
      </c>
      <c r="AE1281" t="s">
        <v>3465</v>
      </c>
      <c r="AF1281" t="s">
        <v>3883</v>
      </c>
      <c r="AG1281" t="s">
        <v>3362</v>
      </c>
      <c r="AH1281" t="s">
        <v>4904</v>
      </c>
      <c r="AK1281" t="s">
        <v>4911</v>
      </c>
      <c r="AL1281" t="s">
        <v>2120</v>
      </c>
      <c r="AN1281" t="s">
        <v>3419</v>
      </c>
      <c r="AO1281" t="s">
        <v>3352</v>
      </c>
    </row>
    <row r="1282" spans="1:41">
      <c r="A1282" s="1" t="s">
        <v>1318</v>
      </c>
      <c r="B1282" t="s">
        <v>2016</v>
      </c>
      <c r="C1282" t="s">
        <v>2001</v>
      </c>
      <c r="D1282" t="s">
        <v>2067</v>
      </c>
      <c r="E1282" t="s">
        <v>2111</v>
      </c>
      <c r="F1282" t="s">
        <v>2115</v>
      </c>
      <c r="G1282" t="s">
        <v>2212</v>
      </c>
      <c r="H1282">
        <v>11435</v>
      </c>
      <c r="I1282" t="s">
        <v>2229</v>
      </c>
      <c r="J1282">
        <v>3</v>
      </c>
      <c r="K1282">
        <v>1</v>
      </c>
      <c r="L1282" t="s">
        <v>2429</v>
      </c>
      <c r="M1282" t="s">
        <v>2677</v>
      </c>
      <c r="P1282" t="s">
        <v>2772</v>
      </c>
      <c r="Q1282" t="s">
        <v>2113</v>
      </c>
      <c r="R1282" t="s">
        <v>3259</v>
      </c>
      <c r="S1282" t="s">
        <v>3267</v>
      </c>
      <c r="T1282" t="s">
        <v>3294</v>
      </c>
      <c r="V1282" t="s">
        <v>3353</v>
      </c>
      <c r="X1282" t="s">
        <v>3354</v>
      </c>
      <c r="Y1282" t="s">
        <v>2678</v>
      </c>
      <c r="Z1282" t="s">
        <v>3359</v>
      </c>
      <c r="AA1282" t="s">
        <v>3406</v>
      </c>
      <c r="AB1282" t="s">
        <v>3415</v>
      </c>
      <c r="AC1282">
        <f>HYPERLINK("https://lsnyc.legalserver.org/matter/dynamic-profile/view/1879554","18-1879554")</f>
        <v>0</v>
      </c>
      <c r="AD1282" t="s">
        <v>3443</v>
      </c>
      <c r="AE1282" t="s">
        <v>3450</v>
      </c>
      <c r="AF1282" t="s">
        <v>4278</v>
      </c>
      <c r="AG1282" t="s">
        <v>3359</v>
      </c>
      <c r="AH1282" t="s">
        <v>4906</v>
      </c>
      <c r="AL1282" t="s">
        <v>2115</v>
      </c>
      <c r="AM1282" t="s">
        <v>3294</v>
      </c>
      <c r="AN1282" t="s">
        <v>3415</v>
      </c>
      <c r="AO1282" t="s">
        <v>3353</v>
      </c>
    </row>
    <row r="1283" spans="1:41">
      <c r="A1283" s="1" t="s">
        <v>1319</v>
      </c>
      <c r="B1283" t="s">
        <v>1998</v>
      </c>
      <c r="C1283" t="s">
        <v>1998</v>
      </c>
      <c r="D1283" t="s">
        <v>2059</v>
      </c>
      <c r="E1283" t="s">
        <v>2112</v>
      </c>
      <c r="F1283" t="s">
        <v>2120</v>
      </c>
      <c r="G1283" t="s">
        <v>2212</v>
      </c>
      <c r="H1283">
        <v>11434</v>
      </c>
      <c r="J1283">
        <v>1</v>
      </c>
      <c r="K1283">
        <v>0</v>
      </c>
      <c r="L1283" t="s">
        <v>2260</v>
      </c>
      <c r="M1283" t="s">
        <v>2677</v>
      </c>
      <c r="P1283" t="s">
        <v>2975</v>
      </c>
      <c r="Q1283" t="s">
        <v>3257</v>
      </c>
      <c r="R1283" t="s">
        <v>3259</v>
      </c>
      <c r="S1283" t="s">
        <v>3264</v>
      </c>
      <c r="X1283" t="s">
        <v>3354</v>
      </c>
      <c r="Y1283" t="s">
        <v>2678</v>
      </c>
      <c r="Z1283" t="s">
        <v>3357</v>
      </c>
      <c r="AA1283" t="s">
        <v>3406</v>
      </c>
      <c r="AB1283" t="s">
        <v>3412</v>
      </c>
      <c r="AC1283">
        <f>HYPERLINK("https://lsnyc.legalserver.org/matter/dynamic-profile/view/1879558","18-1879558")</f>
        <v>0</v>
      </c>
      <c r="AD1283" t="s">
        <v>3443</v>
      </c>
      <c r="AE1283" t="s">
        <v>3449</v>
      </c>
      <c r="AF1283" t="s">
        <v>4433</v>
      </c>
      <c r="AG1283" t="s">
        <v>3357</v>
      </c>
      <c r="AH1283" t="s">
        <v>4904</v>
      </c>
      <c r="AK1283" t="s">
        <v>4911</v>
      </c>
      <c r="AL1283" t="s">
        <v>2120</v>
      </c>
      <c r="AN1283" t="s">
        <v>3412</v>
      </c>
    </row>
    <row r="1284" spans="1:41">
      <c r="A1284" s="1" t="s">
        <v>1320</v>
      </c>
      <c r="B1284" t="s">
        <v>2002</v>
      </c>
      <c r="C1284" t="s">
        <v>2005</v>
      </c>
      <c r="D1284" t="s">
        <v>2078</v>
      </c>
      <c r="E1284" t="s">
        <v>2112</v>
      </c>
      <c r="F1284" t="s">
        <v>2115</v>
      </c>
      <c r="G1284" t="s">
        <v>2213</v>
      </c>
      <c r="H1284">
        <v>10474</v>
      </c>
      <c r="I1284" t="s">
        <v>2229</v>
      </c>
      <c r="J1284">
        <v>4</v>
      </c>
      <c r="K1284">
        <v>2</v>
      </c>
      <c r="L1284" t="s">
        <v>2526</v>
      </c>
      <c r="M1284" t="s">
        <v>2677</v>
      </c>
      <c r="P1284" t="s">
        <v>2975</v>
      </c>
      <c r="Q1284" t="s">
        <v>2113</v>
      </c>
      <c r="R1284" t="s">
        <v>3258</v>
      </c>
      <c r="S1284" t="s">
        <v>3271</v>
      </c>
      <c r="X1284" t="s">
        <v>3354</v>
      </c>
      <c r="Y1284" t="s">
        <v>2677</v>
      </c>
      <c r="Z1284" t="s">
        <v>3362</v>
      </c>
      <c r="AA1284" t="s">
        <v>3406</v>
      </c>
      <c r="AB1284" t="s">
        <v>3419</v>
      </c>
      <c r="AC1284">
        <f>HYPERLINK("https://lsnyc.legalserver.org/matter/dynamic-profile/view/1879559","18-1879559")</f>
        <v>0</v>
      </c>
      <c r="AD1284" t="s">
        <v>3445</v>
      </c>
      <c r="AE1284" t="s">
        <v>3455</v>
      </c>
      <c r="AF1284" t="s">
        <v>4434</v>
      </c>
      <c r="AG1284" t="s">
        <v>3362</v>
      </c>
      <c r="AH1284" t="s">
        <v>4904</v>
      </c>
      <c r="AK1284" t="s">
        <v>4911</v>
      </c>
      <c r="AL1284" t="s">
        <v>2115</v>
      </c>
      <c r="AN1284" t="s">
        <v>3419</v>
      </c>
    </row>
    <row r="1285" spans="1:41">
      <c r="A1285" s="1" t="s">
        <v>1321</v>
      </c>
      <c r="B1285" t="s">
        <v>2001</v>
      </c>
      <c r="C1285" t="s">
        <v>1998</v>
      </c>
      <c r="D1285" t="s">
        <v>2051</v>
      </c>
      <c r="E1285" t="s">
        <v>2112</v>
      </c>
      <c r="F1285" t="s">
        <v>2122</v>
      </c>
      <c r="G1285" t="s">
        <v>2214</v>
      </c>
      <c r="H1285">
        <v>11207</v>
      </c>
      <c r="I1285" t="s">
        <v>2230</v>
      </c>
      <c r="J1285">
        <v>1</v>
      </c>
      <c r="K1285">
        <v>0</v>
      </c>
      <c r="L1285" t="s">
        <v>2272</v>
      </c>
      <c r="M1285" t="s">
        <v>2677</v>
      </c>
      <c r="P1285" t="s">
        <v>2975</v>
      </c>
      <c r="Q1285" t="s">
        <v>3257</v>
      </c>
      <c r="R1285" t="s">
        <v>3259</v>
      </c>
      <c r="S1285" t="s">
        <v>3267</v>
      </c>
      <c r="T1285" t="s">
        <v>3294</v>
      </c>
      <c r="X1285" t="s">
        <v>3354</v>
      </c>
      <c r="Y1285" t="s">
        <v>2678</v>
      </c>
      <c r="Z1285" t="s">
        <v>3359</v>
      </c>
      <c r="AA1285" t="s">
        <v>3406</v>
      </c>
      <c r="AB1285" t="s">
        <v>3415</v>
      </c>
      <c r="AC1285">
        <f>HYPERLINK("https://lsnyc.legalserver.org/matter/dynamic-profile/view/1879575","18-1879575")</f>
        <v>0</v>
      </c>
      <c r="AD1285" t="s">
        <v>3446</v>
      </c>
      <c r="AE1285" t="s">
        <v>3481</v>
      </c>
      <c r="AF1285" t="s">
        <v>4435</v>
      </c>
      <c r="AG1285" t="s">
        <v>3359</v>
      </c>
      <c r="AH1285" t="s">
        <v>4906</v>
      </c>
      <c r="AK1285" t="s">
        <v>4911</v>
      </c>
      <c r="AL1285" t="s">
        <v>2122</v>
      </c>
      <c r="AM1285" t="s">
        <v>3294</v>
      </c>
      <c r="AN1285" t="s">
        <v>3415</v>
      </c>
    </row>
    <row r="1286" spans="1:41">
      <c r="A1286" s="1" t="s">
        <v>1322</v>
      </c>
      <c r="B1286" t="s">
        <v>2009</v>
      </c>
      <c r="C1286" t="s">
        <v>2002</v>
      </c>
      <c r="D1286" t="s">
        <v>2047</v>
      </c>
      <c r="E1286" t="s">
        <v>2112</v>
      </c>
      <c r="F1286" t="s">
        <v>2123</v>
      </c>
      <c r="G1286" t="s">
        <v>2214</v>
      </c>
      <c r="H1286">
        <v>11208</v>
      </c>
      <c r="I1286" t="s">
        <v>2229</v>
      </c>
      <c r="J1286">
        <v>2</v>
      </c>
      <c r="K1286">
        <v>0</v>
      </c>
      <c r="L1286" t="s">
        <v>2273</v>
      </c>
      <c r="M1286" t="s">
        <v>2677</v>
      </c>
      <c r="P1286" t="s">
        <v>2738</v>
      </c>
      <c r="Q1286" t="s">
        <v>2113</v>
      </c>
      <c r="R1286" t="s">
        <v>3258</v>
      </c>
      <c r="S1286" t="s">
        <v>3271</v>
      </c>
      <c r="T1286" t="s">
        <v>3294</v>
      </c>
      <c r="U1286" t="s">
        <v>3309</v>
      </c>
      <c r="V1286" t="s">
        <v>3352</v>
      </c>
      <c r="X1286" t="s">
        <v>3354</v>
      </c>
      <c r="Y1286" t="s">
        <v>2677</v>
      </c>
      <c r="Z1286" t="s">
        <v>3362</v>
      </c>
      <c r="AA1286" t="s">
        <v>3406</v>
      </c>
      <c r="AB1286" t="s">
        <v>3419</v>
      </c>
      <c r="AC1286">
        <f>HYPERLINK("https://lsnyc.legalserver.org/matter/dynamic-profile/view/1879319","18-1879319")</f>
        <v>0</v>
      </c>
      <c r="AD1286" t="s">
        <v>3445</v>
      </c>
      <c r="AE1286" t="s">
        <v>3452</v>
      </c>
      <c r="AF1286" t="s">
        <v>3520</v>
      </c>
      <c r="AG1286" t="s">
        <v>3362</v>
      </c>
      <c r="AH1286" t="s">
        <v>4904</v>
      </c>
      <c r="AL1286" t="s">
        <v>2123</v>
      </c>
      <c r="AM1286" t="s">
        <v>3294</v>
      </c>
      <c r="AN1286" t="s">
        <v>3419</v>
      </c>
      <c r="AO1286" t="s">
        <v>3352</v>
      </c>
    </row>
    <row r="1287" spans="1:41">
      <c r="A1287" s="1" t="s">
        <v>1323</v>
      </c>
      <c r="B1287" t="s">
        <v>1998</v>
      </c>
      <c r="C1287" t="s">
        <v>2000</v>
      </c>
      <c r="D1287" t="s">
        <v>2096</v>
      </c>
      <c r="E1287" t="s">
        <v>2112</v>
      </c>
      <c r="F1287" t="s">
        <v>2114</v>
      </c>
      <c r="G1287" t="s">
        <v>2213</v>
      </c>
      <c r="H1287">
        <v>10452</v>
      </c>
      <c r="I1287" t="s">
        <v>2229</v>
      </c>
      <c r="J1287">
        <v>3</v>
      </c>
      <c r="K1287">
        <v>2</v>
      </c>
      <c r="L1287" t="s">
        <v>2462</v>
      </c>
      <c r="M1287" t="s">
        <v>2677</v>
      </c>
      <c r="P1287" t="s">
        <v>2976</v>
      </c>
      <c r="Q1287" t="s">
        <v>2113</v>
      </c>
      <c r="R1287" t="s">
        <v>3258</v>
      </c>
      <c r="S1287" t="s">
        <v>3269</v>
      </c>
      <c r="X1287" t="s">
        <v>3354</v>
      </c>
      <c r="Y1287" t="s">
        <v>2677</v>
      </c>
      <c r="Z1287" t="s">
        <v>3361</v>
      </c>
      <c r="AA1287" t="s">
        <v>3406</v>
      </c>
      <c r="AB1287" t="s">
        <v>3417</v>
      </c>
      <c r="AC1287">
        <f>HYPERLINK("https://lsnyc.legalserver.org/matter/dynamic-profile/view/1879370","18-1879370")</f>
        <v>0</v>
      </c>
      <c r="AD1287" t="s">
        <v>3445</v>
      </c>
      <c r="AE1287" t="s">
        <v>3455</v>
      </c>
      <c r="AF1287" t="s">
        <v>4436</v>
      </c>
      <c r="AG1287" t="s">
        <v>3361</v>
      </c>
      <c r="AH1287" t="s">
        <v>4904</v>
      </c>
      <c r="AK1287" t="s">
        <v>4911</v>
      </c>
      <c r="AL1287" t="s">
        <v>2114</v>
      </c>
      <c r="AN1287" t="s">
        <v>3417</v>
      </c>
    </row>
    <row r="1288" spans="1:41">
      <c r="A1288" s="1" t="s">
        <v>1324</v>
      </c>
      <c r="B1288" t="s">
        <v>1998</v>
      </c>
      <c r="C1288" t="s">
        <v>2016</v>
      </c>
      <c r="D1288" t="s">
        <v>2040</v>
      </c>
      <c r="E1288" t="s">
        <v>2111</v>
      </c>
      <c r="F1288" t="s">
        <v>2135</v>
      </c>
      <c r="G1288" t="s">
        <v>2213</v>
      </c>
      <c r="H1288">
        <v>10454</v>
      </c>
      <c r="I1288" t="s">
        <v>2229</v>
      </c>
      <c r="J1288">
        <v>3</v>
      </c>
      <c r="K1288">
        <v>0</v>
      </c>
      <c r="L1288" t="s">
        <v>2527</v>
      </c>
      <c r="M1288" t="s">
        <v>2677</v>
      </c>
      <c r="P1288" t="s">
        <v>2976</v>
      </c>
      <c r="Q1288" t="s">
        <v>2113</v>
      </c>
      <c r="R1288" t="s">
        <v>3258</v>
      </c>
      <c r="S1288" t="s">
        <v>3271</v>
      </c>
      <c r="X1288" t="s">
        <v>3354</v>
      </c>
      <c r="Y1288" t="s">
        <v>2677</v>
      </c>
      <c r="Z1288" t="s">
        <v>3362</v>
      </c>
      <c r="AA1288" t="s">
        <v>3406</v>
      </c>
      <c r="AB1288" t="s">
        <v>3419</v>
      </c>
      <c r="AC1288">
        <f>HYPERLINK("https://lsnyc.legalserver.org/matter/dynamic-profile/view/1879401","18-1879401")</f>
        <v>0</v>
      </c>
      <c r="AD1288" t="s">
        <v>3445</v>
      </c>
      <c r="AE1288" t="s">
        <v>3455</v>
      </c>
      <c r="AF1288" t="s">
        <v>4437</v>
      </c>
      <c r="AG1288" t="s">
        <v>3362</v>
      </c>
      <c r="AH1288" t="s">
        <v>4904</v>
      </c>
      <c r="AK1288" t="s">
        <v>4911</v>
      </c>
      <c r="AL1288" t="s">
        <v>2135</v>
      </c>
      <c r="AN1288" t="s">
        <v>3419</v>
      </c>
    </row>
    <row r="1289" spans="1:41">
      <c r="A1289" s="1" t="s">
        <v>1325</v>
      </c>
      <c r="B1289" t="s">
        <v>2002</v>
      </c>
      <c r="C1289" t="s">
        <v>1998</v>
      </c>
      <c r="D1289" t="s">
        <v>2040</v>
      </c>
      <c r="E1289" t="s">
        <v>2111</v>
      </c>
      <c r="F1289" t="s">
        <v>2135</v>
      </c>
      <c r="G1289" t="s">
        <v>2213</v>
      </c>
      <c r="H1289">
        <v>10465</v>
      </c>
      <c r="I1289" t="s">
        <v>2229</v>
      </c>
      <c r="J1289">
        <v>3</v>
      </c>
      <c r="K1289">
        <v>1</v>
      </c>
      <c r="L1289" t="s">
        <v>2472</v>
      </c>
      <c r="M1289" t="s">
        <v>2677</v>
      </c>
      <c r="P1289" t="s">
        <v>2977</v>
      </c>
      <c r="Q1289" t="s">
        <v>2113</v>
      </c>
      <c r="R1289" t="s">
        <v>3258</v>
      </c>
      <c r="S1289" t="s">
        <v>3271</v>
      </c>
      <c r="X1289" t="s">
        <v>3354</v>
      </c>
      <c r="Y1289" t="s">
        <v>2677</v>
      </c>
      <c r="Z1289" t="s">
        <v>3362</v>
      </c>
      <c r="AA1289" t="s">
        <v>3406</v>
      </c>
      <c r="AB1289" t="s">
        <v>3419</v>
      </c>
      <c r="AC1289">
        <f>HYPERLINK("https://lsnyc.legalserver.org/matter/dynamic-profile/view/1879249","18-1879249")</f>
        <v>0</v>
      </c>
      <c r="AD1289" t="s">
        <v>3445</v>
      </c>
      <c r="AE1289" t="s">
        <v>3452</v>
      </c>
      <c r="AF1289" t="s">
        <v>4438</v>
      </c>
      <c r="AG1289" t="s">
        <v>3362</v>
      </c>
      <c r="AH1289" t="s">
        <v>4904</v>
      </c>
      <c r="AK1289" t="s">
        <v>4911</v>
      </c>
      <c r="AL1289" t="s">
        <v>2135</v>
      </c>
      <c r="AN1289" t="s">
        <v>3419</v>
      </c>
    </row>
    <row r="1290" spans="1:41">
      <c r="A1290" s="1" t="s">
        <v>1326</v>
      </c>
      <c r="B1290" t="s">
        <v>1998</v>
      </c>
      <c r="C1290" t="s">
        <v>2014</v>
      </c>
      <c r="D1290" t="s">
        <v>2096</v>
      </c>
      <c r="E1290" t="s">
        <v>2111</v>
      </c>
      <c r="F1290" t="s">
        <v>2118</v>
      </c>
      <c r="G1290" t="s">
        <v>2214</v>
      </c>
      <c r="H1290">
        <v>11218</v>
      </c>
      <c r="I1290" t="s">
        <v>2230</v>
      </c>
      <c r="J1290">
        <v>2</v>
      </c>
      <c r="K1290">
        <v>1</v>
      </c>
      <c r="L1290" t="s">
        <v>2260</v>
      </c>
      <c r="M1290" t="s">
        <v>2677</v>
      </c>
      <c r="P1290" t="s">
        <v>2978</v>
      </c>
      <c r="Q1290" t="s">
        <v>2113</v>
      </c>
      <c r="R1290" t="s">
        <v>3259</v>
      </c>
      <c r="S1290" t="s">
        <v>3276</v>
      </c>
      <c r="X1290" t="s">
        <v>3354</v>
      </c>
      <c r="Y1290" t="s">
        <v>2678</v>
      </c>
      <c r="Z1290" t="s">
        <v>3373</v>
      </c>
      <c r="AA1290" t="s">
        <v>3406</v>
      </c>
      <c r="AB1290" t="s">
        <v>3424</v>
      </c>
      <c r="AC1290">
        <f>HYPERLINK("https://lsnyc.legalserver.org/matter/dynamic-profile/view/1878944","18-1878944")</f>
        <v>0</v>
      </c>
      <c r="AD1290" t="s">
        <v>3446</v>
      </c>
      <c r="AE1290" t="s">
        <v>3481</v>
      </c>
      <c r="AF1290" t="s">
        <v>4439</v>
      </c>
      <c r="AG1290" t="s">
        <v>3373</v>
      </c>
      <c r="AH1290" t="s">
        <v>4904</v>
      </c>
      <c r="AK1290" t="s">
        <v>4911</v>
      </c>
      <c r="AL1290" t="s">
        <v>2118</v>
      </c>
      <c r="AN1290" t="s">
        <v>3424</v>
      </c>
    </row>
    <row r="1291" spans="1:41">
      <c r="A1291" s="1" t="s">
        <v>1327</v>
      </c>
      <c r="B1291" t="s">
        <v>2002</v>
      </c>
      <c r="C1291" t="s">
        <v>2000</v>
      </c>
      <c r="D1291" t="s">
        <v>2048</v>
      </c>
      <c r="E1291" t="s">
        <v>2112</v>
      </c>
      <c r="F1291" t="s">
        <v>2116</v>
      </c>
      <c r="G1291" t="s">
        <v>2213</v>
      </c>
      <c r="H1291">
        <v>10474</v>
      </c>
      <c r="I1291" t="s">
        <v>2229</v>
      </c>
      <c r="J1291">
        <v>6</v>
      </c>
      <c r="K1291">
        <v>5</v>
      </c>
      <c r="L1291" t="s">
        <v>2528</v>
      </c>
      <c r="M1291" t="s">
        <v>2677</v>
      </c>
      <c r="P1291" t="s">
        <v>2978</v>
      </c>
      <c r="Q1291" t="s">
        <v>2113</v>
      </c>
      <c r="R1291" t="s">
        <v>3259</v>
      </c>
      <c r="S1291" t="s">
        <v>3276</v>
      </c>
      <c r="T1291" t="s">
        <v>3294</v>
      </c>
      <c r="U1291" t="s">
        <v>3316</v>
      </c>
      <c r="X1291" t="s">
        <v>3354</v>
      </c>
      <c r="Y1291" t="s">
        <v>2678</v>
      </c>
      <c r="Z1291" t="s">
        <v>3373</v>
      </c>
      <c r="AA1291" t="s">
        <v>3406</v>
      </c>
      <c r="AB1291" t="s">
        <v>3424</v>
      </c>
      <c r="AC1291">
        <f>HYPERLINK("https://lsnyc.legalserver.org/matter/dynamic-profile/view/1879095","18-1879095")</f>
        <v>0</v>
      </c>
      <c r="AD1291" t="s">
        <v>3446</v>
      </c>
      <c r="AE1291" t="s">
        <v>3481</v>
      </c>
      <c r="AF1291" t="s">
        <v>4440</v>
      </c>
      <c r="AG1291" t="s">
        <v>3373</v>
      </c>
      <c r="AH1291" t="s">
        <v>4904</v>
      </c>
      <c r="AK1291" t="s">
        <v>4911</v>
      </c>
      <c r="AL1291" t="s">
        <v>2116</v>
      </c>
      <c r="AM1291" t="s">
        <v>3294</v>
      </c>
      <c r="AN1291" t="s">
        <v>3424</v>
      </c>
    </row>
    <row r="1292" spans="1:41">
      <c r="A1292" s="1" t="s">
        <v>1328</v>
      </c>
      <c r="B1292" t="s">
        <v>2018</v>
      </c>
      <c r="C1292" t="s">
        <v>2007</v>
      </c>
      <c r="D1292" t="s">
        <v>2038</v>
      </c>
      <c r="E1292" t="s">
        <v>2111</v>
      </c>
      <c r="F1292" t="s">
        <v>2129</v>
      </c>
      <c r="G1292" t="s">
        <v>2214</v>
      </c>
      <c r="H1292">
        <v>11235</v>
      </c>
      <c r="I1292" t="s">
        <v>2232</v>
      </c>
      <c r="J1292">
        <v>2</v>
      </c>
      <c r="K1292">
        <v>0</v>
      </c>
      <c r="L1292" t="s">
        <v>2283</v>
      </c>
      <c r="M1292" t="s">
        <v>2677</v>
      </c>
      <c r="P1292" t="s">
        <v>2979</v>
      </c>
      <c r="Q1292" t="s">
        <v>2113</v>
      </c>
      <c r="R1292" t="s">
        <v>3259</v>
      </c>
      <c r="S1292" t="s">
        <v>3268</v>
      </c>
      <c r="X1292" t="s">
        <v>3354</v>
      </c>
      <c r="Y1292" t="s">
        <v>2677</v>
      </c>
      <c r="Z1292" t="s">
        <v>3368</v>
      </c>
      <c r="AA1292" t="s">
        <v>3406</v>
      </c>
      <c r="AB1292" t="s">
        <v>3416</v>
      </c>
      <c r="AC1292">
        <f>HYPERLINK("https://lsnyc.legalserver.org/matter/dynamic-profile/view/1878906","18-1878906")</f>
        <v>0</v>
      </c>
      <c r="AD1292" t="s">
        <v>3445</v>
      </c>
      <c r="AE1292" t="s">
        <v>3455</v>
      </c>
      <c r="AF1292" t="s">
        <v>4441</v>
      </c>
      <c r="AG1292" t="s">
        <v>3368</v>
      </c>
      <c r="AH1292" t="s">
        <v>4904</v>
      </c>
      <c r="AK1292" t="s">
        <v>4911</v>
      </c>
      <c r="AL1292" t="s">
        <v>2129</v>
      </c>
      <c r="AN1292" t="s">
        <v>3416</v>
      </c>
    </row>
    <row r="1293" spans="1:41">
      <c r="A1293" s="1" t="s">
        <v>1329</v>
      </c>
      <c r="B1293" t="s">
        <v>2001</v>
      </c>
      <c r="C1293" t="s">
        <v>2000</v>
      </c>
      <c r="D1293" t="s">
        <v>2057</v>
      </c>
      <c r="E1293" t="s">
        <v>2111</v>
      </c>
      <c r="F1293" t="s">
        <v>2123</v>
      </c>
      <c r="G1293" t="s">
        <v>2213</v>
      </c>
      <c r="H1293">
        <v>10456</v>
      </c>
      <c r="I1293" t="s">
        <v>2229</v>
      </c>
      <c r="J1293">
        <v>1</v>
      </c>
      <c r="K1293">
        <v>0</v>
      </c>
      <c r="L1293" t="s">
        <v>2275</v>
      </c>
      <c r="M1293" t="s">
        <v>2677</v>
      </c>
      <c r="P1293" t="s">
        <v>2979</v>
      </c>
      <c r="Q1293" t="s">
        <v>2113</v>
      </c>
      <c r="R1293" t="s">
        <v>3259</v>
      </c>
      <c r="S1293" t="s">
        <v>3270</v>
      </c>
      <c r="T1293" t="s">
        <v>3294</v>
      </c>
      <c r="U1293" t="s">
        <v>2817</v>
      </c>
      <c r="X1293" t="s">
        <v>3354</v>
      </c>
      <c r="Y1293" t="s">
        <v>2678</v>
      </c>
      <c r="Z1293" t="s">
        <v>3361</v>
      </c>
      <c r="AA1293" t="s">
        <v>3406</v>
      </c>
      <c r="AB1293" t="s">
        <v>3418</v>
      </c>
      <c r="AC1293">
        <f>HYPERLINK("https://lsnyc.legalserver.org/matter/dynamic-profile/view/1878932","18-1878932")</f>
        <v>0</v>
      </c>
      <c r="AD1293" t="s">
        <v>3443</v>
      </c>
      <c r="AE1293" t="s">
        <v>3457</v>
      </c>
      <c r="AF1293" t="s">
        <v>4442</v>
      </c>
      <c r="AG1293" t="s">
        <v>3361</v>
      </c>
      <c r="AH1293" t="s">
        <v>4904</v>
      </c>
      <c r="AK1293" t="s">
        <v>4911</v>
      </c>
      <c r="AL1293" t="s">
        <v>2123</v>
      </c>
      <c r="AM1293" t="s">
        <v>3294</v>
      </c>
      <c r="AN1293" t="s">
        <v>3418</v>
      </c>
    </row>
    <row r="1294" spans="1:41">
      <c r="A1294" s="1" t="s">
        <v>1330</v>
      </c>
      <c r="B1294" t="s">
        <v>2000</v>
      </c>
      <c r="C1294" t="s">
        <v>2012</v>
      </c>
      <c r="D1294" t="s">
        <v>2094</v>
      </c>
      <c r="E1294" t="s">
        <v>2112</v>
      </c>
      <c r="F1294" t="s">
        <v>2115</v>
      </c>
      <c r="G1294" t="s">
        <v>2216</v>
      </c>
      <c r="H1294">
        <v>10301</v>
      </c>
      <c r="I1294" t="s">
        <v>2229</v>
      </c>
      <c r="J1294">
        <v>2</v>
      </c>
      <c r="K1294">
        <v>0</v>
      </c>
      <c r="L1294" t="s">
        <v>2260</v>
      </c>
      <c r="M1294" t="s">
        <v>2677</v>
      </c>
      <c r="P1294" t="s">
        <v>2980</v>
      </c>
      <c r="Q1294" t="s">
        <v>3255</v>
      </c>
      <c r="R1294" t="s">
        <v>3259</v>
      </c>
      <c r="S1294" t="s">
        <v>3267</v>
      </c>
      <c r="T1294" t="s">
        <v>3294</v>
      </c>
      <c r="U1294" t="s">
        <v>2938</v>
      </c>
      <c r="X1294" t="s">
        <v>3354</v>
      </c>
      <c r="Y1294" t="s">
        <v>2678</v>
      </c>
      <c r="Z1294" t="s">
        <v>3380</v>
      </c>
      <c r="AA1294" t="s">
        <v>3406</v>
      </c>
      <c r="AB1294" t="s">
        <v>3415</v>
      </c>
      <c r="AC1294">
        <f>HYPERLINK("https://lsnyc.legalserver.org/matter/dynamic-profile/view/1876917","18-1876917")</f>
        <v>0</v>
      </c>
      <c r="AD1294" t="s">
        <v>3447</v>
      </c>
      <c r="AE1294" t="s">
        <v>3478</v>
      </c>
      <c r="AF1294" t="s">
        <v>4443</v>
      </c>
      <c r="AG1294" t="s">
        <v>3380</v>
      </c>
      <c r="AH1294" t="s">
        <v>4906</v>
      </c>
      <c r="AK1294" t="s">
        <v>4911</v>
      </c>
      <c r="AL1294" t="s">
        <v>2115</v>
      </c>
      <c r="AM1294" t="s">
        <v>3294</v>
      </c>
      <c r="AN1294" t="s">
        <v>3415</v>
      </c>
    </row>
    <row r="1295" spans="1:41">
      <c r="A1295" s="1" t="s">
        <v>1331</v>
      </c>
      <c r="B1295" t="s">
        <v>2018</v>
      </c>
      <c r="C1295" t="s">
        <v>2018</v>
      </c>
      <c r="D1295" t="s">
        <v>2063</v>
      </c>
      <c r="E1295" t="s">
        <v>2112</v>
      </c>
      <c r="F1295" t="s">
        <v>2116</v>
      </c>
      <c r="G1295" t="s">
        <v>2216</v>
      </c>
      <c r="H1295">
        <v>10314</v>
      </c>
      <c r="I1295" t="s">
        <v>2229</v>
      </c>
      <c r="J1295">
        <v>4</v>
      </c>
      <c r="K1295">
        <v>1</v>
      </c>
      <c r="L1295" t="s">
        <v>2272</v>
      </c>
      <c r="M1295" t="s">
        <v>2677</v>
      </c>
      <c r="P1295" t="s">
        <v>2980</v>
      </c>
      <c r="Q1295" t="s">
        <v>3255</v>
      </c>
      <c r="R1295" t="s">
        <v>3259</v>
      </c>
      <c r="S1295" t="s">
        <v>3275</v>
      </c>
      <c r="X1295" t="s">
        <v>3354</v>
      </c>
      <c r="Y1295" t="s">
        <v>2678</v>
      </c>
      <c r="Z1295" t="s">
        <v>3392</v>
      </c>
      <c r="AA1295" t="s">
        <v>3406</v>
      </c>
      <c r="AB1295" t="s">
        <v>3423</v>
      </c>
      <c r="AC1295">
        <f>HYPERLINK("https://lsnyc.legalserver.org/matter/dynamic-profile/view/1877044","18-1877044")</f>
        <v>0</v>
      </c>
      <c r="AD1295" t="s">
        <v>3447</v>
      </c>
      <c r="AE1295" t="s">
        <v>3478</v>
      </c>
      <c r="AF1295" t="s">
        <v>4444</v>
      </c>
      <c r="AG1295" t="s">
        <v>3392</v>
      </c>
      <c r="AH1295" t="s">
        <v>4904</v>
      </c>
      <c r="AL1295" t="s">
        <v>2116</v>
      </c>
      <c r="AN1295" t="s">
        <v>3423</v>
      </c>
    </row>
    <row r="1296" spans="1:41">
      <c r="A1296" s="1" t="s">
        <v>1332</v>
      </c>
      <c r="B1296" t="s">
        <v>1998</v>
      </c>
      <c r="C1296" t="s">
        <v>2000</v>
      </c>
      <c r="D1296" t="s">
        <v>2028</v>
      </c>
      <c r="E1296" t="s">
        <v>2111</v>
      </c>
      <c r="F1296" t="s">
        <v>2135</v>
      </c>
      <c r="G1296" t="s">
        <v>2212</v>
      </c>
      <c r="H1296">
        <v>11432</v>
      </c>
      <c r="I1296" t="s">
        <v>2229</v>
      </c>
      <c r="J1296">
        <v>1</v>
      </c>
      <c r="K1296">
        <v>0</v>
      </c>
      <c r="L1296" t="s">
        <v>2260</v>
      </c>
      <c r="M1296" t="s">
        <v>2677</v>
      </c>
      <c r="P1296" t="s">
        <v>2980</v>
      </c>
      <c r="Q1296" t="s">
        <v>2113</v>
      </c>
      <c r="R1296" t="s">
        <v>3259</v>
      </c>
      <c r="S1296" t="s">
        <v>3268</v>
      </c>
      <c r="X1296" t="s">
        <v>3354</v>
      </c>
      <c r="Y1296" t="s">
        <v>2677</v>
      </c>
      <c r="Z1296" t="s">
        <v>3368</v>
      </c>
      <c r="AA1296" t="s">
        <v>3406</v>
      </c>
      <c r="AB1296" t="s">
        <v>3416</v>
      </c>
      <c r="AC1296">
        <f>HYPERLINK("https://lsnyc.legalserver.org/matter/dynamic-profile/view/1878758","18-1878758")</f>
        <v>0</v>
      </c>
      <c r="AD1296" t="s">
        <v>3446</v>
      </c>
      <c r="AE1296" t="s">
        <v>3456</v>
      </c>
      <c r="AF1296" t="s">
        <v>4445</v>
      </c>
      <c r="AG1296" t="s">
        <v>3368</v>
      </c>
      <c r="AH1296" t="s">
        <v>4904</v>
      </c>
      <c r="AK1296" t="s">
        <v>4911</v>
      </c>
      <c r="AL1296" t="s">
        <v>2135</v>
      </c>
      <c r="AN1296" t="s">
        <v>3416</v>
      </c>
    </row>
    <row r="1297" spans="1:41">
      <c r="A1297" s="1" t="s">
        <v>1333</v>
      </c>
      <c r="B1297" t="s">
        <v>1998</v>
      </c>
      <c r="C1297" t="s">
        <v>2012</v>
      </c>
      <c r="D1297" t="s">
        <v>2056</v>
      </c>
      <c r="E1297" t="s">
        <v>2111</v>
      </c>
      <c r="F1297" t="s">
        <v>2135</v>
      </c>
      <c r="G1297" t="s">
        <v>2211</v>
      </c>
      <c r="H1297">
        <v>10031</v>
      </c>
      <c r="I1297" t="s">
        <v>2229</v>
      </c>
      <c r="J1297">
        <v>2</v>
      </c>
      <c r="K1297">
        <v>0</v>
      </c>
      <c r="L1297" t="s">
        <v>2529</v>
      </c>
      <c r="M1297" t="s">
        <v>2678</v>
      </c>
      <c r="P1297" t="s">
        <v>2981</v>
      </c>
      <c r="Q1297" t="s">
        <v>2113</v>
      </c>
      <c r="R1297" t="s">
        <v>3258</v>
      </c>
      <c r="S1297" t="s">
        <v>3271</v>
      </c>
      <c r="X1297" t="s">
        <v>3354</v>
      </c>
      <c r="Y1297" t="s">
        <v>2678</v>
      </c>
      <c r="Z1297" t="s">
        <v>3362</v>
      </c>
      <c r="AB1297" t="s">
        <v>3419</v>
      </c>
      <c r="AC1297">
        <f>HYPERLINK("https://lsnyc.legalserver.org/matter/dynamic-profile/view/1878576","18-1878576")</f>
        <v>0</v>
      </c>
      <c r="AD1297" t="s">
        <v>3444</v>
      </c>
      <c r="AE1297" t="s">
        <v>3466</v>
      </c>
      <c r="AF1297" t="s">
        <v>4446</v>
      </c>
      <c r="AG1297" t="s">
        <v>3362</v>
      </c>
      <c r="AI1297" t="s">
        <v>4909</v>
      </c>
      <c r="AJ1297" t="s">
        <v>4910</v>
      </c>
      <c r="AL1297" t="s">
        <v>2135</v>
      </c>
      <c r="AN1297" t="s">
        <v>3419</v>
      </c>
    </row>
    <row r="1298" spans="1:41">
      <c r="A1298" s="1" t="s">
        <v>1334</v>
      </c>
      <c r="B1298" t="s">
        <v>2000</v>
      </c>
      <c r="C1298" t="s">
        <v>2003</v>
      </c>
      <c r="D1298" t="s">
        <v>2053</v>
      </c>
      <c r="E1298" t="s">
        <v>2111</v>
      </c>
      <c r="F1298" t="s">
        <v>2117</v>
      </c>
      <c r="G1298" t="s">
        <v>2213</v>
      </c>
      <c r="H1298">
        <v>10452</v>
      </c>
      <c r="I1298" t="s">
        <v>2229</v>
      </c>
      <c r="J1298">
        <v>3</v>
      </c>
      <c r="K1298">
        <v>2</v>
      </c>
      <c r="L1298" t="s">
        <v>2260</v>
      </c>
      <c r="M1298" t="s">
        <v>2677</v>
      </c>
      <c r="P1298" t="s">
        <v>2868</v>
      </c>
      <c r="Q1298" t="s">
        <v>2113</v>
      </c>
      <c r="R1298" t="s">
        <v>3259</v>
      </c>
      <c r="S1298" t="s">
        <v>3267</v>
      </c>
      <c r="T1298" t="s">
        <v>3294</v>
      </c>
      <c r="U1298" t="s">
        <v>2942</v>
      </c>
      <c r="X1298" t="s">
        <v>3354</v>
      </c>
      <c r="Y1298" t="s">
        <v>2678</v>
      </c>
      <c r="Z1298" t="s">
        <v>3359</v>
      </c>
      <c r="AA1298" t="s">
        <v>3406</v>
      </c>
      <c r="AB1298" t="s">
        <v>3415</v>
      </c>
      <c r="AC1298">
        <f>HYPERLINK("https://lsnyc.legalserver.org/matter/dynamic-profile/view/1878581","18-1878581")</f>
        <v>0</v>
      </c>
      <c r="AD1298" t="s">
        <v>3444</v>
      </c>
      <c r="AE1298" t="s">
        <v>3451</v>
      </c>
      <c r="AF1298" t="s">
        <v>4447</v>
      </c>
      <c r="AG1298" t="s">
        <v>3359</v>
      </c>
      <c r="AH1298" t="s">
        <v>4906</v>
      </c>
      <c r="AK1298" t="s">
        <v>4911</v>
      </c>
      <c r="AL1298" t="s">
        <v>2117</v>
      </c>
      <c r="AM1298" t="s">
        <v>3294</v>
      </c>
      <c r="AN1298" t="s">
        <v>3415</v>
      </c>
    </row>
    <row r="1299" spans="1:41">
      <c r="A1299" s="1" t="s">
        <v>1335</v>
      </c>
      <c r="B1299" t="s">
        <v>2004</v>
      </c>
      <c r="C1299" t="s">
        <v>2001</v>
      </c>
      <c r="D1299" t="s">
        <v>2088</v>
      </c>
      <c r="E1299" t="s">
        <v>2112</v>
      </c>
      <c r="F1299" t="s">
        <v>2117</v>
      </c>
      <c r="G1299" t="s">
        <v>2213</v>
      </c>
      <c r="H1299">
        <v>10452</v>
      </c>
      <c r="I1299" t="s">
        <v>2229</v>
      </c>
      <c r="J1299">
        <v>3</v>
      </c>
      <c r="K1299">
        <v>2</v>
      </c>
      <c r="L1299" t="s">
        <v>2260</v>
      </c>
      <c r="M1299" t="s">
        <v>2677</v>
      </c>
      <c r="P1299" t="s">
        <v>2868</v>
      </c>
      <c r="Q1299" t="s">
        <v>3257</v>
      </c>
      <c r="R1299" t="s">
        <v>3259</v>
      </c>
      <c r="S1299" t="s">
        <v>3267</v>
      </c>
      <c r="T1299" t="s">
        <v>3294</v>
      </c>
      <c r="U1299" t="s">
        <v>2942</v>
      </c>
      <c r="X1299" t="s">
        <v>3354</v>
      </c>
      <c r="Y1299" t="s">
        <v>2678</v>
      </c>
      <c r="Z1299" t="s">
        <v>3359</v>
      </c>
      <c r="AA1299" t="s">
        <v>3406</v>
      </c>
      <c r="AB1299" t="s">
        <v>3415</v>
      </c>
      <c r="AC1299">
        <f>HYPERLINK("https://lsnyc.legalserver.org/matter/dynamic-profile/view/1878582","18-1878582")</f>
        <v>0</v>
      </c>
      <c r="AD1299" t="s">
        <v>3444</v>
      </c>
      <c r="AE1299" t="s">
        <v>3451</v>
      </c>
      <c r="AF1299" t="s">
        <v>4088</v>
      </c>
      <c r="AG1299" t="s">
        <v>3359</v>
      </c>
      <c r="AH1299" t="s">
        <v>4906</v>
      </c>
      <c r="AK1299" t="s">
        <v>4911</v>
      </c>
      <c r="AL1299" t="s">
        <v>2117</v>
      </c>
      <c r="AM1299" t="s">
        <v>3294</v>
      </c>
      <c r="AN1299" t="s">
        <v>3415</v>
      </c>
    </row>
    <row r="1300" spans="1:41">
      <c r="A1300" s="1" t="s">
        <v>1336</v>
      </c>
      <c r="B1300" t="s">
        <v>2001</v>
      </c>
      <c r="C1300" t="s">
        <v>2004</v>
      </c>
      <c r="D1300" t="s">
        <v>2040</v>
      </c>
      <c r="E1300" t="s">
        <v>2112</v>
      </c>
      <c r="F1300" t="s">
        <v>2123</v>
      </c>
      <c r="G1300" t="s">
        <v>2214</v>
      </c>
      <c r="H1300">
        <v>11225</v>
      </c>
      <c r="I1300" t="s">
        <v>2230</v>
      </c>
      <c r="J1300">
        <v>2</v>
      </c>
      <c r="K1300">
        <v>0</v>
      </c>
      <c r="L1300" t="s">
        <v>2273</v>
      </c>
      <c r="M1300" t="s">
        <v>2677</v>
      </c>
      <c r="P1300" t="s">
        <v>2981</v>
      </c>
      <c r="Q1300" t="s">
        <v>2113</v>
      </c>
      <c r="R1300" t="s">
        <v>3258</v>
      </c>
      <c r="S1300" t="s">
        <v>3271</v>
      </c>
      <c r="T1300" t="s">
        <v>3294</v>
      </c>
      <c r="U1300" t="s">
        <v>2883</v>
      </c>
      <c r="V1300" t="s">
        <v>3352</v>
      </c>
      <c r="X1300" t="s">
        <v>3354</v>
      </c>
      <c r="Y1300" t="s">
        <v>2677</v>
      </c>
      <c r="Z1300" t="s">
        <v>3362</v>
      </c>
      <c r="AA1300" t="s">
        <v>3406</v>
      </c>
      <c r="AB1300" t="s">
        <v>3419</v>
      </c>
      <c r="AC1300">
        <f>HYPERLINK("https://lsnyc.legalserver.org/matter/dynamic-profile/view/1878711","18-1878711")</f>
        <v>0</v>
      </c>
      <c r="AD1300" t="s">
        <v>3445</v>
      </c>
      <c r="AE1300" t="s">
        <v>3452</v>
      </c>
      <c r="AF1300" t="s">
        <v>3514</v>
      </c>
      <c r="AG1300" t="s">
        <v>3362</v>
      </c>
      <c r="AH1300" t="s">
        <v>4904</v>
      </c>
      <c r="AK1300" t="s">
        <v>4911</v>
      </c>
      <c r="AL1300" t="s">
        <v>2123</v>
      </c>
      <c r="AM1300" t="s">
        <v>3294</v>
      </c>
      <c r="AN1300" t="s">
        <v>3419</v>
      </c>
      <c r="AO1300" t="s">
        <v>3352</v>
      </c>
    </row>
    <row r="1301" spans="1:41">
      <c r="A1301" s="1" t="s">
        <v>1337</v>
      </c>
      <c r="B1301" t="s">
        <v>1998</v>
      </c>
      <c r="C1301" t="s">
        <v>2015</v>
      </c>
      <c r="D1301" t="s">
        <v>2081</v>
      </c>
      <c r="E1301" t="s">
        <v>2112</v>
      </c>
      <c r="F1301" t="s">
        <v>2197</v>
      </c>
      <c r="G1301" t="s">
        <v>2213</v>
      </c>
      <c r="H1301">
        <v>10455</v>
      </c>
      <c r="I1301" t="s">
        <v>2234</v>
      </c>
      <c r="J1301">
        <v>1</v>
      </c>
      <c r="K1301">
        <v>0</v>
      </c>
      <c r="L1301" t="s">
        <v>2260</v>
      </c>
      <c r="M1301" t="s">
        <v>2677</v>
      </c>
      <c r="P1301" t="s">
        <v>2982</v>
      </c>
      <c r="Q1301" t="s">
        <v>2113</v>
      </c>
      <c r="R1301" t="s">
        <v>3259</v>
      </c>
      <c r="S1301" t="s">
        <v>3268</v>
      </c>
      <c r="X1301" t="s">
        <v>3354</v>
      </c>
      <c r="Y1301" t="s">
        <v>2677</v>
      </c>
      <c r="Z1301" t="s">
        <v>3368</v>
      </c>
      <c r="AA1301" t="s">
        <v>3406</v>
      </c>
      <c r="AB1301" t="s">
        <v>3416</v>
      </c>
      <c r="AC1301">
        <f>HYPERLINK("https://lsnyc.legalserver.org/matter/dynamic-profile/view/1878547","18-1878547")</f>
        <v>0</v>
      </c>
      <c r="AD1301" t="s">
        <v>3445</v>
      </c>
      <c r="AE1301" t="s">
        <v>3455</v>
      </c>
      <c r="AF1301" t="s">
        <v>4448</v>
      </c>
      <c r="AG1301" t="s">
        <v>3368</v>
      </c>
      <c r="AH1301" t="s">
        <v>4904</v>
      </c>
      <c r="AK1301" t="s">
        <v>4911</v>
      </c>
      <c r="AL1301" t="s">
        <v>2197</v>
      </c>
      <c r="AN1301" t="s">
        <v>3416</v>
      </c>
    </row>
    <row r="1302" spans="1:41">
      <c r="A1302" s="1" t="s">
        <v>1338</v>
      </c>
      <c r="B1302" t="s">
        <v>1998</v>
      </c>
      <c r="C1302" t="s">
        <v>2000</v>
      </c>
      <c r="D1302" t="s">
        <v>2080</v>
      </c>
      <c r="E1302" t="s">
        <v>2112</v>
      </c>
      <c r="F1302" t="s">
        <v>2117</v>
      </c>
      <c r="G1302" t="s">
        <v>2213</v>
      </c>
      <c r="H1302">
        <v>10454</v>
      </c>
      <c r="I1302" t="s">
        <v>2229</v>
      </c>
      <c r="J1302">
        <v>2</v>
      </c>
      <c r="K1302">
        <v>1</v>
      </c>
      <c r="L1302" t="s">
        <v>2392</v>
      </c>
      <c r="M1302" t="s">
        <v>2677</v>
      </c>
      <c r="P1302" t="s">
        <v>2983</v>
      </c>
      <c r="Q1302" t="s">
        <v>2113</v>
      </c>
      <c r="R1302" t="s">
        <v>3259</v>
      </c>
      <c r="S1302" t="s">
        <v>3267</v>
      </c>
      <c r="X1302" t="s">
        <v>3354</v>
      </c>
      <c r="Y1302" t="s">
        <v>2678</v>
      </c>
      <c r="Z1302" t="s">
        <v>3380</v>
      </c>
      <c r="AA1302" t="s">
        <v>3406</v>
      </c>
      <c r="AB1302" t="s">
        <v>3415</v>
      </c>
      <c r="AC1302">
        <f>HYPERLINK("https://lsnyc.legalserver.org/matter/dynamic-profile/view/1878330","18-1878330")</f>
        <v>0</v>
      </c>
      <c r="AD1302" t="s">
        <v>3444</v>
      </c>
      <c r="AE1302" t="s">
        <v>3466</v>
      </c>
      <c r="AF1302" t="s">
        <v>3886</v>
      </c>
      <c r="AG1302" t="s">
        <v>3380</v>
      </c>
      <c r="AH1302" t="s">
        <v>4906</v>
      </c>
      <c r="AK1302" t="s">
        <v>4911</v>
      </c>
      <c r="AL1302" t="s">
        <v>2117</v>
      </c>
      <c r="AN1302" t="s">
        <v>3415</v>
      </c>
    </row>
    <row r="1303" spans="1:41">
      <c r="A1303" s="1" t="s">
        <v>1339</v>
      </c>
      <c r="B1303" t="s">
        <v>1998</v>
      </c>
      <c r="C1303" t="s">
        <v>2018</v>
      </c>
      <c r="D1303" t="s">
        <v>2087</v>
      </c>
      <c r="E1303" t="s">
        <v>2111</v>
      </c>
      <c r="F1303" t="s">
        <v>2117</v>
      </c>
      <c r="G1303" t="s">
        <v>2211</v>
      </c>
      <c r="H1303">
        <v>10035</v>
      </c>
      <c r="I1303" t="s">
        <v>2229</v>
      </c>
      <c r="J1303">
        <v>1</v>
      </c>
      <c r="K1303">
        <v>0</v>
      </c>
      <c r="L1303" t="s">
        <v>2530</v>
      </c>
      <c r="M1303" t="s">
        <v>2677</v>
      </c>
      <c r="P1303" t="s">
        <v>2984</v>
      </c>
      <c r="Q1303" t="s">
        <v>2113</v>
      </c>
      <c r="R1303" t="s">
        <v>3259</v>
      </c>
      <c r="S1303" t="s">
        <v>3270</v>
      </c>
      <c r="X1303" t="s">
        <v>3354</v>
      </c>
      <c r="Y1303" t="s">
        <v>2677</v>
      </c>
      <c r="Z1303" t="s">
        <v>3362</v>
      </c>
      <c r="AA1303" t="s">
        <v>3406</v>
      </c>
      <c r="AB1303" t="s">
        <v>3418</v>
      </c>
      <c r="AC1303">
        <f>HYPERLINK("https://lsnyc.legalserver.org/matter/dynamic-profile/view/1878093","18-1878093")</f>
        <v>0</v>
      </c>
      <c r="AD1303" t="s">
        <v>3445</v>
      </c>
      <c r="AE1303" t="s">
        <v>3455</v>
      </c>
      <c r="AF1303" t="s">
        <v>4449</v>
      </c>
      <c r="AG1303" t="s">
        <v>3362</v>
      </c>
      <c r="AH1303" t="s">
        <v>4904</v>
      </c>
      <c r="AK1303" t="s">
        <v>4911</v>
      </c>
      <c r="AL1303" t="s">
        <v>2117</v>
      </c>
      <c r="AN1303" t="s">
        <v>3418</v>
      </c>
    </row>
    <row r="1304" spans="1:41">
      <c r="A1304" s="1" t="s">
        <v>1340</v>
      </c>
      <c r="B1304" t="s">
        <v>2017</v>
      </c>
      <c r="C1304" t="s">
        <v>1998</v>
      </c>
      <c r="D1304" t="s">
        <v>2055</v>
      </c>
      <c r="E1304" t="s">
        <v>2112</v>
      </c>
      <c r="F1304" t="s">
        <v>2120</v>
      </c>
      <c r="G1304" t="s">
        <v>2214</v>
      </c>
      <c r="H1304">
        <v>11233</v>
      </c>
      <c r="I1304" t="s">
        <v>2230</v>
      </c>
      <c r="J1304">
        <v>3</v>
      </c>
      <c r="K1304">
        <v>1</v>
      </c>
      <c r="L1304" t="s">
        <v>2333</v>
      </c>
      <c r="M1304" t="s">
        <v>2677</v>
      </c>
      <c r="P1304" t="s">
        <v>2984</v>
      </c>
      <c r="Q1304" t="s">
        <v>2113</v>
      </c>
      <c r="R1304" t="s">
        <v>3258</v>
      </c>
      <c r="S1304" t="s">
        <v>3271</v>
      </c>
      <c r="X1304" t="s">
        <v>3354</v>
      </c>
      <c r="Y1304" t="s">
        <v>2677</v>
      </c>
      <c r="Z1304" t="s">
        <v>3362</v>
      </c>
      <c r="AA1304" t="s">
        <v>3406</v>
      </c>
      <c r="AB1304" t="s">
        <v>3419</v>
      </c>
      <c r="AC1304">
        <f>HYPERLINK("https://lsnyc.legalserver.org/matter/dynamic-profile/view/1878110","18-1878110")</f>
        <v>0</v>
      </c>
      <c r="AD1304" t="s">
        <v>3445</v>
      </c>
      <c r="AE1304" t="s">
        <v>3455</v>
      </c>
      <c r="AF1304" t="s">
        <v>4297</v>
      </c>
      <c r="AG1304" t="s">
        <v>3362</v>
      </c>
      <c r="AH1304" t="s">
        <v>4904</v>
      </c>
      <c r="AK1304" t="s">
        <v>4911</v>
      </c>
      <c r="AL1304" t="s">
        <v>2120</v>
      </c>
      <c r="AN1304" t="s">
        <v>3419</v>
      </c>
    </row>
    <row r="1305" spans="1:41">
      <c r="A1305" s="1" t="s">
        <v>1341</v>
      </c>
      <c r="B1305" t="s">
        <v>2000</v>
      </c>
      <c r="C1305" t="s">
        <v>2004</v>
      </c>
      <c r="D1305" t="s">
        <v>2094</v>
      </c>
      <c r="E1305" t="s">
        <v>2111</v>
      </c>
      <c r="G1305" t="s">
        <v>2212</v>
      </c>
      <c r="H1305">
        <v>11429</v>
      </c>
      <c r="I1305" t="s">
        <v>2230</v>
      </c>
      <c r="J1305">
        <v>3</v>
      </c>
      <c r="K1305">
        <v>1</v>
      </c>
      <c r="L1305" t="s">
        <v>2286</v>
      </c>
      <c r="M1305" t="s">
        <v>2677</v>
      </c>
      <c r="P1305" t="s">
        <v>2984</v>
      </c>
      <c r="Q1305" t="s">
        <v>2113</v>
      </c>
      <c r="R1305" t="s">
        <v>3258</v>
      </c>
      <c r="S1305" t="s">
        <v>3273</v>
      </c>
      <c r="T1305" t="s">
        <v>3294</v>
      </c>
      <c r="V1305" t="s">
        <v>3352</v>
      </c>
      <c r="X1305" t="s">
        <v>3354</v>
      </c>
      <c r="Y1305" t="s">
        <v>2678</v>
      </c>
      <c r="Z1305" t="s">
        <v>3370</v>
      </c>
      <c r="AB1305" t="s">
        <v>3421</v>
      </c>
      <c r="AC1305">
        <f>HYPERLINK("https://lsnyc.legalserver.org/matter/dynamic-profile/view/1878179","18-1878179")</f>
        <v>0</v>
      </c>
      <c r="AD1305" t="s">
        <v>3443</v>
      </c>
      <c r="AE1305" t="s">
        <v>3449</v>
      </c>
      <c r="AF1305" t="s">
        <v>4450</v>
      </c>
      <c r="AG1305" t="s">
        <v>3370</v>
      </c>
      <c r="AM1305" t="s">
        <v>3294</v>
      </c>
      <c r="AN1305" t="s">
        <v>3421</v>
      </c>
      <c r="AO1305" t="s">
        <v>3352</v>
      </c>
    </row>
    <row r="1306" spans="1:41">
      <c r="A1306" s="1" t="s">
        <v>1342</v>
      </c>
      <c r="B1306" t="s">
        <v>2016</v>
      </c>
      <c r="C1306" t="s">
        <v>2016</v>
      </c>
      <c r="D1306" t="s">
        <v>2034</v>
      </c>
      <c r="E1306" t="s">
        <v>2111</v>
      </c>
      <c r="F1306" t="s">
        <v>2120</v>
      </c>
      <c r="G1306" t="s">
        <v>2212</v>
      </c>
      <c r="H1306">
        <v>11429</v>
      </c>
      <c r="I1306" t="s">
        <v>2230</v>
      </c>
      <c r="J1306">
        <v>1</v>
      </c>
      <c r="K1306">
        <v>0</v>
      </c>
      <c r="L1306" t="s">
        <v>2260</v>
      </c>
      <c r="M1306" t="s">
        <v>2677</v>
      </c>
      <c r="P1306" t="s">
        <v>2984</v>
      </c>
      <c r="Q1306" t="s">
        <v>2113</v>
      </c>
      <c r="R1306" t="s">
        <v>3259</v>
      </c>
      <c r="S1306" t="s">
        <v>3268</v>
      </c>
      <c r="T1306" t="s">
        <v>3294</v>
      </c>
      <c r="U1306" t="s">
        <v>2832</v>
      </c>
      <c r="X1306" t="s">
        <v>3354</v>
      </c>
      <c r="Y1306" t="s">
        <v>2678</v>
      </c>
      <c r="Z1306" t="s">
        <v>3368</v>
      </c>
      <c r="AA1306" t="s">
        <v>3406</v>
      </c>
      <c r="AB1306" t="s">
        <v>3416</v>
      </c>
      <c r="AC1306">
        <f>HYPERLINK("https://lsnyc.legalserver.org/matter/dynamic-profile/view/1878190","18-1878190")</f>
        <v>0</v>
      </c>
      <c r="AD1306" t="s">
        <v>3446</v>
      </c>
      <c r="AE1306" t="s">
        <v>3465</v>
      </c>
      <c r="AF1306" t="s">
        <v>4451</v>
      </c>
      <c r="AG1306" t="s">
        <v>3368</v>
      </c>
      <c r="AH1306" t="s">
        <v>4904</v>
      </c>
      <c r="AK1306" t="s">
        <v>4911</v>
      </c>
      <c r="AL1306" t="s">
        <v>2120</v>
      </c>
      <c r="AM1306" t="s">
        <v>3294</v>
      </c>
      <c r="AN1306" t="s">
        <v>3416</v>
      </c>
    </row>
    <row r="1307" spans="1:41">
      <c r="A1307" s="1" t="s">
        <v>1343</v>
      </c>
      <c r="B1307" t="s">
        <v>2004</v>
      </c>
      <c r="C1307" t="s">
        <v>2000</v>
      </c>
      <c r="D1307" t="s">
        <v>2044</v>
      </c>
      <c r="E1307" t="s">
        <v>2111</v>
      </c>
      <c r="F1307" t="s">
        <v>2118</v>
      </c>
      <c r="G1307" t="s">
        <v>2212</v>
      </c>
      <c r="H1307">
        <v>11421</v>
      </c>
      <c r="I1307" t="s">
        <v>2231</v>
      </c>
      <c r="J1307">
        <v>1</v>
      </c>
      <c r="K1307">
        <v>0</v>
      </c>
      <c r="L1307" t="s">
        <v>2260</v>
      </c>
      <c r="M1307" t="s">
        <v>2677</v>
      </c>
      <c r="P1307" t="s">
        <v>2984</v>
      </c>
      <c r="Q1307" t="s">
        <v>2113</v>
      </c>
      <c r="R1307" t="s">
        <v>3259</v>
      </c>
      <c r="S1307" t="s">
        <v>3268</v>
      </c>
      <c r="T1307" t="s">
        <v>3295</v>
      </c>
      <c r="U1307" t="s">
        <v>2763</v>
      </c>
      <c r="V1307" t="s">
        <v>3352</v>
      </c>
      <c r="X1307" t="s">
        <v>3354</v>
      </c>
      <c r="Y1307" t="s">
        <v>2678</v>
      </c>
      <c r="Z1307" t="s">
        <v>3368</v>
      </c>
      <c r="AA1307" t="s">
        <v>3406</v>
      </c>
      <c r="AB1307" t="s">
        <v>3416</v>
      </c>
      <c r="AC1307">
        <f>HYPERLINK("https://lsnyc.legalserver.org/matter/dynamic-profile/view/1878192","18-1878192")</f>
        <v>0</v>
      </c>
      <c r="AD1307" t="s">
        <v>3446</v>
      </c>
      <c r="AE1307" t="s">
        <v>3465</v>
      </c>
      <c r="AF1307" t="s">
        <v>4452</v>
      </c>
      <c r="AG1307" t="s">
        <v>3368</v>
      </c>
      <c r="AH1307" t="s">
        <v>4904</v>
      </c>
      <c r="AL1307" t="s">
        <v>2118</v>
      </c>
      <c r="AM1307" t="s">
        <v>3295</v>
      </c>
      <c r="AN1307" t="s">
        <v>3416</v>
      </c>
      <c r="AO1307" t="s">
        <v>3352</v>
      </c>
    </row>
    <row r="1308" spans="1:41">
      <c r="A1308" s="1" t="s">
        <v>1344</v>
      </c>
      <c r="B1308" t="s">
        <v>2001</v>
      </c>
      <c r="C1308" t="s">
        <v>2012</v>
      </c>
      <c r="D1308" t="s">
        <v>2050</v>
      </c>
      <c r="E1308" t="s">
        <v>2111</v>
      </c>
      <c r="F1308" t="s">
        <v>2116</v>
      </c>
      <c r="G1308" t="s">
        <v>2216</v>
      </c>
      <c r="H1308">
        <v>10303</v>
      </c>
      <c r="J1308">
        <v>5</v>
      </c>
      <c r="K1308">
        <v>3</v>
      </c>
      <c r="L1308" t="s">
        <v>2272</v>
      </c>
      <c r="M1308" t="s">
        <v>2677</v>
      </c>
      <c r="P1308" t="s">
        <v>2985</v>
      </c>
      <c r="Q1308" t="s">
        <v>2113</v>
      </c>
      <c r="R1308" t="s">
        <v>3258</v>
      </c>
      <c r="S1308" t="s">
        <v>3279</v>
      </c>
      <c r="X1308" t="s">
        <v>3354</v>
      </c>
      <c r="Y1308" t="s">
        <v>2677</v>
      </c>
      <c r="Z1308" t="s">
        <v>3377</v>
      </c>
      <c r="AA1308" t="s">
        <v>3406</v>
      </c>
      <c r="AB1308" t="s">
        <v>3427</v>
      </c>
      <c r="AC1308">
        <f>HYPERLINK("https://lsnyc.legalserver.org/matter/dynamic-profile/view/1877933","18-1877933")</f>
        <v>0</v>
      </c>
      <c r="AD1308" t="s">
        <v>3445</v>
      </c>
      <c r="AE1308" t="s">
        <v>3455</v>
      </c>
      <c r="AF1308" t="s">
        <v>4453</v>
      </c>
      <c r="AG1308" t="s">
        <v>3377</v>
      </c>
      <c r="AH1308" t="s">
        <v>4904</v>
      </c>
      <c r="AI1308" t="s">
        <v>4909</v>
      </c>
      <c r="AK1308" t="s">
        <v>4911</v>
      </c>
      <c r="AL1308" t="s">
        <v>2116</v>
      </c>
      <c r="AN1308" t="s">
        <v>3427</v>
      </c>
    </row>
    <row r="1309" spans="1:41">
      <c r="A1309" s="1" t="s">
        <v>1345</v>
      </c>
      <c r="B1309" t="s">
        <v>1998</v>
      </c>
      <c r="C1309" t="s">
        <v>2018</v>
      </c>
      <c r="D1309" t="s">
        <v>2063</v>
      </c>
      <c r="E1309" t="s">
        <v>2111</v>
      </c>
      <c r="F1309" t="s">
        <v>2198</v>
      </c>
      <c r="G1309" t="s">
        <v>2213</v>
      </c>
      <c r="H1309">
        <v>10459</v>
      </c>
      <c r="I1309" t="s">
        <v>2245</v>
      </c>
      <c r="J1309">
        <v>1</v>
      </c>
      <c r="K1309">
        <v>0</v>
      </c>
      <c r="L1309" t="s">
        <v>2260</v>
      </c>
      <c r="M1309" t="s">
        <v>2677</v>
      </c>
      <c r="P1309" t="s">
        <v>2985</v>
      </c>
      <c r="Q1309" t="s">
        <v>2113</v>
      </c>
      <c r="R1309" t="s">
        <v>3259</v>
      </c>
      <c r="S1309" t="s">
        <v>3267</v>
      </c>
      <c r="X1309" t="s">
        <v>3354</v>
      </c>
      <c r="Y1309" t="s">
        <v>2678</v>
      </c>
      <c r="Z1309" t="s">
        <v>3380</v>
      </c>
      <c r="AA1309" t="s">
        <v>3406</v>
      </c>
      <c r="AB1309" t="s">
        <v>3415</v>
      </c>
      <c r="AC1309">
        <f>HYPERLINK("https://lsnyc.legalserver.org/matter/dynamic-profile/view/1877942","18-1877942")</f>
        <v>0</v>
      </c>
      <c r="AD1309" t="s">
        <v>3444</v>
      </c>
      <c r="AE1309" t="s">
        <v>3464</v>
      </c>
      <c r="AF1309" t="s">
        <v>4454</v>
      </c>
      <c r="AG1309" t="s">
        <v>3380</v>
      </c>
      <c r="AH1309" t="s">
        <v>4906</v>
      </c>
      <c r="AI1309" t="s">
        <v>4909</v>
      </c>
      <c r="AK1309" t="s">
        <v>4911</v>
      </c>
      <c r="AL1309" t="s">
        <v>2198</v>
      </c>
      <c r="AN1309" t="s">
        <v>3415</v>
      </c>
    </row>
    <row r="1310" spans="1:41">
      <c r="A1310" s="1" t="s">
        <v>1346</v>
      </c>
      <c r="B1310" t="s">
        <v>2017</v>
      </c>
      <c r="C1310" t="s">
        <v>2005</v>
      </c>
      <c r="D1310" t="s">
        <v>2057</v>
      </c>
      <c r="E1310" t="s">
        <v>2111</v>
      </c>
      <c r="F1310" t="s">
        <v>2120</v>
      </c>
      <c r="G1310" t="s">
        <v>2214</v>
      </c>
      <c r="H1310">
        <v>11216</v>
      </c>
      <c r="I1310" t="s">
        <v>2230</v>
      </c>
      <c r="J1310">
        <v>1</v>
      </c>
      <c r="K1310">
        <v>0</v>
      </c>
      <c r="L1310" t="s">
        <v>2260</v>
      </c>
      <c r="M1310" t="s">
        <v>2677</v>
      </c>
      <c r="P1310" t="s">
        <v>2985</v>
      </c>
      <c r="Q1310" t="s">
        <v>2113</v>
      </c>
      <c r="R1310" t="s">
        <v>3259</v>
      </c>
      <c r="S1310" t="s">
        <v>3268</v>
      </c>
      <c r="X1310" t="s">
        <v>3354</v>
      </c>
      <c r="Y1310" t="s">
        <v>2677</v>
      </c>
      <c r="Z1310" t="s">
        <v>3368</v>
      </c>
      <c r="AA1310" t="s">
        <v>3406</v>
      </c>
      <c r="AB1310" t="s">
        <v>3416</v>
      </c>
      <c r="AC1310">
        <f>HYPERLINK("https://lsnyc.legalserver.org/matter/dynamic-profile/view/1878041","18-1878041")</f>
        <v>0</v>
      </c>
      <c r="AD1310" t="s">
        <v>3445</v>
      </c>
      <c r="AE1310" t="s">
        <v>3455</v>
      </c>
      <c r="AF1310" t="s">
        <v>4455</v>
      </c>
      <c r="AG1310" t="s">
        <v>3368</v>
      </c>
      <c r="AH1310" t="s">
        <v>4904</v>
      </c>
      <c r="AK1310" t="s">
        <v>4911</v>
      </c>
      <c r="AL1310" t="s">
        <v>2120</v>
      </c>
      <c r="AN1310" t="s">
        <v>3416</v>
      </c>
    </row>
    <row r="1311" spans="1:41">
      <c r="A1311" s="1" t="s">
        <v>1347</v>
      </c>
      <c r="B1311" t="s">
        <v>2011</v>
      </c>
      <c r="C1311" t="s">
        <v>2000</v>
      </c>
      <c r="D1311" t="s">
        <v>2048</v>
      </c>
      <c r="E1311" t="s">
        <v>2111</v>
      </c>
      <c r="F1311" t="s">
        <v>2190</v>
      </c>
      <c r="G1311" t="s">
        <v>2211</v>
      </c>
      <c r="H1311">
        <v>10027</v>
      </c>
      <c r="I1311" t="s">
        <v>2230</v>
      </c>
      <c r="J1311">
        <v>1</v>
      </c>
      <c r="K1311">
        <v>0</v>
      </c>
      <c r="L1311" t="s">
        <v>2260</v>
      </c>
      <c r="M1311" t="s">
        <v>2677</v>
      </c>
      <c r="P1311" t="s">
        <v>2986</v>
      </c>
      <c r="Q1311" t="s">
        <v>2113</v>
      </c>
      <c r="R1311" t="s">
        <v>3259</v>
      </c>
      <c r="S1311" t="s">
        <v>3267</v>
      </c>
      <c r="X1311" t="s">
        <v>3354</v>
      </c>
      <c r="Y1311" t="s">
        <v>2678</v>
      </c>
      <c r="Z1311" t="s">
        <v>3359</v>
      </c>
      <c r="AA1311" t="s">
        <v>3406</v>
      </c>
      <c r="AB1311" t="s">
        <v>3415</v>
      </c>
      <c r="AC1311">
        <f>HYPERLINK("https://lsnyc.legalserver.org/matter/dynamic-profile/view/1877863","18-1877863")</f>
        <v>0</v>
      </c>
      <c r="AD1311" t="s">
        <v>3442</v>
      </c>
      <c r="AE1311" t="s">
        <v>3448</v>
      </c>
      <c r="AF1311" t="s">
        <v>4306</v>
      </c>
      <c r="AG1311" t="s">
        <v>3359</v>
      </c>
      <c r="AH1311" t="s">
        <v>4906</v>
      </c>
      <c r="AK1311" t="s">
        <v>4911</v>
      </c>
      <c r="AL1311" t="s">
        <v>2190</v>
      </c>
      <c r="AN1311" t="s">
        <v>3415</v>
      </c>
    </row>
    <row r="1312" spans="1:41">
      <c r="A1312" s="1" t="s">
        <v>1348</v>
      </c>
      <c r="B1312" t="s">
        <v>2010</v>
      </c>
      <c r="C1312" t="s">
        <v>2000</v>
      </c>
      <c r="D1312" t="s">
        <v>2050</v>
      </c>
      <c r="E1312" t="s">
        <v>2111</v>
      </c>
      <c r="F1312" t="s">
        <v>2128</v>
      </c>
      <c r="G1312" t="s">
        <v>2216</v>
      </c>
      <c r="H1312">
        <v>10304</v>
      </c>
      <c r="I1312" t="s">
        <v>2229</v>
      </c>
      <c r="J1312">
        <v>1</v>
      </c>
      <c r="K1312">
        <v>0</v>
      </c>
      <c r="L1312" t="s">
        <v>2260</v>
      </c>
      <c r="M1312" t="s">
        <v>2677</v>
      </c>
      <c r="P1312" t="s">
        <v>2986</v>
      </c>
      <c r="Q1312" t="s">
        <v>2113</v>
      </c>
      <c r="R1312" t="s">
        <v>3258</v>
      </c>
      <c r="S1312" t="s">
        <v>3271</v>
      </c>
      <c r="T1312" t="s">
        <v>3294</v>
      </c>
      <c r="U1312" t="s">
        <v>2742</v>
      </c>
      <c r="X1312" t="s">
        <v>3354</v>
      </c>
      <c r="Y1312" t="s">
        <v>2677</v>
      </c>
      <c r="Z1312" t="s">
        <v>3362</v>
      </c>
      <c r="AA1312" t="s">
        <v>3406</v>
      </c>
      <c r="AB1312" t="s">
        <v>3419</v>
      </c>
      <c r="AC1312">
        <f>HYPERLINK("https://lsnyc.legalserver.org/matter/dynamic-profile/view/1877875","18-1877875")</f>
        <v>0</v>
      </c>
      <c r="AD1312" t="s">
        <v>3445</v>
      </c>
      <c r="AE1312" t="s">
        <v>3452</v>
      </c>
      <c r="AF1312" t="s">
        <v>3523</v>
      </c>
      <c r="AG1312" t="s">
        <v>3362</v>
      </c>
      <c r="AH1312" t="s">
        <v>4904</v>
      </c>
      <c r="AK1312" t="s">
        <v>4911</v>
      </c>
      <c r="AL1312" t="s">
        <v>2128</v>
      </c>
      <c r="AM1312" t="s">
        <v>3294</v>
      </c>
      <c r="AN1312" t="s">
        <v>3419</v>
      </c>
    </row>
    <row r="1313" spans="1:41">
      <c r="A1313" s="1" t="s">
        <v>1349</v>
      </c>
      <c r="B1313" t="s">
        <v>1998</v>
      </c>
      <c r="C1313" t="s">
        <v>2017</v>
      </c>
      <c r="D1313" t="s">
        <v>2033</v>
      </c>
      <c r="E1313" t="s">
        <v>2112</v>
      </c>
      <c r="F1313" t="s">
        <v>2119</v>
      </c>
      <c r="G1313" t="s">
        <v>2213</v>
      </c>
      <c r="H1313">
        <v>10458</v>
      </c>
      <c r="I1313" t="s">
        <v>2230</v>
      </c>
      <c r="J1313">
        <v>1</v>
      </c>
      <c r="K1313">
        <v>0</v>
      </c>
      <c r="L1313" t="s">
        <v>2260</v>
      </c>
      <c r="M1313" t="s">
        <v>2677</v>
      </c>
      <c r="P1313" t="s">
        <v>2788</v>
      </c>
      <c r="Q1313" t="s">
        <v>2113</v>
      </c>
      <c r="R1313" t="s">
        <v>3259</v>
      </c>
      <c r="S1313" t="s">
        <v>3268</v>
      </c>
      <c r="T1313" t="s">
        <v>3294</v>
      </c>
      <c r="U1313" t="s">
        <v>3317</v>
      </c>
      <c r="X1313" t="s">
        <v>3354</v>
      </c>
      <c r="Y1313" t="s">
        <v>2677</v>
      </c>
      <c r="Z1313" t="s">
        <v>3368</v>
      </c>
      <c r="AA1313" t="s">
        <v>3406</v>
      </c>
      <c r="AB1313" t="s">
        <v>3416</v>
      </c>
      <c r="AC1313">
        <f>HYPERLINK("https://lsnyc.legalserver.org/matter/dynamic-profile/view/1877886","18-1877886")</f>
        <v>0</v>
      </c>
      <c r="AD1313" t="s">
        <v>3445</v>
      </c>
      <c r="AE1313" t="s">
        <v>3452</v>
      </c>
      <c r="AF1313" t="s">
        <v>4456</v>
      </c>
      <c r="AG1313" t="s">
        <v>3368</v>
      </c>
      <c r="AH1313" t="s">
        <v>4904</v>
      </c>
      <c r="AL1313" t="s">
        <v>2119</v>
      </c>
      <c r="AM1313" t="s">
        <v>3294</v>
      </c>
      <c r="AN1313" t="s">
        <v>3416</v>
      </c>
    </row>
    <row r="1314" spans="1:41">
      <c r="A1314" s="1" t="s">
        <v>1350</v>
      </c>
      <c r="B1314" t="s">
        <v>1998</v>
      </c>
      <c r="C1314" t="s">
        <v>2000</v>
      </c>
      <c r="D1314" t="s">
        <v>2029</v>
      </c>
      <c r="E1314" t="s">
        <v>2112</v>
      </c>
      <c r="F1314" t="s">
        <v>2135</v>
      </c>
      <c r="G1314" t="s">
        <v>2212</v>
      </c>
      <c r="H1314">
        <v>11369</v>
      </c>
      <c r="I1314" t="s">
        <v>2229</v>
      </c>
      <c r="J1314">
        <v>2</v>
      </c>
      <c r="K1314">
        <v>1</v>
      </c>
      <c r="L1314" t="s">
        <v>2306</v>
      </c>
      <c r="M1314" t="s">
        <v>2677</v>
      </c>
      <c r="P1314" t="s">
        <v>2986</v>
      </c>
      <c r="Q1314" t="s">
        <v>2113</v>
      </c>
      <c r="R1314" t="s">
        <v>3258</v>
      </c>
      <c r="S1314" t="s">
        <v>3273</v>
      </c>
      <c r="X1314" t="s">
        <v>3354</v>
      </c>
      <c r="Y1314" t="s">
        <v>2678</v>
      </c>
      <c r="Z1314" t="s">
        <v>3402</v>
      </c>
      <c r="AA1314" t="s">
        <v>3406</v>
      </c>
      <c r="AB1314" t="s">
        <v>3421</v>
      </c>
      <c r="AC1314">
        <f>HYPERLINK("https://lsnyc.legalserver.org/matter/dynamic-profile/view/1877925","18-1877925")</f>
        <v>0</v>
      </c>
      <c r="AD1314" t="s">
        <v>3443</v>
      </c>
      <c r="AE1314" t="s">
        <v>3477</v>
      </c>
      <c r="AF1314" t="s">
        <v>4457</v>
      </c>
      <c r="AG1314" t="s">
        <v>3402</v>
      </c>
      <c r="AH1314" t="s">
        <v>4904</v>
      </c>
      <c r="AK1314" t="s">
        <v>4911</v>
      </c>
      <c r="AL1314" t="s">
        <v>2135</v>
      </c>
      <c r="AN1314" t="s">
        <v>3421</v>
      </c>
    </row>
    <row r="1315" spans="1:41">
      <c r="A1315" s="1" t="s">
        <v>1351</v>
      </c>
      <c r="B1315" t="s">
        <v>1998</v>
      </c>
      <c r="C1315" t="s">
        <v>2001</v>
      </c>
      <c r="D1315" t="s">
        <v>2063</v>
      </c>
      <c r="E1315" t="s">
        <v>2112</v>
      </c>
      <c r="F1315" t="s">
        <v>2123</v>
      </c>
      <c r="G1315" t="s">
        <v>2216</v>
      </c>
      <c r="H1315">
        <v>10301</v>
      </c>
      <c r="I1315" t="s">
        <v>2229</v>
      </c>
      <c r="J1315">
        <v>3</v>
      </c>
      <c r="K1315">
        <v>1</v>
      </c>
      <c r="L1315" t="s">
        <v>2439</v>
      </c>
      <c r="M1315" t="s">
        <v>2677</v>
      </c>
      <c r="P1315" t="s">
        <v>2987</v>
      </c>
      <c r="Q1315" t="s">
        <v>2113</v>
      </c>
      <c r="R1315" t="s">
        <v>3258</v>
      </c>
      <c r="S1315" t="s">
        <v>3271</v>
      </c>
      <c r="X1315" t="s">
        <v>3354</v>
      </c>
      <c r="Y1315" t="s">
        <v>2677</v>
      </c>
      <c r="Z1315" t="s">
        <v>3362</v>
      </c>
      <c r="AA1315" t="s">
        <v>3406</v>
      </c>
      <c r="AB1315" t="s">
        <v>3419</v>
      </c>
      <c r="AC1315">
        <f>HYPERLINK("https://lsnyc.legalserver.org/matter/dynamic-profile/view/1877764","18-1877764")</f>
        <v>0</v>
      </c>
      <c r="AD1315" t="s">
        <v>3445</v>
      </c>
      <c r="AE1315" t="s">
        <v>3455</v>
      </c>
      <c r="AF1315" t="s">
        <v>4458</v>
      </c>
      <c r="AG1315" t="s">
        <v>3362</v>
      </c>
      <c r="AH1315" t="s">
        <v>4904</v>
      </c>
      <c r="AK1315" t="s">
        <v>4911</v>
      </c>
      <c r="AL1315" t="s">
        <v>2123</v>
      </c>
      <c r="AN1315" t="s">
        <v>3419</v>
      </c>
    </row>
    <row r="1316" spans="1:41">
      <c r="A1316" s="1" t="s">
        <v>1352</v>
      </c>
      <c r="B1316" t="s">
        <v>2001</v>
      </c>
      <c r="C1316" t="s">
        <v>2002</v>
      </c>
      <c r="D1316" t="s">
        <v>2051</v>
      </c>
      <c r="E1316" t="s">
        <v>2111</v>
      </c>
      <c r="F1316" t="s">
        <v>2123</v>
      </c>
      <c r="G1316" t="s">
        <v>2216</v>
      </c>
      <c r="H1316">
        <v>10301</v>
      </c>
      <c r="I1316" t="s">
        <v>2229</v>
      </c>
      <c r="J1316">
        <v>3</v>
      </c>
      <c r="K1316">
        <v>1</v>
      </c>
      <c r="L1316" t="s">
        <v>2439</v>
      </c>
      <c r="M1316" t="s">
        <v>2677</v>
      </c>
      <c r="P1316" t="s">
        <v>2987</v>
      </c>
      <c r="Q1316" t="s">
        <v>2113</v>
      </c>
      <c r="R1316" t="s">
        <v>3259</v>
      </c>
      <c r="S1316" t="s">
        <v>3270</v>
      </c>
      <c r="X1316" t="s">
        <v>3354</v>
      </c>
      <c r="Y1316" t="s">
        <v>2677</v>
      </c>
      <c r="Z1316" t="s">
        <v>3362</v>
      </c>
      <c r="AA1316" t="s">
        <v>3406</v>
      </c>
      <c r="AB1316" t="s">
        <v>3418</v>
      </c>
      <c r="AC1316">
        <f>HYPERLINK("https://lsnyc.legalserver.org/matter/dynamic-profile/view/1877782","18-1877782")</f>
        <v>0</v>
      </c>
      <c r="AD1316" t="s">
        <v>3445</v>
      </c>
      <c r="AE1316" t="s">
        <v>3455</v>
      </c>
      <c r="AF1316" t="s">
        <v>4037</v>
      </c>
      <c r="AG1316" t="s">
        <v>3362</v>
      </c>
      <c r="AH1316" t="s">
        <v>4904</v>
      </c>
      <c r="AK1316" t="s">
        <v>4911</v>
      </c>
      <c r="AL1316" t="s">
        <v>2123</v>
      </c>
      <c r="AN1316" t="s">
        <v>3418</v>
      </c>
    </row>
    <row r="1317" spans="1:41">
      <c r="A1317" s="1" t="s">
        <v>1353</v>
      </c>
      <c r="B1317" t="s">
        <v>1998</v>
      </c>
      <c r="C1317" t="s">
        <v>2000</v>
      </c>
      <c r="D1317" t="s">
        <v>2060</v>
      </c>
      <c r="E1317" t="s">
        <v>2112</v>
      </c>
      <c r="F1317" t="s">
        <v>2118</v>
      </c>
      <c r="G1317" t="s">
        <v>2214</v>
      </c>
      <c r="H1317">
        <v>11230</v>
      </c>
      <c r="I1317" t="s">
        <v>2231</v>
      </c>
      <c r="J1317">
        <v>5</v>
      </c>
      <c r="K1317">
        <v>2</v>
      </c>
      <c r="L1317" t="s">
        <v>2260</v>
      </c>
      <c r="M1317" t="s">
        <v>2677</v>
      </c>
      <c r="P1317" t="s">
        <v>2987</v>
      </c>
      <c r="Q1317" t="s">
        <v>3257</v>
      </c>
      <c r="R1317" t="s">
        <v>3261</v>
      </c>
      <c r="S1317" t="s">
        <v>3283</v>
      </c>
      <c r="T1317" t="s">
        <v>3295</v>
      </c>
      <c r="X1317" t="s">
        <v>3354</v>
      </c>
      <c r="Y1317" t="s">
        <v>2678</v>
      </c>
      <c r="Z1317" t="s">
        <v>3370</v>
      </c>
      <c r="AA1317" t="s">
        <v>3408</v>
      </c>
      <c r="AB1317" t="s">
        <v>3431</v>
      </c>
      <c r="AC1317">
        <f>HYPERLINK("https://lsnyc.legalserver.org/matter/dynamic-profile/view/1877786","18-1877786")</f>
        <v>0</v>
      </c>
      <c r="AD1317" t="s">
        <v>3446</v>
      </c>
      <c r="AE1317" t="s">
        <v>3481</v>
      </c>
      <c r="AF1317" t="s">
        <v>4459</v>
      </c>
      <c r="AG1317" t="s">
        <v>3370</v>
      </c>
      <c r="AH1317" t="s">
        <v>3408</v>
      </c>
      <c r="AK1317" t="s">
        <v>4911</v>
      </c>
      <c r="AL1317" t="s">
        <v>2118</v>
      </c>
      <c r="AM1317" t="s">
        <v>3295</v>
      </c>
      <c r="AN1317" t="s">
        <v>3431</v>
      </c>
    </row>
    <row r="1318" spans="1:41">
      <c r="A1318" s="1" t="s">
        <v>1354</v>
      </c>
      <c r="B1318" t="s">
        <v>2016</v>
      </c>
      <c r="C1318" t="s">
        <v>2009</v>
      </c>
      <c r="D1318" t="s">
        <v>2070</v>
      </c>
      <c r="E1318" t="s">
        <v>2111</v>
      </c>
      <c r="F1318" t="s">
        <v>2165</v>
      </c>
      <c r="G1318" t="s">
        <v>2214</v>
      </c>
      <c r="H1318">
        <v>11207</v>
      </c>
      <c r="I1318" t="s">
        <v>2230</v>
      </c>
      <c r="J1318">
        <v>1</v>
      </c>
      <c r="K1318">
        <v>0</v>
      </c>
      <c r="L1318" t="s">
        <v>2260</v>
      </c>
      <c r="M1318" t="s">
        <v>2677</v>
      </c>
      <c r="P1318" t="s">
        <v>2763</v>
      </c>
      <c r="Q1318" t="s">
        <v>2113</v>
      </c>
      <c r="R1318" t="s">
        <v>3259</v>
      </c>
      <c r="S1318" t="s">
        <v>3270</v>
      </c>
      <c r="T1318" t="s">
        <v>3294</v>
      </c>
      <c r="U1318" t="s">
        <v>2763</v>
      </c>
      <c r="V1318" t="s">
        <v>3352</v>
      </c>
      <c r="X1318" t="s">
        <v>3354</v>
      </c>
      <c r="Y1318" t="s">
        <v>2678</v>
      </c>
      <c r="Z1318" t="s">
        <v>3359</v>
      </c>
      <c r="AA1318" t="s">
        <v>3406</v>
      </c>
      <c r="AB1318" t="s">
        <v>3418</v>
      </c>
      <c r="AC1318">
        <f>HYPERLINK("https://lsnyc.legalserver.org/matter/dynamic-profile/view/1877797","18-1877797")</f>
        <v>0</v>
      </c>
      <c r="AD1318" t="s">
        <v>3446</v>
      </c>
      <c r="AE1318" t="s">
        <v>3465</v>
      </c>
      <c r="AF1318" t="s">
        <v>4460</v>
      </c>
      <c r="AG1318" t="s">
        <v>3359</v>
      </c>
      <c r="AH1318" t="s">
        <v>4906</v>
      </c>
      <c r="AL1318" t="s">
        <v>2165</v>
      </c>
      <c r="AM1318" t="s">
        <v>3294</v>
      </c>
      <c r="AN1318" t="s">
        <v>3418</v>
      </c>
      <c r="AO1318" t="s">
        <v>3352</v>
      </c>
    </row>
    <row r="1319" spans="1:41">
      <c r="A1319" s="1" t="s">
        <v>1355</v>
      </c>
      <c r="B1319" t="s">
        <v>2009</v>
      </c>
      <c r="C1319" t="s">
        <v>2009</v>
      </c>
      <c r="D1319" t="s">
        <v>2056</v>
      </c>
      <c r="E1319" t="s">
        <v>2111</v>
      </c>
      <c r="F1319" t="s">
        <v>2129</v>
      </c>
      <c r="G1319" t="s">
        <v>2211</v>
      </c>
      <c r="H1319">
        <v>10035</v>
      </c>
      <c r="I1319" t="s">
        <v>2232</v>
      </c>
      <c r="J1319">
        <v>2</v>
      </c>
      <c r="K1319">
        <v>0</v>
      </c>
      <c r="L1319" t="s">
        <v>2283</v>
      </c>
      <c r="M1319" t="s">
        <v>2677</v>
      </c>
      <c r="P1319" t="s">
        <v>2987</v>
      </c>
      <c r="Q1319" t="s">
        <v>2113</v>
      </c>
      <c r="R1319" t="s">
        <v>3259</v>
      </c>
      <c r="S1319" t="s">
        <v>3268</v>
      </c>
      <c r="X1319" t="s">
        <v>3354</v>
      </c>
      <c r="Y1319" t="s">
        <v>2677</v>
      </c>
      <c r="Z1319" t="s">
        <v>3368</v>
      </c>
      <c r="AA1319" t="s">
        <v>3406</v>
      </c>
      <c r="AB1319" t="s">
        <v>3416</v>
      </c>
      <c r="AC1319">
        <f>HYPERLINK("https://lsnyc.legalserver.org/matter/dynamic-profile/view/1877812","18-1877812")</f>
        <v>0</v>
      </c>
      <c r="AD1319" t="s">
        <v>3445</v>
      </c>
      <c r="AE1319" t="s">
        <v>3455</v>
      </c>
      <c r="AF1319" t="s">
        <v>4083</v>
      </c>
      <c r="AG1319" t="s">
        <v>3368</v>
      </c>
      <c r="AH1319" t="s">
        <v>4904</v>
      </c>
      <c r="AK1319" t="s">
        <v>4911</v>
      </c>
      <c r="AL1319" t="s">
        <v>2129</v>
      </c>
      <c r="AN1319" t="s">
        <v>3416</v>
      </c>
    </row>
    <row r="1320" spans="1:41">
      <c r="A1320" s="1" t="s">
        <v>1356</v>
      </c>
      <c r="B1320" t="s">
        <v>2016</v>
      </c>
      <c r="C1320" t="s">
        <v>2000</v>
      </c>
      <c r="D1320" t="s">
        <v>2063</v>
      </c>
      <c r="E1320" t="s">
        <v>2112</v>
      </c>
      <c r="F1320" t="s">
        <v>2118</v>
      </c>
      <c r="G1320" t="s">
        <v>2211</v>
      </c>
      <c r="H1320">
        <v>10027</v>
      </c>
      <c r="I1320" t="s">
        <v>2231</v>
      </c>
      <c r="J1320">
        <v>1</v>
      </c>
      <c r="K1320">
        <v>0</v>
      </c>
      <c r="L1320" t="s">
        <v>2260</v>
      </c>
      <c r="M1320" t="s">
        <v>2677</v>
      </c>
      <c r="P1320" t="s">
        <v>2987</v>
      </c>
      <c r="Q1320" t="s">
        <v>2113</v>
      </c>
      <c r="R1320" t="s">
        <v>3259</v>
      </c>
      <c r="S1320" t="s">
        <v>3268</v>
      </c>
      <c r="X1320" t="s">
        <v>3354</v>
      </c>
      <c r="Y1320" t="s">
        <v>2677</v>
      </c>
      <c r="Z1320" t="s">
        <v>3368</v>
      </c>
      <c r="AA1320" t="s">
        <v>3406</v>
      </c>
      <c r="AB1320" t="s">
        <v>3416</v>
      </c>
      <c r="AC1320">
        <f>HYPERLINK("https://lsnyc.legalserver.org/matter/dynamic-profile/view/1877825","18-1877825")</f>
        <v>0</v>
      </c>
      <c r="AD1320" t="s">
        <v>3445</v>
      </c>
      <c r="AE1320" t="s">
        <v>3455</v>
      </c>
      <c r="AF1320" t="s">
        <v>4461</v>
      </c>
      <c r="AG1320" t="s">
        <v>3368</v>
      </c>
      <c r="AH1320" t="s">
        <v>4904</v>
      </c>
      <c r="AK1320" t="s">
        <v>4911</v>
      </c>
      <c r="AL1320" t="s">
        <v>2118</v>
      </c>
      <c r="AN1320" t="s">
        <v>3416</v>
      </c>
    </row>
    <row r="1321" spans="1:41">
      <c r="A1321" s="1" t="s">
        <v>1357</v>
      </c>
      <c r="B1321" t="s">
        <v>2002</v>
      </c>
      <c r="C1321" t="s">
        <v>2016</v>
      </c>
      <c r="D1321" t="s">
        <v>2040</v>
      </c>
      <c r="E1321" t="s">
        <v>2111</v>
      </c>
      <c r="F1321" t="s">
        <v>2115</v>
      </c>
      <c r="G1321" t="s">
        <v>2214</v>
      </c>
      <c r="H1321">
        <v>11211</v>
      </c>
      <c r="I1321" t="s">
        <v>2229</v>
      </c>
      <c r="J1321">
        <v>4</v>
      </c>
      <c r="K1321">
        <v>2</v>
      </c>
      <c r="L1321" t="s">
        <v>2260</v>
      </c>
      <c r="M1321" t="s">
        <v>2677</v>
      </c>
      <c r="P1321" t="s">
        <v>2988</v>
      </c>
      <c r="Q1321" t="s">
        <v>2113</v>
      </c>
      <c r="R1321" t="s">
        <v>3259</v>
      </c>
      <c r="S1321" t="s">
        <v>3272</v>
      </c>
      <c r="T1321" t="s">
        <v>3294</v>
      </c>
      <c r="X1321" t="s">
        <v>3354</v>
      </c>
      <c r="Y1321" t="s">
        <v>2678</v>
      </c>
      <c r="Z1321" t="s">
        <v>3364</v>
      </c>
      <c r="AA1321" t="s">
        <v>3406</v>
      </c>
      <c r="AB1321" t="s">
        <v>3420</v>
      </c>
      <c r="AC1321">
        <f>HYPERLINK("https://lsnyc.legalserver.org/matter/dynamic-profile/view/1877286","18-1877286")</f>
        <v>0</v>
      </c>
      <c r="AD1321" t="s">
        <v>3446</v>
      </c>
      <c r="AE1321" t="s">
        <v>3481</v>
      </c>
      <c r="AF1321" t="s">
        <v>4462</v>
      </c>
      <c r="AG1321" t="s">
        <v>3364</v>
      </c>
      <c r="AH1321" t="s">
        <v>4906</v>
      </c>
      <c r="AK1321" t="s">
        <v>4911</v>
      </c>
      <c r="AL1321" t="s">
        <v>2115</v>
      </c>
      <c r="AM1321" t="s">
        <v>3294</v>
      </c>
      <c r="AN1321" t="s">
        <v>3420</v>
      </c>
    </row>
    <row r="1322" spans="1:41">
      <c r="A1322" s="1" t="s">
        <v>1358</v>
      </c>
      <c r="B1322" t="s">
        <v>2000</v>
      </c>
      <c r="C1322" t="s">
        <v>2000</v>
      </c>
      <c r="D1322" t="s">
        <v>2029</v>
      </c>
      <c r="E1322" t="s">
        <v>2111</v>
      </c>
      <c r="F1322" t="s">
        <v>2133</v>
      </c>
      <c r="G1322" t="s">
        <v>2216</v>
      </c>
      <c r="H1322">
        <v>10312</v>
      </c>
      <c r="I1322" t="s">
        <v>2230</v>
      </c>
      <c r="J1322">
        <v>5</v>
      </c>
      <c r="K1322">
        <v>3</v>
      </c>
      <c r="L1322" t="s">
        <v>2531</v>
      </c>
      <c r="M1322" t="s">
        <v>2677</v>
      </c>
      <c r="P1322" t="s">
        <v>2988</v>
      </c>
      <c r="Q1322" t="s">
        <v>2113</v>
      </c>
      <c r="R1322" t="s">
        <v>3259</v>
      </c>
      <c r="S1322" t="s">
        <v>3270</v>
      </c>
      <c r="X1322" t="s">
        <v>3354</v>
      </c>
      <c r="Y1322" t="s">
        <v>2677</v>
      </c>
      <c r="Z1322" t="s">
        <v>3362</v>
      </c>
      <c r="AA1322" t="s">
        <v>3406</v>
      </c>
      <c r="AB1322" t="s">
        <v>3418</v>
      </c>
      <c r="AC1322">
        <f>HYPERLINK("https://lsnyc.legalserver.org/matter/dynamic-profile/view/1877652","18-1877652")</f>
        <v>0</v>
      </c>
      <c r="AD1322" t="s">
        <v>3445</v>
      </c>
      <c r="AE1322" t="s">
        <v>3455</v>
      </c>
      <c r="AF1322" t="s">
        <v>4463</v>
      </c>
      <c r="AG1322" t="s">
        <v>3362</v>
      </c>
      <c r="AH1322" t="s">
        <v>4904</v>
      </c>
      <c r="AK1322" t="s">
        <v>4911</v>
      </c>
      <c r="AL1322" t="s">
        <v>2133</v>
      </c>
      <c r="AN1322" t="s">
        <v>3418</v>
      </c>
    </row>
    <row r="1323" spans="1:41">
      <c r="A1323" s="1" t="s">
        <v>1359</v>
      </c>
      <c r="B1323" t="s">
        <v>2001</v>
      </c>
      <c r="C1323" t="s">
        <v>1998</v>
      </c>
      <c r="D1323" t="s">
        <v>2031</v>
      </c>
      <c r="E1323" t="s">
        <v>2112</v>
      </c>
      <c r="F1323" t="s">
        <v>2116</v>
      </c>
      <c r="G1323" t="s">
        <v>2214</v>
      </c>
      <c r="H1323">
        <v>11212</v>
      </c>
      <c r="I1323" t="s">
        <v>2229</v>
      </c>
      <c r="J1323">
        <v>6</v>
      </c>
      <c r="K1323">
        <v>5</v>
      </c>
      <c r="L1323" t="s">
        <v>2532</v>
      </c>
      <c r="M1323" t="s">
        <v>2677</v>
      </c>
      <c r="P1323" t="s">
        <v>2988</v>
      </c>
      <c r="Q1323" t="s">
        <v>2113</v>
      </c>
      <c r="R1323" t="s">
        <v>3259</v>
      </c>
      <c r="S1323" t="s">
        <v>3264</v>
      </c>
      <c r="X1323" t="s">
        <v>3354</v>
      </c>
      <c r="Y1323" t="s">
        <v>2677</v>
      </c>
      <c r="Z1323" t="s">
        <v>3357</v>
      </c>
      <c r="AA1323" t="s">
        <v>3406</v>
      </c>
      <c r="AB1323" t="s">
        <v>3412</v>
      </c>
      <c r="AC1323">
        <f>HYPERLINK("https://lsnyc.legalserver.org/matter/dynamic-profile/view/1877710","18-1877710")</f>
        <v>0</v>
      </c>
      <c r="AD1323" t="s">
        <v>3445</v>
      </c>
      <c r="AE1323" t="s">
        <v>3455</v>
      </c>
      <c r="AF1323" t="s">
        <v>4464</v>
      </c>
      <c r="AG1323" t="s">
        <v>3357</v>
      </c>
      <c r="AH1323" t="s">
        <v>4904</v>
      </c>
      <c r="AK1323" t="s">
        <v>4911</v>
      </c>
      <c r="AL1323" t="s">
        <v>2116</v>
      </c>
      <c r="AN1323" t="s">
        <v>3412</v>
      </c>
    </row>
    <row r="1324" spans="1:41">
      <c r="A1324" s="1" t="s">
        <v>1360</v>
      </c>
      <c r="B1324" t="s">
        <v>2001</v>
      </c>
      <c r="C1324" t="s">
        <v>2017</v>
      </c>
      <c r="D1324" t="s">
        <v>2056</v>
      </c>
      <c r="E1324" t="s">
        <v>2112</v>
      </c>
      <c r="F1324" t="s">
        <v>2116</v>
      </c>
      <c r="G1324" t="s">
        <v>2216</v>
      </c>
      <c r="H1324">
        <v>10304</v>
      </c>
      <c r="I1324" t="s">
        <v>2229</v>
      </c>
      <c r="J1324">
        <v>4</v>
      </c>
      <c r="K1324">
        <v>2</v>
      </c>
      <c r="L1324" t="s">
        <v>2259</v>
      </c>
      <c r="M1324" t="s">
        <v>2677</v>
      </c>
      <c r="P1324" t="s">
        <v>2989</v>
      </c>
      <c r="Q1324" t="s">
        <v>2113</v>
      </c>
      <c r="R1324" t="s">
        <v>3259</v>
      </c>
      <c r="S1324" t="s">
        <v>3276</v>
      </c>
      <c r="T1324" t="s">
        <v>3294</v>
      </c>
      <c r="U1324" t="s">
        <v>2981</v>
      </c>
      <c r="X1324" t="s">
        <v>3354</v>
      </c>
      <c r="Y1324" t="s">
        <v>2678</v>
      </c>
      <c r="Z1324" t="s">
        <v>3373</v>
      </c>
      <c r="AA1324" t="s">
        <v>3406</v>
      </c>
      <c r="AB1324" t="s">
        <v>3424</v>
      </c>
      <c r="AC1324">
        <f>HYPERLINK("https://lsnyc.legalserver.org/matter/dynamic-profile/view/1877295","18-1877295")</f>
        <v>0</v>
      </c>
      <c r="AD1324" t="s">
        <v>3447</v>
      </c>
      <c r="AE1324" t="s">
        <v>3462</v>
      </c>
      <c r="AF1324" t="s">
        <v>4465</v>
      </c>
      <c r="AG1324" t="s">
        <v>3373</v>
      </c>
      <c r="AH1324" t="s">
        <v>4904</v>
      </c>
      <c r="AK1324" t="s">
        <v>4911</v>
      </c>
      <c r="AL1324" t="s">
        <v>2116</v>
      </c>
      <c r="AM1324" t="s">
        <v>3294</v>
      </c>
      <c r="AN1324" t="s">
        <v>3424</v>
      </c>
    </row>
    <row r="1325" spans="1:41">
      <c r="A1325" s="1" t="s">
        <v>1361</v>
      </c>
      <c r="B1325" t="s">
        <v>1998</v>
      </c>
      <c r="C1325" t="s">
        <v>1998</v>
      </c>
      <c r="D1325" t="s">
        <v>2040</v>
      </c>
      <c r="E1325" t="s">
        <v>2112</v>
      </c>
      <c r="F1325" t="s">
        <v>2116</v>
      </c>
      <c r="G1325" t="s">
        <v>2216</v>
      </c>
      <c r="H1325">
        <v>10304</v>
      </c>
      <c r="I1325" t="s">
        <v>2229</v>
      </c>
      <c r="J1325">
        <v>4</v>
      </c>
      <c r="K1325">
        <v>2</v>
      </c>
      <c r="L1325" t="s">
        <v>2259</v>
      </c>
      <c r="M1325" t="s">
        <v>2677</v>
      </c>
      <c r="P1325" t="s">
        <v>2989</v>
      </c>
      <c r="Q1325" t="s">
        <v>2113</v>
      </c>
      <c r="R1325" t="s">
        <v>3259</v>
      </c>
      <c r="S1325" t="s">
        <v>3264</v>
      </c>
      <c r="T1325" t="s">
        <v>3294</v>
      </c>
      <c r="U1325" t="s">
        <v>2983</v>
      </c>
      <c r="X1325" t="s">
        <v>3354</v>
      </c>
      <c r="Y1325" t="s">
        <v>2678</v>
      </c>
      <c r="Z1325" t="s">
        <v>3397</v>
      </c>
      <c r="AA1325" t="s">
        <v>3406</v>
      </c>
      <c r="AB1325" t="s">
        <v>3412</v>
      </c>
      <c r="AC1325">
        <f>HYPERLINK("https://lsnyc.legalserver.org/matter/dynamic-profile/view/1877339","18-1877339")</f>
        <v>0</v>
      </c>
      <c r="AD1325" t="s">
        <v>3447</v>
      </c>
      <c r="AE1325" t="s">
        <v>3462</v>
      </c>
      <c r="AF1325" t="s">
        <v>4466</v>
      </c>
      <c r="AG1325" t="s">
        <v>3397</v>
      </c>
      <c r="AH1325" t="s">
        <v>4904</v>
      </c>
      <c r="AK1325" t="s">
        <v>4911</v>
      </c>
      <c r="AL1325" t="s">
        <v>2116</v>
      </c>
      <c r="AM1325" t="s">
        <v>3294</v>
      </c>
      <c r="AN1325" t="s">
        <v>3412</v>
      </c>
    </row>
    <row r="1326" spans="1:41">
      <c r="A1326" s="1" t="s">
        <v>1362</v>
      </c>
      <c r="B1326" t="s">
        <v>1998</v>
      </c>
      <c r="C1326" t="s">
        <v>1998</v>
      </c>
      <c r="D1326" t="s">
        <v>2040</v>
      </c>
      <c r="E1326" t="s">
        <v>2112</v>
      </c>
      <c r="F1326" t="s">
        <v>2116</v>
      </c>
      <c r="G1326" t="s">
        <v>2216</v>
      </c>
      <c r="H1326">
        <v>10304</v>
      </c>
      <c r="I1326" t="s">
        <v>2229</v>
      </c>
      <c r="J1326">
        <v>4</v>
      </c>
      <c r="K1326">
        <v>2</v>
      </c>
      <c r="L1326" t="s">
        <v>2259</v>
      </c>
      <c r="M1326" t="s">
        <v>2677</v>
      </c>
      <c r="P1326" t="s">
        <v>2989</v>
      </c>
      <c r="Q1326" t="s">
        <v>2113</v>
      </c>
      <c r="R1326" t="s">
        <v>3259</v>
      </c>
      <c r="S1326" t="s">
        <v>3276</v>
      </c>
      <c r="T1326" t="s">
        <v>3294</v>
      </c>
      <c r="U1326" t="s">
        <v>2983</v>
      </c>
      <c r="X1326" t="s">
        <v>3354</v>
      </c>
      <c r="Y1326" t="s">
        <v>2678</v>
      </c>
      <c r="Z1326" t="s">
        <v>3373</v>
      </c>
      <c r="AA1326" t="s">
        <v>3406</v>
      </c>
      <c r="AB1326" t="s">
        <v>3424</v>
      </c>
      <c r="AC1326">
        <f>HYPERLINK("https://lsnyc.legalserver.org/matter/dynamic-profile/view/1877340","18-1877340")</f>
        <v>0</v>
      </c>
      <c r="AD1326" t="s">
        <v>3447</v>
      </c>
      <c r="AE1326" t="s">
        <v>3462</v>
      </c>
      <c r="AF1326" t="s">
        <v>4466</v>
      </c>
      <c r="AG1326" t="s">
        <v>3373</v>
      </c>
      <c r="AH1326" t="s">
        <v>4904</v>
      </c>
      <c r="AK1326" t="s">
        <v>4911</v>
      </c>
      <c r="AL1326" t="s">
        <v>2116</v>
      </c>
      <c r="AM1326" t="s">
        <v>3294</v>
      </c>
      <c r="AN1326" t="s">
        <v>3424</v>
      </c>
    </row>
    <row r="1327" spans="1:41">
      <c r="A1327" s="1" t="s">
        <v>1363</v>
      </c>
      <c r="B1327" t="s">
        <v>1998</v>
      </c>
      <c r="C1327" t="s">
        <v>1998</v>
      </c>
      <c r="D1327" t="s">
        <v>2031</v>
      </c>
      <c r="E1327" t="s">
        <v>2112</v>
      </c>
      <c r="F1327" t="s">
        <v>2129</v>
      </c>
      <c r="G1327" t="s">
        <v>2214</v>
      </c>
      <c r="H1327">
        <v>11214</v>
      </c>
      <c r="I1327" t="s">
        <v>2232</v>
      </c>
      <c r="J1327">
        <v>5</v>
      </c>
      <c r="K1327">
        <v>3</v>
      </c>
      <c r="L1327" t="s">
        <v>2260</v>
      </c>
      <c r="M1327" t="s">
        <v>2677</v>
      </c>
      <c r="P1327" t="s">
        <v>2990</v>
      </c>
      <c r="Q1327" t="s">
        <v>3255</v>
      </c>
      <c r="R1327" t="s">
        <v>3259</v>
      </c>
      <c r="S1327" t="s">
        <v>3268</v>
      </c>
      <c r="X1327" t="s">
        <v>3354</v>
      </c>
      <c r="Y1327" t="s">
        <v>2678</v>
      </c>
      <c r="Z1327" t="s">
        <v>3368</v>
      </c>
      <c r="AA1327" t="s">
        <v>3406</v>
      </c>
      <c r="AB1327" t="s">
        <v>3416</v>
      </c>
      <c r="AC1327">
        <f>HYPERLINK("https://lsnyc.legalserver.org/matter/dynamic-profile/view/1874872","18-1874872")</f>
        <v>0</v>
      </c>
      <c r="AD1327" t="s">
        <v>3447</v>
      </c>
      <c r="AE1327" t="s">
        <v>3459</v>
      </c>
      <c r="AF1327" t="s">
        <v>3688</v>
      </c>
      <c r="AG1327" t="s">
        <v>3368</v>
      </c>
      <c r="AH1327" t="s">
        <v>4904</v>
      </c>
      <c r="AK1327" t="s">
        <v>4911</v>
      </c>
      <c r="AL1327" t="s">
        <v>2129</v>
      </c>
      <c r="AN1327" t="s">
        <v>3416</v>
      </c>
    </row>
    <row r="1328" spans="1:41">
      <c r="A1328" s="1" t="s">
        <v>1364</v>
      </c>
      <c r="B1328" t="s">
        <v>2000</v>
      </c>
      <c r="C1328" t="s">
        <v>2001</v>
      </c>
      <c r="D1328" t="s">
        <v>2094</v>
      </c>
      <c r="E1328" t="s">
        <v>2112</v>
      </c>
      <c r="F1328" t="s">
        <v>2123</v>
      </c>
      <c r="G1328" t="s">
        <v>2213</v>
      </c>
      <c r="H1328">
        <v>10452</v>
      </c>
      <c r="I1328" t="s">
        <v>2230</v>
      </c>
      <c r="J1328">
        <v>2</v>
      </c>
      <c r="K1328">
        <v>0</v>
      </c>
      <c r="L1328" t="s">
        <v>2304</v>
      </c>
      <c r="M1328" t="s">
        <v>2677</v>
      </c>
      <c r="P1328" t="s">
        <v>2990</v>
      </c>
      <c r="Q1328" t="s">
        <v>2113</v>
      </c>
      <c r="R1328" t="s">
        <v>3258</v>
      </c>
      <c r="S1328" t="s">
        <v>3271</v>
      </c>
      <c r="T1328" t="s">
        <v>3294</v>
      </c>
      <c r="U1328" t="s">
        <v>2884</v>
      </c>
      <c r="X1328" t="s">
        <v>3354</v>
      </c>
      <c r="Y1328" t="s">
        <v>2677</v>
      </c>
      <c r="Z1328" t="s">
        <v>3362</v>
      </c>
      <c r="AA1328" t="s">
        <v>3406</v>
      </c>
      <c r="AB1328" t="s">
        <v>3419</v>
      </c>
      <c r="AC1328">
        <f>HYPERLINK("https://lsnyc.legalserver.org/matter/dynamic-profile/view/1877220","18-1877220")</f>
        <v>0</v>
      </c>
      <c r="AD1328" t="s">
        <v>3445</v>
      </c>
      <c r="AE1328" t="s">
        <v>3452</v>
      </c>
      <c r="AF1328" t="s">
        <v>4321</v>
      </c>
      <c r="AG1328" t="s">
        <v>3362</v>
      </c>
      <c r="AH1328" t="s">
        <v>4904</v>
      </c>
      <c r="AK1328" t="s">
        <v>4911</v>
      </c>
      <c r="AL1328" t="s">
        <v>2123</v>
      </c>
      <c r="AM1328" t="s">
        <v>3294</v>
      </c>
      <c r="AN1328" t="s">
        <v>3419</v>
      </c>
    </row>
    <row r="1329" spans="1:41">
      <c r="A1329" s="1" t="s">
        <v>1365</v>
      </c>
      <c r="B1329" t="s">
        <v>1998</v>
      </c>
      <c r="C1329" t="s">
        <v>1998</v>
      </c>
      <c r="D1329" t="s">
        <v>2076</v>
      </c>
      <c r="E1329" t="s">
        <v>2112</v>
      </c>
      <c r="F1329" t="s">
        <v>2114</v>
      </c>
      <c r="G1329" t="s">
        <v>2213</v>
      </c>
      <c r="H1329">
        <v>10457</v>
      </c>
      <c r="I1329" t="s">
        <v>2229</v>
      </c>
      <c r="J1329">
        <v>3</v>
      </c>
      <c r="K1329">
        <v>2</v>
      </c>
      <c r="L1329" t="s">
        <v>2421</v>
      </c>
      <c r="M1329" t="s">
        <v>2677</v>
      </c>
      <c r="P1329" t="s">
        <v>2991</v>
      </c>
      <c r="Q1329" t="s">
        <v>2113</v>
      </c>
      <c r="R1329" t="s">
        <v>3261</v>
      </c>
      <c r="S1329" t="s">
        <v>3283</v>
      </c>
      <c r="X1329" t="s">
        <v>3354</v>
      </c>
      <c r="Y1329" t="s">
        <v>2678</v>
      </c>
      <c r="Z1329" t="s">
        <v>3359</v>
      </c>
      <c r="AA1329" t="s">
        <v>3409</v>
      </c>
      <c r="AB1329" t="s">
        <v>3431</v>
      </c>
      <c r="AC1329">
        <f>HYPERLINK("https://lsnyc.legalserver.org/matter/dynamic-profile/view/1877048","18-1877048")</f>
        <v>0</v>
      </c>
      <c r="AD1329" t="s">
        <v>3442</v>
      </c>
      <c r="AE1329" t="s">
        <v>3476</v>
      </c>
      <c r="AF1329" t="s">
        <v>3973</v>
      </c>
      <c r="AG1329" t="s">
        <v>3359</v>
      </c>
      <c r="AH1329" t="s">
        <v>3409</v>
      </c>
      <c r="AK1329" t="s">
        <v>4911</v>
      </c>
      <c r="AL1329" t="s">
        <v>2114</v>
      </c>
      <c r="AN1329" t="s">
        <v>3431</v>
      </c>
    </row>
    <row r="1330" spans="1:41">
      <c r="A1330" s="1" t="s">
        <v>1366</v>
      </c>
      <c r="B1330" t="s">
        <v>2002</v>
      </c>
      <c r="C1330" t="s">
        <v>1998</v>
      </c>
      <c r="D1330" t="s">
        <v>2060</v>
      </c>
      <c r="E1330" t="s">
        <v>2112</v>
      </c>
      <c r="F1330" t="s">
        <v>2135</v>
      </c>
      <c r="G1330" t="s">
        <v>2213</v>
      </c>
      <c r="H1330">
        <v>10472</v>
      </c>
      <c r="I1330" t="s">
        <v>2229</v>
      </c>
      <c r="J1330">
        <v>5</v>
      </c>
      <c r="K1330">
        <v>4</v>
      </c>
      <c r="L1330" t="s">
        <v>2533</v>
      </c>
      <c r="M1330" t="s">
        <v>2677</v>
      </c>
      <c r="P1330" t="s">
        <v>2992</v>
      </c>
      <c r="Q1330" t="s">
        <v>2113</v>
      </c>
      <c r="R1330" t="s">
        <v>3258</v>
      </c>
      <c r="S1330" t="s">
        <v>3265</v>
      </c>
      <c r="T1330" t="s">
        <v>3294</v>
      </c>
      <c r="U1330" t="s">
        <v>2751</v>
      </c>
      <c r="V1330" t="s">
        <v>3352</v>
      </c>
      <c r="X1330" t="s">
        <v>3354</v>
      </c>
      <c r="Y1330" t="s">
        <v>2678</v>
      </c>
      <c r="Z1330" t="s">
        <v>3385</v>
      </c>
      <c r="AA1330" t="s">
        <v>3406</v>
      </c>
      <c r="AB1330" t="s">
        <v>3413</v>
      </c>
      <c r="AC1330">
        <f>HYPERLINK("https://lsnyc.legalserver.org/matter/dynamic-profile/view/1876874","18-1876874")</f>
        <v>0</v>
      </c>
      <c r="AD1330" t="s">
        <v>3444</v>
      </c>
      <c r="AE1330" t="s">
        <v>3468</v>
      </c>
      <c r="AF1330" t="s">
        <v>4467</v>
      </c>
      <c r="AG1330" t="s">
        <v>3385</v>
      </c>
      <c r="AH1330" t="s">
        <v>4904</v>
      </c>
      <c r="AL1330" t="s">
        <v>2135</v>
      </c>
      <c r="AM1330" t="s">
        <v>3294</v>
      </c>
      <c r="AN1330" t="s">
        <v>3413</v>
      </c>
      <c r="AO1330" t="s">
        <v>3352</v>
      </c>
    </row>
    <row r="1331" spans="1:41">
      <c r="A1331" s="1" t="s">
        <v>1367</v>
      </c>
      <c r="B1331" t="s">
        <v>2000</v>
      </c>
      <c r="C1331" t="s">
        <v>2002</v>
      </c>
      <c r="D1331" t="s">
        <v>2069</v>
      </c>
      <c r="E1331" t="s">
        <v>2112</v>
      </c>
      <c r="F1331" t="s">
        <v>2117</v>
      </c>
      <c r="G1331" t="s">
        <v>2216</v>
      </c>
      <c r="H1331">
        <v>10301</v>
      </c>
      <c r="I1331" t="s">
        <v>2229</v>
      </c>
      <c r="J1331">
        <v>2</v>
      </c>
      <c r="K1331">
        <v>1</v>
      </c>
      <c r="L1331" t="s">
        <v>2260</v>
      </c>
      <c r="M1331" t="s">
        <v>2677</v>
      </c>
      <c r="P1331" t="s">
        <v>2993</v>
      </c>
      <c r="Q1331" t="s">
        <v>2113</v>
      </c>
      <c r="R1331" t="s">
        <v>3259</v>
      </c>
      <c r="S1331" t="s">
        <v>3267</v>
      </c>
      <c r="X1331" t="s">
        <v>3354</v>
      </c>
      <c r="Y1331" t="s">
        <v>2678</v>
      </c>
      <c r="Z1331" t="s">
        <v>3359</v>
      </c>
      <c r="AA1331" t="s">
        <v>3406</v>
      </c>
      <c r="AB1331" t="s">
        <v>3415</v>
      </c>
      <c r="AC1331">
        <f>HYPERLINK("https://lsnyc.legalserver.org/matter/dynamic-profile/view/1876102","18-1876102")</f>
        <v>0</v>
      </c>
      <c r="AD1331" t="s">
        <v>3447</v>
      </c>
      <c r="AE1331" t="s">
        <v>3463</v>
      </c>
      <c r="AF1331" t="s">
        <v>4116</v>
      </c>
      <c r="AG1331" t="s">
        <v>3359</v>
      </c>
      <c r="AH1331" t="s">
        <v>4906</v>
      </c>
      <c r="AK1331" t="s">
        <v>4911</v>
      </c>
      <c r="AL1331" t="s">
        <v>2117</v>
      </c>
      <c r="AN1331" t="s">
        <v>3415</v>
      </c>
    </row>
    <row r="1332" spans="1:41">
      <c r="A1332" s="1" t="s">
        <v>1368</v>
      </c>
      <c r="B1332" t="s">
        <v>2016</v>
      </c>
      <c r="C1332" t="s">
        <v>2012</v>
      </c>
      <c r="D1332" t="s">
        <v>2038</v>
      </c>
      <c r="E1332" t="s">
        <v>2111</v>
      </c>
      <c r="F1332" t="s">
        <v>2117</v>
      </c>
      <c r="G1332" t="s">
        <v>2225</v>
      </c>
      <c r="H1332">
        <v>12401</v>
      </c>
      <c r="I1332" t="s">
        <v>2229</v>
      </c>
      <c r="J1332">
        <v>5</v>
      </c>
      <c r="K1332">
        <v>3</v>
      </c>
      <c r="L1332" t="s">
        <v>2358</v>
      </c>
      <c r="M1332" t="s">
        <v>2677</v>
      </c>
      <c r="P1332" t="s">
        <v>2994</v>
      </c>
      <c r="Q1332" t="s">
        <v>3255</v>
      </c>
      <c r="R1332" t="s">
        <v>3259</v>
      </c>
      <c r="S1332" t="s">
        <v>3267</v>
      </c>
      <c r="X1332" t="s">
        <v>3354</v>
      </c>
      <c r="Y1332" t="s">
        <v>2677</v>
      </c>
      <c r="Z1332" t="s">
        <v>3380</v>
      </c>
      <c r="AA1332" t="s">
        <v>3406</v>
      </c>
      <c r="AB1332" t="s">
        <v>3415</v>
      </c>
      <c r="AC1332">
        <f>HYPERLINK("https://lsnyc.legalserver.org/matter/dynamic-profile/view/1876476","18-1876476")</f>
        <v>0</v>
      </c>
      <c r="AD1332" t="s">
        <v>3445</v>
      </c>
      <c r="AE1332" t="s">
        <v>3455</v>
      </c>
      <c r="AF1332" t="s">
        <v>4468</v>
      </c>
      <c r="AG1332" t="s">
        <v>3380</v>
      </c>
      <c r="AH1332" t="s">
        <v>4904</v>
      </c>
      <c r="AK1332" t="s">
        <v>4911</v>
      </c>
      <c r="AL1332" t="s">
        <v>2117</v>
      </c>
      <c r="AN1332" t="s">
        <v>3415</v>
      </c>
    </row>
    <row r="1333" spans="1:41">
      <c r="A1333" s="1" t="s">
        <v>1369</v>
      </c>
      <c r="B1333" t="s">
        <v>2016</v>
      </c>
      <c r="C1333" t="s">
        <v>2000</v>
      </c>
      <c r="D1333" t="s">
        <v>2075</v>
      </c>
      <c r="E1333" t="s">
        <v>2111</v>
      </c>
      <c r="F1333" t="s">
        <v>2117</v>
      </c>
      <c r="G1333" t="s">
        <v>2225</v>
      </c>
      <c r="H1333">
        <v>12401</v>
      </c>
      <c r="I1333" t="s">
        <v>2229</v>
      </c>
      <c r="J1333">
        <v>5</v>
      </c>
      <c r="K1333">
        <v>3</v>
      </c>
      <c r="L1333" t="s">
        <v>2260</v>
      </c>
      <c r="M1333" t="s">
        <v>2677</v>
      </c>
      <c r="P1333" t="s">
        <v>2994</v>
      </c>
      <c r="Q1333" t="s">
        <v>3255</v>
      </c>
      <c r="R1333" t="s">
        <v>3259</v>
      </c>
      <c r="S1333" t="s">
        <v>3267</v>
      </c>
      <c r="X1333" t="s">
        <v>3354</v>
      </c>
      <c r="Y1333" t="s">
        <v>2677</v>
      </c>
      <c r="Z1333" t="s">
        <v>3380</v>
      </c>
      <c r="AA1333" t="s">
        <v>3406</v>
      </c>
      <c r="AB1333" t="s">
        <v>3415</v>
      </c>
      <c r="AC1333">
        <f>HYPERLINK("https://lsnyc.legalserver.org/matter/dynamic-profile/view/1876478","18-1876478")</f>
        <v>0</v>
      </c>
      <c r="AD1333" t="s">
        <v>3445</v>
      </c>
      <c r="AE1333" t="s">
        <v>3455</v>
      </c>
      <c r="AF1333" t="s">
        <v>4469</v>
      </c>
      <c r="AG1333" t="s">
        <v>3380</v>
      </c>
      <c r="AH1333" t="s">
        <v>4904</v>
      </c>
      <c r="AI1333" t="s">
        <v>4909</v>
      </c>
      <c r="AK1333" t="s">
        <v>4911</v>
      </c>
      <c r="AL1333" t="s">
        <v>2117</v>
      </c>
      <c r="AN1333" t="s">
        <v>3415</v>
      </c>
    </row>
    <row r="1334" spans="1:41">
      <c r="A1334" s="1" t="s">
        <v>1370</v>
      </c>
      <c r="B1334" t="s">
        <v>2016</v>
      </c>
      <c r="C1334" t="s">
        <v>2016</v>
      </c>
      <c r="D1334" t="s">
        <v>2084</v>
      </c>
      <c r="E1334" t="s">
        <v>2112</v>
      </c>
      <c r="F1334" t="s">
        <v>2144</v>
      </c>
      <c r="G1334" t="s">
        <v>2214</v>
      </c>
      <c r="H1334">
        <v>11208</v>
      </c>
      <c r="I1334" t="s">
        <v>2230</v>
      </c>
      <c r="J1334">
        <v>3</v>
      </c>
      <c r="K1334">
        <v>2</v>
      </c>
      <c r="L1334" t="s">
        <v>2534</v>
      </c>
      <c r="M1334" t="s">
        <v>2677</v>
      </c>
      <c r="P1334" t="s">
        <v>2995</v>
      </c>
      <c r="Q1334" t="s">
        <v>2113</v>
      </c>
      <c r="R1334" t="s">
        <v>3259</v>
      </c>
      <c r="S1334" t="s">
        <v>3267</v>
      </c>
      <c r="T1334" t="s">
        <v>3295</v>
      </c>
      <c r="X1334" t="s">
        <v>3354</v>
      </c>
      <c r="Y1334" t="s">
        <v>2678</v>
      </c>
      <c r="Z1334" t="s">
        <v>3359</v>
      </c>
      <c r="AA1334" t="s">
        <v>3406</v>
      </c>
      <c r="AB1334" t="s">
        <v>3415</v>
      </c>
      <c r="AC1334">
        <f>HYPERLINK("https://lsnyc.legalserver.org/matter/dynamic-profile/view/1876213","18-1876213")</f>
        <v>0</v>
      </c>
      <c r="AD1334" t="s">
        <v>3446</v>
      </c>
      <c r="AE1334" t="s">
        <v>3481</v>
      </c>
      <c r="AF1334" t="s">
        <v>4470</v>
      </c>
      <c r="AG1334" t="s">
        <v>3359</v>
      </c>
      <c r="AH1334" t="s">
        <v>4906</v>
      </c>
      <c r="AK1334" t="s">
        <v>4911</v>
      </c>
      <c r="AL1334" t="s">
        <v>2144</v>
      </c>
      <c r="AM1334" t="s">
        <v>3295</v>
      </c>
      <c r="AN1334" t="s">
        <v>3415</v>
      </c>
    </row>
    <row r="1335" spans="1:41">
      <c r="A1335" s="1" t="s">
        <v>1371</v>
      </c>
      <c r="B1335" t="s">
        <v>2000</v>
      </c>
      <c r="C1335" t="s">
        <v>2017</v>
      </c>
      <c r="D1335" t="s">
        <v>2056</v>
      </c>
      <c r="E1335" t="s">
        <v>2112</v>
      </c>
      <c r="F1335" t="s">
        <v>2160</v>
      </c>
      <c r="G1335" t="s">
        <v>2216</v>
      </c>
      <c r="H1335">
        <v>10314</v>
      </c>
      <c r="I1335" t="s">
        <v>2229</v>
      </c>
      <c r="J1335">
        <v>5</v>
      </c>
      <c r="K1335">
        <v>2</v>
      </c>
      <c r="L1335" t="s">
        <v>2266</v>
      </c>
      <c r="M1335" t="s">
        <v>2677</v>
      </c>
      <c r="P1335" t="s">
        <v>2996</v>
      </c>
      <c r="Q1335" t="s">
        <v>2113</v>
      </c>
      <c r="R1335" t="s">
        <v>3259</v>
      </c>
      <c r="S1335" t="s">
        <v>3268</v>
      </c>
      <c r="X1335" t="s">
        <v>3354</v>
      </c>
      <c r="Y1335" t="s">
        <v>2678</v>
      </c>
      <c r="Z1335" t="s">
        <v>3368</v>
      </c>
      <c r="AA1335" t="s">
        <v>3406</v>
      </c>
      <c r="AB1335" t="s">
        <v>3416</v>
      </c>
      <c r="AC1335">
        <f>HYPERLINK("https://lsnyc.legalserver.org/matter/dynamic-profile/view/1867188","18-1867188")</f>
        <v>0</v>
      </c>
      <c r="AD1335" t="s">
        <v>3447</v>
      </c>
      <c r="AE1335" t="s">
        <v>3458</v>
      </c>
      <c r="AF1335" t="s">
        <v>4471</v>
      </c>
      <c r="AG1335" t="s">
        <v>3368</v>
      </c>
      <c r="AH1335" t="s">
        <v>4904</v>
      </c>
      <c r="AK1335" t="s">
        <v>4911</v>
      </c>
      <c r="AL1335" t="s">
        <v>2160</v>
      </c>
      <c r="AN1335" t="s">
        <v>3416</v>
      </c>
    </row>
    <row r="1336" spans="1:41">
      <c r="A1336" s="1" t="s">
        <v>1372</v>
      </c>
      <c r="B1336" t="s">
        <v>2001</v>
      </c>
      <c r="C1336" t="s">
        <v>2000</v>
      </c>
      <c r="D1336" t="s">
        <v>2096</v>
      </c>
      <c r="E1336" t="s">
        <v>2112</v>
      </c>
      <c r="F1336" t="s">
        <v>2116</v>
      </c>
      <c r="G1336" t="s">
        <v>2213</v>
      </c>
      <c r="H1336">
        <v>10454</v>
      </c>
      <c r="I1336" t="s">
        <v>2229</v>
      </c>
      <c r="J1336">
        <v>5</v>
      </c>
      <c r="K1336">
        <v>4</v>
      </c>
      <c r="L1336" t="s">
        <v>2535</v>
      </c>
      <c r="M1336" t="s">
        <v>2677</v>
      </c>
      <c r="P1336" t="s">
        <v>2997</v>
      </c>
      <c r="Q1336" t="s">
        <v>2113</v>
      </c>
      <c r="R1336" t="s">
        <v>3259</v>
      </c>
      <c r="S1336" t="s">
        <v>3264</v>
      </c>
      <c r="X1336" t="s">
        <v>3354</v>
      </c>
      <c r="Y1336" t="s">
        <v>2677</v>
      </c>
      <c r="Z1336" t="s">
        <v>3357</v>
      </c>
      <c r="AA1336" t="s">
        <v>3406</v>
      </c>
      <c r="AB1336" t="s">
        <v>3412</v>
      </c>
      <c r="AC1336">
        <f>HYPERLINK("https://lsnyc.legalserver.org/matter/dynamic-profile/view/1875589","18-1875589")</f>
        <v>0</v>
      </c>
      <c r="AD1336" t="s">
        <v>3445</v>
      </c>
      <c r="AE1336" t="s">
        <v>3452</v>
      </c>
      <c r="AF1336" t="s">
        <v>4472</v>
      </c>
      <c r="AG1336" t="s">
        <v>3357</v>
      </c>
      <c r="AH1336" t="s">
        <v>4904</v>
      </c>
      <c r="AK1336" t="s">
        <v>4911</v>
      </c>
      <c r="AL1336" t="s">
        <v>2116</v>
      </c>
      <c r="AN1336" t="s">
        <v>3412</v>
      </c>
    </row>
    <row r="1337" spans="1:41">
      <c r="A1337" s="1" t="s">
        <v>1373</v>
      </c>
      <c r="B1337" t="s">
        <v>1998</v>
      </c>
      <c r="C1337" t="s">
        <v>2012</v>
      </c>
      <c r="D1337" t="s">
        <v>2034</v>
      </c>
      <c r="E1337" t="s">
        <v>2112</v>
      </c>
      <c r="F1337" t="s">
        <v>2122</v>
      </c>
      <c r="G1337" t="s">
        <v>2214</v>
      </c>
      <c r="H1337">
        <v>11237</v>
      </c>
      <c r="I1337" t="s">
        <v>2230</v>
      </c>
      <c r="J1337">
        <v>2</v>
      </c>
      <c r="K1337">
        <v>0</v>
      </c>
      <c r="L1337" t="s">
        <v>2288</v>
      </c>
      <c r="M1337" t="s">
        <v>2677</v>
      </c>
      <c r="P1337" t="s">
        <v>2998</v>
      </c>
      <c r="Q1337" t="s">
        <v>2113</v>
      </c>
      <c r="R1337" t="s">
        <v>3258</v>
      </c>
      <c r="S1337" t="s">
        <v>3271</v>
      </c>
      <c r="X1337" t="s">
        <v>3354</v>
      </c>
      <c r="Y1337" t="s">
        <v>2677</v>
      </c>
      <c r="Z1337" t="s">
        <v>3362</v>
      </c>
      <c r="AA1337" t="s">
        <v>3406</v>
      </c>
      <c r="AB1337" t="s">
        <v>3419</v>
      </c>
      <c r="AC1337">
        <f>HYPERLINK("https://lsnyc.legalserver.org/matter/dynamic-profile/view/1875528","18-1875528")</f>
        <v>0</v>
      </c>
      <c r="AD1337" t="s">
        <v>3445</v>
      </c>
      <c r="AE1337" t="s">
        <v>3452</v>
      </c>
      <c r="AF1337" t="s">
        <v>4473</v>
      </c>
      <c r="AG1337" t="s">
        <v>3362</v>
      </c>
      <c r="AH1337" t="s">
        <v>4904</v>
      </c>
      <c r="AK1337" t="s">
        <v>4911</v>
      </c>
      <c r="AL1337" t="s">
        <v>2122</v>
      </c>
      <c r="AN1337" t="s">
        <v>3419</v>
      </c>
    </row>
    <row r="1338" spans="1:41">
      <c r="A1338" s="1" t="s">
        <v>1374</v>
      </c>
      <c r="B1338" t="s">
        <v>2012</v>
      </c>
      <c r="C1338" t="s">
        <v>1998</v>
      </c>
      <c r="D1338" t="s">
        <v>2028</v>
      </c>
      <c r="E1338" t="s">
        <v>2112</v>
      </c>
      <c r="F1338" t="s">
        <v>2123</v>
      </c>
      <c r="G1338" t="s">
        <v>2211</v>
      </c>
      <c r="H1338">
        <v>10027</v>
      </c>
      <c r="I1338" t="s">
        <v>2230</v>
      </c>
      <c r="J1338">
        <v>3</v>
      </c>
      <c r="K1338">
        <v>2</v>
      </c>
      <c r="L1338" t="s">
        <v>2536</v>
      </c>
      <c r="M1338" t="s">
        <v>2677</v>
      </c>
      <c r="P1338" t="s">
        <v>2999</v>
      </c>
      <c r="Q1338" t="s">
        <v>2113</v>
      </c>
      <c r="R1338" t="s">
        <v>3258</v>
      </c>
      <c r="S1338" t="s">
        <v>3271</v>
      </c>
      <c r="T1338" t="s">
        <v>3294</v>
      </c>
      <c r="U1338" t="s">
        <v>2766</v>
      </c>
      <c r="V1338" t="s">
        <v>3352</v>
      </c>
      <c r="X1338" t="s">
        <v>3354</v>
      </c>
      <c r="Y1338" t="s">
        <v>2677</v>
      </c>
      <c r="Z1338" t="s">
        <v>3362</v>
      </c>
      <c r="AA1338" t="s">
        <v>3406</v>
      </c>
      <c r="AB1338" t="s">
        <v>3419</v>
      </c>
      <c r="AC1338">
        <f>HYPERLINK("https://lsnyc.legalserver.org/matter/dynamic-profile/view/1875377","18-1875377")</f>
        <v>0</v>
      </c>
      <c r="AD1338" t="s">
        <v>3445</v>
      </c>
      <c r="AE1338" t="s">
        <v>3452</v>
      </c>
      <c r="AF1338" t="s">
        <v>4415</v>
      </c>
      <c r="AG1338" t="s">
        <v>3362</v>
      </c>
      <c r="AH1338" t="s">
        <v>4904</v>
      </c>
      <c r="AK1338" t="s">
        <v>4911</v>
      </c>
      <c r="AL1338" t="s">
        <v>2123</v>
      </c>
      <c r="AM1338" t="s">
        <v>3294</v>
      </c>
      <c r="AN1338" t="s">
        <v>3419</v>
      </c>
      <c r="AO1338" t="s">
        <v>3352</v>
      </c>
    </row>
    <row r="1339" spans="1:41">
      <c r="A1339" s="1" t="s">
        <v>1375</v>
      </c>
      <c r="B1339" t="s">
        <v>1998</v>
      </c>
      <c r="C1339" t="s">
        <v>2012</v>
      </c>
      <c r="D1339" t="s">
        <v>2031</v>
      </c>
      <c r="E1339" t="s">
        <v>2111</v>
      </c>
      <c r="F1339" t="s">
        <v>2169</v>
      </c>
      <c r="G1339" t="s">
        <v>2213</v>
      </c>
      <c r="H1339">
        <v>10472</v>
      </c>
      <c r="I1339" t="s">
        <v>2230</v>
      </c>
      <c r="J1339">
        <v>2</v>
      </c>
      <c r="K1339">
        <v>0</v>
      </c>
      <c r="L1339" t="s">
        <v>2277</v>
      </c>
      <c r="M1339" t="s">
        <v>2677</v>
      </c>
      <c r="P1339" t="s">
        <v>2999</v>
      </c>
      <c r="Q1339" t="s">
        <v>2113</v>
      </c>
      <c r="R1339" t="s">
        <v>3259</v>
      </c>
      <c r="S1339" t="s">
        <v>3270</v>
      </c>
      <c r="X1339" t="s">
        <v>3354</v>
      </c>
      <c r="Y1339" t="s">
        <v>2677</v>
      </c>
      <c r="Z1339" t="s">
        <v>3362</v>
      </c>
      <c r="AA1339" t="s">
        <v>3406</v>
      </c>
      <c r="AB1339" t="s">
        <v>3418</v>
      </c>
      <c r="AC1339">
        <f>HYPERLINK("https://lsnyc.legalserver.org/matter/dynamic-profile/view/1875403","18-1875403")</f>
        <v>0</v>
      </c>
      <c r="AD1339" t="s">
        <v>3445</v>
      </c>
      <c r="AE1339" t="s">
        <v>3455</v>
      </c>
      <c r="AF1339" t="s">
        <v>4474</v>
      </c>
      <c r="AG1339" t="s">
        <v>3362</v>
      </c>
      <c r="AH1339" t="s">
        <v>4904</v>
      </c>
      <c r="AK1339" t="s">
        <v>4911</v>
      </c>
      <c r="AL1339" t="s">
        <v>2169</v>
      </c>
      <c r="AN1339" t="s">
        <v>3418</v>
      </c>
    </row>
    <row r="1340" spans="1:41">
      <c r="A1340" s="1" t="s">
        <v>1376</v>
      </c>
      <c r="B1340" t="s">
        <v>2016</v>
      </c>
      <c r="C1340" t="s">
        <v>2005</v>
      </c>
      <c r="D1340" t="s">
        <v>2080</v>
      </c>
      <c r="E1340" t="s">
        <v>2111</v>
      </c>
      <c r="F1340" t="s">
        <v>2129</v>
      </c>
      <c r="G1340" t="s">
        <v>2214</v>
      </c>
      <c r="H1340">
        <v>11229</v>
      </c>
      <c r="I1340" t="s">
        <v>2232</v>
      </c>
      <c r="J1340">
        <v>1</v>
      </c>
      <c r="K1340">
        <v>0</v>
      </c>
      <c r="L1340" t="s">
        <v>2285</v>
      </c>
      <c r="M1340" t="s">
        <v>2677</v>
      </c>
      <c r="P1340" t="s">
        <v>3000</v>
      </c>
      <c r="Q1340" t="s">
        <v>2113</v>
      </c>
      <c r="R1340" t="s">
        <v>3259</v>
      </c>
      <c r="S1340" t="s">
        <v>3268</v>
      </c>
      <c r="X1340" t="s">
        <v>3354</v>
      </c>
      <c r="Y1340" t="s">
        <v>2677</v>
      </c>
      <c r="Z1340" t="s">
        <v>3368</v>
      </c>
      <c r="AA1340" t="s">
        <v>3406</v>
      </c>
      <c r="AB1340" t="s">
        <v>3416</v>
      </c>
      <c r="AC1340">
        <f>HYPERLINK("https://lsnyc.legalserver.org/matter/dynamic-profile/view/1875259","18-1875259")</f>
        <v>0</v>
      </c>
      <c r="AD1340" t="s">
        <v>3445</v>
      </c>
      <c r="AE1340" t="s">
        <v>3455</v>
      </c>
      <c r="AF1340" t="s">
        <v>4475</v>
      </c>
      <c r="AG1340" t="s">
        <v>3368</v>
      </c>
      <c r="AH1340" t="s">
        <v>4904</v>
      </c>
      <c r="AK1340" t="s">
        <v>4911</v>
      </c>
      <c r="AL1340" t="s">
        <v>2129</v>
      </c>
      <c r="AN1340" t="s">
        <v>3416</v>
      </c>
    </row>
    <row r="1341" spans="1:41">
      <c r="A1341" s="1" t="s">
        <v>1377</v>
      </c>
      <c r="B1341" t="s">
        <v>2001</v>
      </c>
      <c r="C1341" t="s">
        <v>2000</v>
      </c>
      <c r="D1341" t="s">
        <v>2086</v>
      </c>
      <c r="E1341" t="s">
        <v>2112</v>
      </c>
      <c r="F1341" t="s">
        <v>2117</v>
      </c>
      <c r="G1341" t="s">
        <v>2213</v>
      </c>
      <c r="H1341">
        <v>10467</v>
      </c>
      <c r="I1341" t="s">
        <v>2229</v>
      </c>
      <c r="J1341">
        <v>4</v>
      </c>
      <c r="K1341">
        <v>1</v>
      </c>
      <c r="L1341" t="s">
        <v>2537</v>
      </c>
      <c r="M1341" t="s">
        <v>2677</v>
      </c>
      <c r="P1341" t="s">
        <v>3000</v>
      </c>
      <c r="Q1341" t="s">
        <v>2113</v>
      </c>
      <c r="R1341" t="s">
        <v>3258</v>
      </c>
      <c r="S1341" t="s">
        <v>3271</v>
      </c>
      <c r="X1341" t="s">
        <v>3354</v>
      </c>
      <c r="Y1341" t="s">
        <v>2677</v>
      </c>
      <c r="Z1341" t="s">
        <v>3362</v>
      </c>
      <c r="AA1341" t="s">
        <v>3406</v>
      </c>
      <c r="AB1341" t="s">
        <v>3419</v>
      </c>
      <c r="AC1341">
        <f>HYPERLINK("https://lsnyc.legalserver.org/matter/dynamic-profile/view/1875267","18-1875267")</f>
        <v>0</v>
      </c>
      <c r="AD1341" t="s">
        <v>3445</v>
      </c>
      <c r="AE1341" t="s">
        <v>3455</v>
      </c>
      <c r="AF1341" t="s">
        <v>4476</v>
      </c>
      <c r="AG1341" t="s">
        <v>3362</v>
      </c>
      <c r="AH1341" t="s">
        <v>4904</v>
      </c>
      <c r="AK1341" t="s">
        <v>4911</v>
      </c>
      <c r="AL1341" t="s">
        <v>2117</v>
      </c>
      <c r="AN1341" t="s">
        <v>3419</v>
      </c>
    </row>
    <row r="1342" spans="1:41">
      <c r="A1342" s="1" t="s">
        <v>1378</v>
      </c>
      <c r="B1342" t="s">
        <v>2016</v>
      </c>
      <c r="C1342" t="s">
        <v>2016</v>
      </c>
      <c r="D1342" t="s">
        <v>2045</v>
      </c>
      <c r="E1342" t="s">
        <v>2112</v>
      </c>
      <c r="F1342" t="s">
        <v>2123</v>
      </c>
      <c r="G1342" t="s">
        <v>2213</v>
      </c>
      <c r="H1342">
        <v>10459</v>
      </c>
      <c r="I1342" t="s">
        <v>2229</v>
      </c>
      <c r="J1342">
        <v>3</v>
      </c>
      <c r="K1342">
        <v>1</v>
      </c>
      <c r="L1342" t="s">
        <v>2538</v>
      </c>
      <c r="M1342" t="s">
        <v>2677</v>
      </c>
      <c r="P1342" t="s">
        <v>3000</v>
      </c>
      <c r="Q1342" t="s">
        <v>2113</v>
      </c>
      <c r="R1342" t="s">
        <v>3259</v>
      </c>
      <c r="S1342" t="s">
        <v>3270</v>
      </c>
      <c r="X1342" t="s">
        <v>3354</v>
      </c>
      <c r="Y1342" t="s">
        <v>2677</v>
      </c>
      <c r="Z1342" t="s">
        <v>3362</v>
      </c>
      <c r="AA1342" t="s">
        <v>3406</v>
      </c>
      <c r="AB1342" t="s">
        <v>3418</v>
      </c>
      <c r="AC1342">
        <f>HYPERLINK("https://lsnyc.legalserver.org/matter/dynamic-profile/view/1875282","18-1875282")</f>
        <v>0</v>
      </c>
      <c r="AD1342" t="s">
        <v>3445</v>
      </c>
      <c r="AE1342" t="s">
        <v>3455</v>
      </c>
      <c r="AF1342" t="s">
        <v>4477</v>
      </c>
      <c r="AG1342" t="s">
        <v>3362</v>
      </c>
      <c r="AH1342" t="s">
        <v>4904</v>
      </c>
      <c r="AK1342" t="s">
        <v>4911</v>
      </c>
      <c r="AL1342" t="s">
        <v>2123</v>
      </c>
      <c r="AN1342" t="s">
        <v>3418</v>
      </c>
    </row>
    <row r="1343" spans="1:41">
      <c r="A1343" s="1" t="s">
        <v>1379</v>
      </c>
      <c r="B1343" t="s">
        <v>2001</v>
      </c>
      <c r="C1343" t="s">
        <v>1998</v>
      </c>
      <c r="D1343" t="s">
        <v>2051</v>
      </c>
      <c r="E1343" t="s">
        <v>2111</v>
      </c>
      <c r="F1343" t="s">
        <v>2131</v>
      </c>
      <c r="G1343" t="s">
        <v>2214</v>
      </c>
      <c r="H1343">
        <v>11204</v>
      </c>
      <c r="I1343" t="s">
        <v>2229</v>
      </c>
      <c r="J1343">
        <v>1</v>
      </c>
      <c r="K1343">
        <v>0</v>
      </c>
      <c r="L1343" t="s">
        <v>2260</v>
      </c>
      <c r="M1343" t="s">
        <v>2677</v>
      </c>
      <c r="P1343" t="s">
        <v>3001</v>
      </c>
      <c r="Q1343" t="s">
        <v>2113</v>
      </c>
      <c r="R1343" t="s">
        <v>3259</v>
      </c>
      <c r="S1343" t="s">
        <v>3268</v>
      </c>
      <c r="T1343" t="s">
        <v>3294</v>
      </c>
      <c r="U1343" t="s">
        <v>2844</v>
      </c>
      <c r="V1343" t="s">
        <v>3352</v>
      </c>
      <c r="X1343" t="s">
        <v>3354</v>
      </c>
      <c r="Y1343" t="s">
        <v>2678</v>
      </c>
      <c r="Z1343" t="s">
        <v>3368</v>
      </c>
      <c r="AA1343" t="s">
        <v>3406</v>
      </c>
      <c r="AB1343" t="s">
        <v>3416</v>
      </c>
      <c r="AC1343">
        <f>HYPERLINK("https://lsnyc.legalserver.org/matter/dynamic-profile/view/1875135","18-1875135")</f>
        <v>0</v>
      </c>
      <c r="AD1343" t="s">
        <v>3446</v>
      </c>
      <c r="AE1343" t="s">
        <v>3465</v>
      </c>
      <c r="AF1343" t="s">
        <v>4478</v>
      </c>
      <c r="AG1343" t="s">
        <v>3368</v>
      </c>
      <c r="AH1343" t="s">
        <v>4904</v>
      </c>
      <c r="AK1343" t="s">
        <v>4911</v>
      </c>
      <c r="AL1343" t="s">
        <v>2131</v>
      </c>
      <c r="AM1343" t="s">
        <v>3294</v>
      </c>
      <c r="AN1343" t="s">
        <v>3416</v>
      </c>
      <c r="AO1343" t="s">
        <v>3352</v>
      </c>
    </row>
    <row r="1344" spans="1:41">
      <c r="A1344" s="1" t="s">
        <v>1380</v>
      </c>
      <c r="B1344" t="s">
        <v>2016</v>
      </c>
      <c r="C1344" t="s">
        <v>2012</v>
      </c>
      <c r="D1344" t="s">
        <v>2084</v>
      </c>
      <c r="E1344" t="s">
        <v>2112</v>
      </c>
      <c r="F1344" t="s">
        <v>2116</v>
      </c>
      <c r="G1344" t="s">
        <v>2213</v>
      </c>
      <c r="H1344">
        <v>10454</v>
      </c>
      <c r="I1344" t="s">
        <v>2229</v>
      </c>
      <c r="J1344">
        <v>5</v>
      </c>
      <c r="K1344">
        <v>3</v>
      </c>
      <c r="L1344" t="s">
        <v>2294</v>
      </c>
      <c r="M1344" t="s">
        <v>2677</v>
      </c>
      <c r="P1344" t="s">
        <v>2842</v>
      </c>
      <c r="Q1344" t="s">
        <v>2113</v>
      </c>
      <c r="R1344" t="s">
        <v>3259</v>
      </c>
      <c r="S1344" t="s">
        <v>3267</v>
      </c>
      <c r="T1344" t="s">
        <v>3294</v>
      </c>
      <c r="U1344" t="s">
        <v>3305</v>
      </c>
      <c r="X1344" t="s">
        <v>3354</v>
      </c>
      <c r="Y1344" t="s">
        <v>2678</v>
      </c>
      <c r="Z1344" t="s">
        <v>3391</v>
      </c>
      <c r="AA1344" t="s">
        <v>3406</v>
      </c>
      <c r="AB1344" t="s">
        <v>3415</v>
      </c>
      <c r="AC1344">
        <f>HYPERLINK("https://lsnyc.legalserver.org/matter/dynamic-profile/view/1874967","18-1874967")</f>
        <v>0</v>
      </c>
      <c r="AD1344" t="s">
        <v>3444</v>
      </c>
      <c r="AE1344" t="s">
        <v>3451</v>
      </c>
      <c r="AF1344" t="s">
        <v>4324</v>
      </c>
      <c r="AG1344" t="s">
        <v>3391</v>
      </c>
      <c r="AH1344" t="s">
        <v>4906</v>
      </c>
      <c r="AK1344" t="s">
        <v>4911</v>
      </c>
      <c r="AL1344" t="s">
        <v>2116</v>
      </c>
      <c r="AM1344" t="s">
        <v>3294</v>
      </c>
      <c r="AN1344" t="s">
        <v>3415</v>
      </c>
    </row>
    <row r="1345" spans="1:41">
      <c r="A1345" s="1" t="s">
        <v>1381</v>
      </c>
      <c r="B1345" t="s">
        <v>1998</v>
      </c>
      <c r="C1345" t="s">
        <v>1998</v>
      </c>
      <c r="D1345" t="s">
        <v>2062</v>
      </c>
      <c r="E1345" t="s">
        <v>2112</v>
      </c>
      <c r="F1345" t="s">
        <v>2123</v>
      </c>
      <c r="G1345" t="s">
        <v>2214</v>
      </c>
      <c r="H1345">
        <v>11220</v>
      </c>
      <c r="I1345" t="s">
        <v>2229</v>
      </c>
      <c r="J1345">
        <v>1</v>
      </c>
      <c r="K1345">
        <v>0</v>
      </c>
      <c r="L1345" t="s">
        <v>2392</v>
      </c>
      <c r="M1345" t="s">
        <v>2677</v>
      </c>
      <c r="P1345" t="s">
        <v>3002</v>
      </c>
      <c r="Q1345" t="s">
        <v>3255</v>
      </c>
      <c r="R1345" t="s">
        <v>3259</v>
      </c>
      <c r="S1345" t="s">
        <v>3282</v>
      </c>
      <c r="T1345" t="s">
        <v>3294</v>
      </c>
      <c r="U1345" t="s">
        <v>2959</v>
      </c>
      <c r="V1345" t="s">
        <v>3352</v>
      </c>
      <c r="X1345" t="s">
        <v>3354</v>
      </c>
      <c r="Y1345" t="s">
        <v>2678</v>
      </c>
      <c r="Z1345" t="s">
        <v>3393</v>
      </c>
      <c r="AA1345" t="s">
        <v>3406</v>
      </c>
      <c r="AB1345" t="s">
        <v>3430</v>
      </c>
      <c r="AC1345">
        <f>HYPERLINK("https://lsnyc.legalserver.org/matter/dynamic-profile/view/1875094","18-1875094")</f>
        <v>0</v>
      </c>
      <c r="AD1345" t="s">
        <v>3446</v>
      </c>
      <c r="AE1345" t="s">
        <v>3465</v>
      </c>
      <c r="AF1345" t="s">
        <v>4479</v>
      </c>
      <c r="AG1345" t="s">
        <v>3393</v>
      </c>
      <c r="AH1345" t="s">
        <v>4904</v>
      </c>
      <c r="AK1345" t="s">
        <v>4911</v>
      </c>
      <c r="AL1345" t="s">
        <v>2123</v>
      </c>
      <c r="AM1345" t="s">
        <v>3294</v>
      </c>
      <c r="AN1345" t="s">
        <v>3430</v>
      </c>
      <c r="AO1345" t="s">
        <v>3352</v>
      </c>
    </row>
    <row r="1346" spans="1:41">
      <c r="A1346" s="1" t="s">
        <v>1382</v>
      </c>
      <c r="B1346" t="s">
        <v>2012</v>
      </c>
      <c r="C1346" t="s">
        <v>2016</v>
      </c>
      <c r="D1346" t="s">
        <v>2049</v>
      </c>
      <c r="E1346" t="s">
        <v>2112</v>
      </c>
      <c r="F1346" t="s">
        <v>2136</v>
      </c>
      <c r="G1346" t="s">
        <v>2211</v>
      </c>
      <c r="H1346">
        <v>10033</v>
      </c>
      <c r="I1346" t="s">
        <v>2230</v>
      </c>
      <c r="J1346">
        <v>2</v>
      </c>
      <c r="K1346">
        <v>0</v>
      </c>
      <c r="L1346" t="s">
        <v>2275</v>
      </c>
      <c r="M1346" t="s">
        <v>2677</v>
      </c>
      <c r="P1346" t="s">
        <v>3003</v>
      </c>
      <c r="Q1346" t="s">
        <v>2113</v>
      </c>
      <c r="R1346" t="s">
        <v>3258</v>
      </c>
      <c r="S1346" t="s">
        <v>3273</v>
      </c>
      <c r="X1346" t="s">
        <v>3354</v>
      </c>
      <c r="Y1346" t="s">
        <v>2678</v>
      </c>
      <c r="Z1346" t="s">
        <v>3402</v>
      </c>
      <c r="AA1346" t="s">
        <v>3406</v>
      </c>
      <c r="AB1346" t="s">
        <v>3421</v>
      </c>
      <c r="AC1346">
        <f>HYPERLINK("https://lsnyc.legalserver.org/matter/dynamic-profile/view/1874908","18-1874908")</f>
        <v>0</v>
      </c>
      <c r="AD1346" t="s">
        <v>3442</v>
      </c>
      <c r="AE1346" t="s">
        <v>3448</v>
      </c>
      <c r="AF1346" t="s">
        <v>4480</v>
      </c>
      <c r="AG1346" t="s">
        <v>3402</v>
      </c>
      <c r="AH1346" t="s">
        <v>4906</v>
      </c>
      <c r="AK1346" t="s">
        <v>4911</v>
      </c>
      <c r="AL1346" t="s">
        <v>2136</v>
      </c>
      <c r="AN1346" t="s">
        <v>3421</v>
      </c>
    </row>
    <row r="1347" spans="1:41">
      <c r="A1347" s="1" t="s">
        <v>1383</v>
      </c>
      <c r="B1347" t="s">
        <v>1999</v>
      </c>
      <c r="C1347" t="s">
        <v>2002</v>
      </c>
      <c r="D1347" t="s">
        <v>2029</v>
      </c>
      <c r="E1347" t="s">
        <v>2112</v>
      </c>
      <c r="F1347" t="s">
        <v>2116</v>
      </c>
      <c r="G1347" t="s">
        <v>2213</v>
      </c>
      <c r="H1347">
        <v>10453</v>
      </c>
      <c r="I1347" t="s">
        <v>2229</v>
      </c>
      <c r="J1347">
        <v>2</v>
      </c>
      <c r="K1347">
        <v>1</v>
      </c>
      <c r="L1347" t="s">
        <v>2272</v>
      </c>
      <c r="M1347" t="s">
        <v>2677</v>
      </c>
      <c r="P1347" t="s">
        <v>3003</v>
      </c>
      <c r="Q1347" t="s">
        <v>2113</v>
      </c>
      <c r="R1347" t="s">
        <v>3259</v>
      </c>
      <c r="S1347" t="s">
        <v>3287</v>
      </c>
      <c r="X1347" t="s">
        <v>3354</v>
      </c>
      <c r="Y1347" t="s">
        <v>2677</v>
      </c>
      <c r="Z1347" t="s">
        <v>3378</v>
      </c>
      <c r="AA1347" t="s">
        <v>3406</v>
      </c>
      <c r="AB1347" t="s">
        <v>3435</v>
      </c>
      <c r="AC1347">
        <f>HYPERLINK("https://lsnyc.legalserver.org/matter/dynamic-profile/view/1874928","18-1874928")</f>
        <v>0</v>
      </c>
      <c r="AD1347" t="s">
        <v>3445</v>
      </c>
      <c r="AE1347" t="s">
        <v>3455</v>
      </c>
      <c r="AF1347" t="s">
        <v>4481</v>
      </c>
      <c r="AG1347" t="s">
        <v>3378</v>
      </c>
      <c r="AH1347" t="s">
        <v>4904</v>
      </c>
      <c r="AK1347" t="s">
        <v>4911</v>
      </c>
      <c r="AL1347" t="s">
        <v>2116</v>
      </c>
      <c r="AN1347" t="s">
        <v>3435</v>
      </c>
    </row>
    <row r="1348" spans="1:41">
      <c r="A1348" s="1" t="s">
        <v>1384</v>
      </c>
      <c r="B1348" t="s">
        <v>2001</v>
      </c>
      <c r="C1348" t="s">
        <v>2005</v>
      </c>
      <c r="D1348" t="s">
        <v>2060</v>
      </c>
      <c r="E1348" t="s">
        <v>2112</v>
      </c>
      <c r="F1348" t="s">
        <v>2120</v>
      </c>
      <c r="G1348" t="s">
        <v>2213</v>
      </c>
      <c r="H1348">
        <v>10453</v>
      </c>
      <c r="I1348" t="s">
        <v>2230</v>
      </c>
      <c r="J1348">
        <v>3</v>
      </c>
      <c r="K1348">
        <v>1</v>
      </c>
      <c r="L1348" t="s">
        <v>2275</v>
      </c>
      <c r="M1348" t="s">
        <v>2677</v>
      </c>
      <c r="P1348" t="s">
        <v>3003</v>
      </c>
      <c r="Q1348" t="s">
        <v>3255</v>
      </c>
      <c r="R1348" t="s">
        <v>3258</v>
      </c>
      <c r="S1348" t="s">
        <v>3273</v>
      </c>
      <c r="X1348" t="s">
        <v>3354</v>
      </c>
      <c r="Y1348" t="s">
        <v>2678</v>
      </c>
      <c r="Z1348" t="s">
        <v>3365</v>
      </c>
      <c r="AA1348" t="s">
        <v>3406</v>
      </c>
      <c r="AB1348" t="s">
        <v>3421</v>
      </c>
      <c r="AC1348">
        <f>HYPERLINK("https://lsnyc.legalserver.org/matter/dynamic-profile/view/1874959","18-1874959")</f>
        <v>0</v>
      </c>
      <c r="AD1348" t="s">
        <v>3444</v>
      </c>
      <c r="AE1348" t="s">
        <v>3466</v>
      </c>
      <c r="AF1348" t="s">
        <v>4482</v>
      </c>
      <c r="AG1348" t="s">
        <v>3365</v>
      </c>
      <c r="AH1348" t="s">
        <v>4904</v>
      </c>
      <c r="AI1348" t="s">
        <v>4909</v>
      </c>
      <c r="AL1348" t="s">
        <v>2120</v>
      </c>
      <c r="AN1348" t="s">
        <v>3421</v>
      </c>
    </row>
    <row r="1349" spans="1:41">
      <c r="A1349" s="1" t="s">
        <v>1385</v>
      </c>
      <c r="B1349" t="s">
        <v>2011</v>
      </c>
      <c r="C1349" t="s">
        <v>1998</v>
      </c>
      <c r="D1349" t="s">
        <v>2032</v>
      </c>
      <c r="E1349" t="s">
        <v>2112</v>
      </c>
      <c r="F1349" t="s">
        <v>2122</v>
      </c>
      <c r="G1349" t="s">
        <v>2212</v>
      </c>
      <c r="H1349">
        <v>11417</v>
      </c>
      <c r="I1349" t="s">
        <v>2230</v>
      </c>
      <c r="J1349">
        <v>3</v>
      </c>
      <c r="K1349">
        <v>2</v>
      </c>
      <c r="L1349" t="s">
        <v>2539</v>
      </c>
      <c r="M1349" t="s">
        <v>2677</v>
      </c>
      <c r="P1349" t="s">
        <v>3004</v>
      </c>
      <c r="Q1349" t="s">
        <v>2113</v>
      </c>
      <c r="R1349" t="s">
        <v>3258</v>
      </c>
      <c r="S1349" t="s">
        <v>3271</v>
      </c>
      <c r="X1349" t="s">
        <v>3354</v>
      </c>
      <c r="Y1349" t="s">
        <v>2677</v>
      </c>
      <c r="Z1349" t="s">
        <v>3362</v>
      </c>
      <c r="AA1349" t="s">
        <v>3406</v>
      </c>
      <c r="AB1349" t="s">
        <v>3419</v>
      </c>
      <c r="AC1349">
        <f>HYPERLINK("https://lsnyc.legalserver.org/matter/dynamic-profile/view/1874786","18-1874786")</f>
        <v>0</v>
      </c>
      <c r="AD1349" t="s">
        <v>3445</v>
      </c>
      <c r="AE1349" t="s">
        <v>3455</v>
      </c>
      <c r="AF1349" t="s">
        <v>4483</v>
      </c>
      <c r="AG1349" t="s">
        <v>3362</v>
      </c>
      <c r="AH1349" t="s">
        <v>4904</v>
      </c>
      <c r="AK1349" t="s">
        <v>4911</v>
      </c>
      <c r="AL1349" t="s">
        <v>2122</v>
      </c>
      <c r="AN1349" t="s">
        <v>3419</v>
      </c>
    </row>
    <row r="1350" spans="1:41">
      <c r="A1350" s="1" t="s">
        <v>1386</v>
      </c>
      <c r="B1350" t="s">
        <v>2004</v>
      </c>
      <c r="C1350" t="s">
        <v>1998</v>
      </c>
      <c r="D1350" t="s">
        <v>2079</v>
      </c>
      <c r="E1350" t="s">
        <v>2112</v>
      </c>
      <c r="F1350" t="s">
        <v>2122</v>
      </c>
      <c r="G1350" t="s">
        <v>2212</v>
      </c>
      <c r="H1350">
        <v>11421</v>
      </c>
      <c r="I1350" t="s">
        <v>2230</v>
      </c>
      <c r="J1350">
        <v>4</v>
      </c>
      <c r="K1350">
        <v>1</v>
      </c>
      <c r="L1350" t="s">
        <v>2300</v>
      </c>
      <c r="M1350" t="s">
        <v>2677</v>
      </c>
      <c r="P1350" t="s">
        <v>3004</v>
      </c>
      <c r="Q1350" t="s">
        <v>2113</v>
      </c>
      <c r="R1350" t="s">
        <v>3259</v>
      </c>
      <c r="S1350" t="s">
        <v>3264</v>
      </c>
      <c r="X1350" t="s">
        <v>3354</v>
      </c>
      <c r="Y1350" t="s">
        <v>2677</v>
      </c>
      <c r="Z1350" t="s">
        <v>3357</v>
      </c>
      <c r="AA1350" t="s">
        <v>3406</v>
      </c>
      <c r="AB1350" t="s">
        <v>3412</v>
      </c>
      <c r="AC1350">
        <f>HYPERLINK("https://lsnyc.legalserver.org/matter/dynamic-profile/view/1874804","18-1874804")</f>
        <v>0</v>
      </c>
      <c r="AD1350" t="s">
        <v>3445</v>
      </c>
      <c r="AE1350" t="s">
        <v>3455</v>
      </c>
      <c r="AF1350" t="s">
        <v>4484</v>
      </c>
      <c r="AG1350" t="s">
        <v>3357</v>
      </c>
      <c r="AH1350" t="s">
        <v>4904</v>
      </c>
      <c r="AK1350" t="s">
        <v>4911</v>
      </c>
      <c r="AL1350" t="s">
        <v>2122</v>
      </c>
      <c r="AN1350" t="s">
        <v>3412</v>
      </c>
    </row>
    <row r="1351" spans="1:41">
      <c r="A1351" s="1" t="s">
        <v>1387</v>
      </c>
      <c r="B1351" t="s">
        <v>1998</v>
      </c>
      <c r="C1351" t="s">
        <v>1998</v>
      </c>
      <c r="D1351" t="s">
        <v>2034</v>
      </c>
      <c r="E1351" t="s">
        <v>2111</v>
      </c>
      <c r="F1351" t="s">
        <v>2121</v>
      </c>
      <c r="G1351" t="s">
        <v>2212</v>
      </c>
      <c r="H1351">
        <v>11435</v>
      </c>
      <c r="I1351" t="s">
        <v>2230</v>
      </c>
      <c r="J1351">
        <v>2</v>
      </c>
      <c r="K1351">
        <v>0</v>
      </c>
      <c r="L1351" t="s">
        <v>2280</v>
      </c>
      <c r="M1351" t="s">
        <v>2678</v>
      </c>
      <c r="P1351" t="s">
        <v>3005</v>
      </c>
      <c r="Q1351" t="s">
        <v>3257</v>
      </c>
      <c r="R1351" t="s">
        <v>3261</v>
      </c>
      <c r="S1351" t="s">
        <v>3283</v>
      </c>
      <c r="X1351" t="s">
        <v>3354</v>
      </c>
      <c r="Y1351" t="s">
        <v>2678</v>
      </c>
      <c r="Z1351" t="s">
        <v>3364</v>
      </c>
      <c r="AA1351" t="s">
        <v>3408</v>
      </c>
      <c r="AB1351" t="s">
        <v>3431</v>
      </c>
      <c r="AC1351">
        <f>HYPERLINK("https://lsnyc.legalserver.org/matter/dynamic-profile/view/1874669","18-1874669")</f>
        <v>0</v>
      </c>
      <c r="AD1351" t="s">
        <v>3443</v>
      </c>
      <c r="AE1351" t="s">
        <v>3450</v>
      </c>
      <c r="AF1351" t="s">
        <v>4485</v>
      </c>
      <c r="AG1351" t="s">
        <v>3364</v>
      </c>
      <c r="AH1351" t="s">
        <v>3408</v>
      </c>
      <c r="AK1351" t="s">
        <v>4911</v>
      </c>
      <c r="AL1351" t="s">
        <v>2121</v>
      </c>
      <c r="AN1351" t="s">
        <v>3431</v>
      </c>
    </row>
    <row r="1352" spans="1:41">
      <c r="A1352" s="1" t="s">
        <v>1388</v>
      </c>
      <c r="B1352" t="s">
        <v>2002</v>
      </c>
      <c r="C1352" t="s">
        <v>1998</v>
      </c>
      <c r="D1352" t="s">
        <v>2031</v>
      </c>
      <c r="E1352" t="s">
        <v>2112</v>
      </c>
      <c r="F1352" t="s">
        <v>2129</v>
      </c>
      <c r="G1352" t="s">
        <v>2216</v>
      </c>
      <c r="H1352">
        <v>10312</v>
      </c>
      <c r="I1352" t="s">
        <v>2232</v>
      </c>
      <c r="J1352">
        <v>3</v>
      </c>
      <c r="K1352">
        <v>1</v>
      </c>
      <c r="L1352" t="s">
        <v>2256</v>
      </c>
      <c r="M1352" t="s">
        <v>2677</v>
      </c>
      <c r="P1352" t="s">
        <v>3005</v>
      </c>
      <c r="Q1352" t="s">
        <v>2113</v>
      </c>
      <c r="R1352" t="s">
        <v>3259</v>
      </c>
      <c r="S1352" t="s">
        <v>3267</v>
      </c>
      <c r="T1352" t="s">
        <v>3294</v>
      </c>
      <c r="U1352" t="s">
        <v>2956</v>
      </c>
      <c r="X1352" t="s">
        <v>3354</v>
      </c>
      <c r="Y1352" t="s">
        <v>2678</v>
      </c>
      <c r="Z1352" t="s">
        <v>3380</v>
      </c>
      <c r="AA1352" t="s">
        <v>3406</v>
      </c>
      <c r="AB1352" t="s">
        <v>3415</v>
      </c>
      <c r="AC1352">
        <f>HYPERLINK("https://lsnyc.legalserver.org/matter/dynamic-profile/view/1874672","18-1874672")</f>
        <v>0</v>
      </c>
      <c r="AD1352" t="s">
        <v>3447</v>
      </c>
      <c r="AE1352" t="s">
        <v>3463</v>
      </c>
      <c r="AF1352" t="s">
        <v>4486</v>
      </c>
      <c r="AG1352" t="s">
        <v>3380</v>
      </c>
      <c r="AH1352" t="s">
        <v>4906</v>
      </c>
      <c r="AK1352" t="s">
        <v>4911</v>
      </c>
      <c r="AL1352" t="s">
        <v>2129</v>
      </c>
      <c r="AM1352" t="s">
        <v>3294</v>
      </c>
      <c r="AN1352" t="s">
        <v>3415</v>
      </c>
    </row>
    <row r="1353" spans="1:41">
      <c r="A1353" s="1" t="s">
        <v>1389</v>
      </c>
      <c r="B1353" t="s">
        <v>2002</v>
      </c>
      <c r="C1353" t="s">
        <v>2009</v>
      </c>
      <c r="D1353" t="s">
        <v>2037</v>
      </c>
      <c r="E1353" t="s">
        <v>2112</v>
      </c>
      <c r="F1353" t="s">
        <v>2129</v>
      </c>
      <c r="G1353" t="s">
        <v>2216</v>
      </c>
      <c r="H1353">
        <v>10312</v>
      </c>
      <c r="I1353" t="s">
        <v>2232</v>
      </c>
      <c r="J1353">
        <v>3</v>
      </c>
      <c r="K1353">
        <v>1</v>
      </c>
      <c r="L1353" t="s">
        <v>2256</v>
      </c>
      <c r="M1353" t="s">
        <v>2677</v>
      </c>
      <c r="P1353" t="s">
        <v>3005</v>
      </c>
      <c r="Q1353" t="s">
        <v>2113</v>
      </c>
      <c r="R1353" t="s">
        <v>3259</v>
      </c>
      <c r="S1353" t="s">
        <v>3267</v>
      </c>
      <c r="T1353" t="s">
        <v>3294</v>
      </c>
      <c r="U1353" t="s">
        <v>2956</v>
      </c>
      <c r="X1353" t="s">
        <v>3354</v>
      </c>
      <c r="Y1353" t="s">
        <v>2678</v>
      </c>
      <c r="Z1353" t="s">
        <v>3380</v>
      </c>
      <c r="AA1353" t="s">
        <v>3406</v>
      </c>
      <c r="AB1353" t="s">
        <v>3415</v>
      </c>
      <c r="AC1353">
        <f>HYPERLINK("https://lsnyc.legalserver.org/matter/dynamic-profile/view/1874682","18-1874682")</f>
        <v>0</v>
      </c>
      <c r="AD1353" t="s">
        <v>3447</v>
      </c>
      <c r="AE1353" t="s">
        <v>3463</v>
      </c>
      <c r="AF1353" t="s">
        <v>4487</v>
      </c>
      <c r="AG1353" t="s">
        <v>3380</v>
      </c>
      <c r="AH1353" t="s">
        <v>4906</v>
      </c>
      <c r="AK1353" t="s">
        <v>4911</v>
      </c>
      <c r="AL1353" t="s">
        <v>2129</v>
      </c>
      <c r="AM1353" t="s">
        <v>3294</v>
      </c>
      <c r="AN1353" t="s">
        <v>3415</v>
      </c>
    </row>
    <row r="1354" spans="1:41">
      <c r="A1354" s="1" t="s">
        <v>1390</v>
      </c>
      <c r="B1354" t="s">
        <v>2016</v>
      </c>
      <c r="C1354" t="s">
        <v>2014</v>
      </c>
      <c r="D1354" t="s">
        <v>2078</v>
      </c>
      <c r="E1354" t="s">
        <v>2111</v>
      </c>
      <c r="F1354" t="s">
        <v>2148</v>
      </c>
      <c r="G1354" t="s">
        <v>2213</v>
      </c>
      <c r="H1354">
        <v>10452</v>
      </c>
      <c r="I1354" t="s">
        <v>2234</v>
      </c>
      <c r="J1354">
        <v>1</v>
      </c>
      <c r="K1354">
        <v>0</v>
      </c>
      <c r="L1354" t="s">
        <v>2260</v>
      </c>
      <c r="M1354" t="s">
        <v>2677</v>
      </c>
      <c r="P1354" t="s">
        <v>3005</v>
      </c>
      <c r="Q1354" t="s">
        <v>2113</v>
      </c>
      <c r="R1354" t="s">
        <v>3259</v>
      </c>
      <c r="S1354" t="s">
        <v>3268</v>
      </c>
      <c r="X1354" t="s">
        <v>3354</v>
      </c>
      <c r="Y1354" t="s">
        <v>2677</v>
      </c>
      <c r="Z1354" t="s">
        <v>3368</v>
      </c>
      <c r="AA1354" t="s">
        <v>3406</v>
      </c>
      <c r="AB1354" t="s">
        <v>3416</v>
      </c>
      <c r="AC1354">
        <f>HYPERLINK("https://lsnyc.legalserver.org/matter/dynamic-profile/view/1874701","18-1874701")</f>
        <v>0</v>
      </c>
      <c r="AD1354" t="s">
        <v>3445</v>
      </c>
      <c r="AE1354" t="s">
        <v>3455</v>
      </c>
      <c r="AF1354" t="s">
        <v>4488</v>
      </c>
      <c r="AG1354" t="s">
        <v>3368</v>
      </c>
      <c r="AH1354" t="s">
        <v>4904</v>
      </c>
      <c r="AK1354" t="s">
        <v>4911</v>
      </c>
      <c r="AL1354" t="s">
        <v>2148</v>
      </c>
      <c r="AN1354" t="s">
        <v>3416</v>
      </c>
    </row>
    <row r="1355" spans="1:41">
      <c r="A1355" s="1" t="s">
        <v>1391</v>
      </c>
      <c r="B1355" t="s">
        <v>1998</v>
      </c>
      <c r="C1355" t="s">
        <v>1998</v>
      </c>
      <c r="D1355" t="s">
        <v>2048</v>
      </c>
      <c r="E1355" t="s">
        <v>2112</v>
      </c>
      <c r="F1355" t="s">
        <v>2123</v>
      </c>
      <c r="G1355" t="s">
        <v>2211</v>
      </c>
      <c r="H1355">
        <v>10032</v>
      </c>
      <c r="I1355" t="s">
        <v>2229</v>
      </c>
      <c r="J1355">
        <v>2</v>
      </c>
      <c r="K1355">
        <v>1</v>
      </c>
      <c r="L1355" t="s">
        <v>2540</v>
      </c>
      <c r="M1355" t="s">
        <v>2677</v>
      </c>
      <c r="P1355" t="s">
        <v>3006</v>
      </c>
      <c r="Q1355" t="s">
        <v>2113</v>
      </c>
      <c r="R1355" t="s">
        <v>3258</v>
      </c>
      <c r="S1355" t="s">
        <v>3271</v>
      </c>
      <c r="X1355" t="s">
        <v>3354</v>
      </c>
      <c r="Y1355" t="s">
        <v>2677</v>
      </c>
      <c r="Z1355" t="s">
        <v>3362</v>
      </c>
      <c r="AA1355" t="s">
        <v>3406</v>
      </c>
      <c r="AB1355" t="s">
        <v>3419</v>
      </c>
      <c r="AC1355">
        <f>HYPERLINK("https://lsnyc.legalserver.org/matter/dynamic-profile/view/1874533","18-1874533")</f>
        <v>0</v>
      </c>
      <c r="AD1355" t="s">
        <v>3445</v>
      </c>
      <c r="AE1355" t="s">
        <v>3455</v>
      </c>
      <c r="AF1355" t="s">
        <v>4489</v>
      </c>
      <c r="AG1355" t="s">
        <v>3362</v>
      </c>
      <c r="AH1355" t="s">
        <v>4904</v>
      </c>
      <c r="AK1355" t="s">
        <v>4911</v>
      </c>
      <c r="AL1355" t="s">
        <v>2123</v>
      </c>
      <c r="AN1355" t="s">
        <v>3419</v>
      </c>
    </row>
    <row r="1356" spans="1:41">
      <c r="A1356" s="1" t="s">
        <v>1392</v>
      </c>
      <c r="B1356" t="s">
        <v>2000</v>
      </c>
      <c r="C1356" t="s">
        <v>1998</v>
      </c>
      <c r="D1356" t="s">
        <v>2026</v>
      </c>
      <c r="E1356" t="s">
        <v>2112</v>
      </c>
      <c r="F1356" t="s">
        <v>2114</v>
      </c>
      <c r="G1356" t="s">
        <v>2211</v>
      </c>
      <c r="H1356">
        <v>10031</v>
      </c>
      <c r="I1356" t="s">
        <v>2229</v>
      </c>
      <c r="J1356">
        <v>2</v>
      </c>
      <c r="K1356">
        <v>1</v>
      </c>
      <c r="L1356" t="s">
        <v>2260</v>
      </c>
      <c r="M1356" t="s">
        <v>2677</v>
      </c>
      <c r="P1356" t="s">
        <v>2792</v>
      </c>
      <c r="Q1356" t="s">
        <v>2113</v>
      </c>
      <c r="R1356" t="s">
        <v>3259</v>
      </c>
      <c r="S1356" t="s">
        <v>3267</v>
      </c>
      <c r="X1356" t="s">
        <v>3354</v>
      </c>
      <c r="Y1356" t="s">
        <v>2678</v>
      </c>
      <c r="Z1356" t="s">
        <v>3380</v>
      </c>
      <c r="AA1356" t="s">
        <v>3406</v>
      </c>
      <c r="AB1356" t="s">
        <v>3415</v>
      </c>
      <c r="AC1356">
        <f>HYPERLINK("https://lsnyc.legalserver.org/matter/dynamic-profile/view/1874634","18-1874634")</f>
        <v>0</v>
      </c>
      <c r="AD1356" t="s">
        <v>3442</v>
      </c>
      <c r="AE1356" t="s">
        <v>3448</v>
      </c>
      <c r="AF1356" t="s">
        <v>4281</v>
      </c>
      <c r="AG1356" t="s">
        <v>3380</v>
      </c>
      <c r="AH1356" t="s">
        <v>4906</v>
      </c>
      <c r="AL1356" t="s">
        <v>2114</v>
      </c>
      <c r="AN1356" t="s">
        <v>3415</v>
      </c>
    </row>
    <row r="1357" spans="1:41">
      <c r="A1357" s="1" t="s">
        <v>1393</v>
      </c>
      <c r="B1357" t="s">
        <v>2001</v>
      </c>
      <c r="C1357" t="s">
        <v>1998</v>
      </c>
      <c r="D1357" t="s">
        <v>2071</v>
      </c>
      <c r="E1357" t="s">
        <v>2112</v>
      </c>
      <c r="F1357" t="s">
        <v>2120</v>
      </c>
      <c r="G1357" t="s">
        <v>2213</v>
      </c>
      <c r="H1357">
        <v>10459</v>
      </c>
      <c r="I1357" t="s">
        <v>2230</v>
      </c>
      <c r="J1357">
        <v>2</v>
      </c>
      <c r="K1357">
        <v>0</v>
      </c>
      <c r="L1357" t="s">
        <v>2541</v>
      </c>
      <c r="M1357" t="s">
        <v>2677</v>
      </c>
      <c r="P1357" t="s">
        <v>3007</v>
      </c>
      <c r="Q1357" t="s">
        <v>2113</v>
      </c>
      <c r="R1357" t="s">
        <v>3258</v>
      </c>
      <c r="S1357" t="s">
        <v>3271</v>
      </c>
      <c r="X1357" t="s">
        <v>3354</v>
      </c>
      <c r="Y1357" t="s">
        <v>2677</v>
      </c>
      <c r="Z1357" t="s">
        <v>3362</v>
      </c>
      <c r="AA1357" t="s">
        <v>3406</v>
      </c>
      <c r="AB1357" t="s">
        <v>3419</v>
      </c>
      <c r="AC1357">
        <f>HYPERLINK("https://lsnyc.legalserver.org/matter/dynamic-profile/view/1874404","18-1874404")</f>
        <v>0</v>
      </c>
      <c r="AD1357" t="s">
        <v>3445</v>
      </c>
      <c r="AE1357" t="s">
        <v>3455</v>
      </c>
      <c r="AF1357" t="s">
        <v>4490</v>
      </c>
      <c r="AG1357" t="s">
        <v>3362</v>
      </c>
      <c r="AH1357" t="s">
        <v>4904</v>
      </c>
      <c r="AK1357" t="s">
        <v>4911</v>
      </c>
      <c r="AL1357" t="s">
        <v>2120</v>
      </c>
      <c r="AN1357" t="s">
        <v>3419</v>
      </c>
    </row>
    <row r="1358" spans="1:41">
      <c r="A1358" s="1" t="s">
        <v>1394</v>
      </c>
      <c r="B1358" t="s">
        <v>2007</v>
      </c>
      <c r="C1358" t="s">
        <v>2000</v>
      </c>
      <c r="D1358" t="s">
        <v>2060</v>
      </c>
      <c r="E1358" t="s">
        <v>2112</v>
      </c>
      <c r="F1358" t="s">
        <v>2121</v>
      </c>
      <c r="G1358" t="s">
        <v>2212</v>
      </c>
      <c r="H1358">
        <v>11372</v>
      </c>
      <c r="I1358" t="s">
        <v>2229</v>
      </c>
      <c r="J1358">
        <v>2</v>
      </c>
      <c r="K1358">
        <v>1</v>
      </c>
      <c r="L1358" t="s">
        <v>2256</v>
      </c>
      <c r="M1358" t="s">
        <v>2677</v>
      </c>
      <c r="P1358" t="s">
        <v>3007</v>
      </c>
      <c r="Q1358" t="s">
        <v>2113</v>
      </c>
      <c r="R1358" t="s">
        <v>3259</v>
      </c>
      <c r="S1358" t="s">
        <v>3287</v>
      </c>
      <c r="X1358" t="s">
        <v>3354</v>
      </c>
      <c r="Y1358" t="s">
        <v>2677</v>
      </c>
      <c r="Z1358" t="s">
        <v>3378</v>
      </c>
      <c r="AA1358" t="s">
        <v>3406</v>
      </c>
      <c r="AB1358" t="s">
        <v>3435</v>
      </c>
      <c r="AC1358">
        <f>HYPERLINK("https://lsnyc.legalserver.org/matter/dynamic-profile/view/1874516","18-1874516")</f>
        <v>0</v>
      </c>
      <c r="AD1358" t="s">
        <v>3445</v>
      </c>
      <c r="AE1358" t="s">
        <v>3455</v>
      </c>
      <c r="AF1358" t="s">
        <v>4360</v>
      </c>
      <c r="AG1358" t="s">
        <v>3378</v>
      </c>
      <c r="AH1358" t="s">
        <v>4904</v>
      </c>
      <c r="AK1358" t="s">
        <v>4911</v>
      </c>
      <c r="AL1358" t="s">
        <v>2121</v>
      </c>
      <c r="AN1358" t="s">
        <v>3435</v>
      </c>
    </row>
    <row r="1359" spans="1:41">
      <c r="A1359" s="1" t="s">
        <v>1395</v>
      </c>
      <c r="B1359" t="s">
        <v>1998</v>
      </c>
      <c r="C1359" t="s">
        <v>1998</v>
      </c>
      <c r="D1359" t="s">
        <v>2055</v>
      </c>
      <c r="E1359" t="s">
        <v>2112</v>
      </c>
      <c r="F1359" t="s">
        <v>2116</v>
      </c>
      <c r="G1359" t="s">
        <v>2213</v>
      </c>
      <c r="H1359">
        <v>10457</v>
      </c>
      <c r="I1359" t="s">
        <v>2229</v>
      </c>
      <c r="J1359">
        <v>2</v>
      </c>
      <c r="K1359">
        <v>1</v>
      </c>
      <c r="L1359" t="s">
        <v>2542</v>
      </c>
      <c r="M1359" t="s">
        <v>2677</v>
      </c>
      <c r="P1359" t="s">
        <v>3008</v>
      </c>
      <c r="Q1359" t="s">
        <v>2113</v>
      </c>
      <c r="R1359" t="s">
        <v>3261</v>
      </c>
      <c r="S1359" t="s">
        <v>3293</v>
      </c>
      <c r="X1359" t="s">
        <v>3354</v>
      </c>
      <c r="Y1359" t="s">
        <v>2678</v>
      </c>
      <c r="Z1359" t="s">
        <v>3403</v>
      </c>
      <c r="AA1359" t="s">
        <v>3406</v>
      </c>
      <c r="AB1359" t="s">
        <v>3441</v>
      </c>
      <c r="AC1359">
        <f>HYPERLINK("https://lsnyc.legalserver.org/matter/dynamic-profile/view/1874268","18-1874268")</f>
        <v>0</v>
      </c>
      <c r="AD1359" t="s">
        <v>3444</v>
      </c>
      <c r="AE1359" t="s">
        <v>3451</v>
      </c>
      <c r="AF1359" t="s">
        <v>4491</v>
      </c>
      <c r="AG1359" t="s">
        <v>3403</v>
      </c>
      <c r="AH1359" t="s">
        <v>4904</v>
      </c>
      <c r="AK1359" t="s">
        <v>4911</v>
      </c>
      <c r="AL1359" t="s">
        <v>2116</v>
      </c>
      <c r="AN1359" t="s">
        <v>3441</v>
      </c>
    </row>
    <row r="1360" spans="1:41">
      <c r="A1360" s="1" t="s">
        <v>1396</v>
      </c>
      <c r="B1360" t="s">
        <v>1998</v>
      </c>
      <c r="C1360" t="s">
        <v>1998</v>
      </c>
      <c r="D1360" t="s">
        <v>2033</v>
      </c>
      <c r="E1360" t="s">
        <v>2111</v>
      </c>
      <c r="F1360" t="s">
        <v>2121</v>
      </c>
      <c r="G1360" t="s">
        <v>2212</v>
      </c>
      <c r="H1360">
        <v>11368</v>
      </c>
      <c r="I1360" t="s">
        <v>2229</v>
      </c>
      <c r="J1360">
        <v>1</v>
      </c>
      <c r="K1360">
        <v>0</v>
      </c>
      <c r="L1360" t="s">
        <v>2260</v>
      </c>
      <c r="M1360" t="s">
        <v>2677</v>
      </c>
      <c r="P1360" t="s">
        <v>3008</v>
      </c>
      <c r="Q1360" t="s">
        <v>2113</v>
      </c>
      <c r="R1360" t="s">
        <v>3259</v>
      </c>
      <c r="S1360" t="s">
        <v>3268</v>
      </c>
      <c r="X1360" t="s">
        <v>3354</v>
      </c>
      <c r="Y1360" t="s">
        <v>2677</v>
      </c>
      <c r="Z1360" t="s">
        <v>3368</v>
      </c>
      <c r="AA1360" t="s">
        <v>3406</v>
      </c>
      <c r="AB1360" t="s">
        <v>3416</v>
      </c>
      <c r="AC1360">
        <f>HYPERLINK("https://lsnyc.legalserver.org/matter/dynamic-profile/view/1874331","18-1874331")</f>
        <v>0</v>
      </c>
      <c r="AD1360" t="s">
        <v>3445</v>
      </c>
      <c r="AE1360" t="s">
        <v>3455</v>
      </c>
      <c r="AF1360" t="s">
        <v>4492</v>
      </c>
      <c r="AG1360" t="s">
        <v>3368</v>
      </c>
      <c r="AH1360" t="s">
        <v>4904</v>
      </c>
      <c r="AK1360" t="s">
        <v>4911</v>
      </c>
      <c r="AL1360" t="s">
        <v>2121</v>
      </c>
      <c r="AN1360" t="s">
        <v>3416</v>
      </c>
    </row>
    <row r="1361" spans="1:41">
      <c r="A1361" s="1" t="s">
        <v>1397</v>
      </c>
      <c r="B1361" t="s">
        <v>2001</v>
      </c>
      <c r="C1361" t="s">
        <v>1998</v>
      </c>
      <c r="D1361" t="s">
        <v>2097</v>
      </c>
      <c r="E1361" t="s">
        <v>2111</v>
      </c>
      <c r="F1361" t="s">
        <v>2120</v>
      </c>
      <c r="G1361" t="s">
        <v>2213</v>
      </c>
      <c r="H1361">
        <v>10459</v>
      </c>
      <c r="I1361" t="s">
        <v>2230</v>
      </c>
      <c r="J1361">
        <v>2</v>
      </c>
      <c r="K1361">
        <v>0</v>
      </c>
      <c r="L1361" t="s">
        <v>2541</v>
      </c>
      <c r="M1361" t="s">
        <v>2677</v>
      </c>
      <c r="P1361" t="s">
        <v>3008</v>
      </c>
      <c r="Q1361" t="s">
        <v>2113</v>
      </c>
      <c r="R1361" t="s">
        <v>3258</v>
      </c>
      <c r="S1361" t="s">
        <v>3271</v>
      </c>
      <c r="X1361" t="s">
        <v>3354</v>
      </c>
      <c r="Y1361" t="s">
        <v>2677</v>
      </c>
      <c r="Z1361" t="s">
        <v>3362</v>
      </c>
      <c r="AA1361" t="s">
        <v>3406</v>
      </c>
      <c r="AB1361" t="s">
        <v>3419</v>
      </c>
      <c r="AC1361">
        <f>HYPERLINK("https://lsnyc.legalserver.org/matter/dynamic-profile/view/1874364","18-1874364")</f>
        <v>0</v>
      </c>
      <c r="AD1361" t="s">
        <v>3445</v>
      </c>
      <c r="AE1361" t="s">
        <v>3455</v>
      </c>
      <c r="AF1361" t="s">
        <v>4493</v>
      </c>
      <c r="AG1361" t="s">
        <v>3362</v>
      </c>
      <c r="AH1361" t="s">
        <v>4904</v>
      </c>
      <c r="AK1361" t="s">
        <v>4911</v>
      </c>
      <c r="AL1361" t="s">
        <v>2120</v>
      </c>
      <c r="AN1361" t="s">
        <v>3419</v>
      </c>
    </row>
    <row r="1362" spans="1:41">
      <c r="A1362" s="1" t="s">
        <v>1398</v>
      </c>
      <c r="B1362" t="s">
        <v>2001</v>
      </c>
      <c r="C1362" t="s">
        <v>1998</v>
      </c>
      <c r="D1362" t="s">
        <v>2096</v>
      </c>
      <c r="E1362" t="s">
        <v>2112</v>
      </c>
      <c r="F1362" t="s">
        <v>2135</v>
      </c>
      <c r="G1362" t="s">
        <v>2212</v>
      </c>
      <c r="H1362">
        <v>11104</v>
      </c>
      <c r="I1362" t="s">
        <v>2230</v>
      </c>
      <c r="J1362">
        <v>3</v>
      </c>
      <c r="K1362">
        <v>1</v>
      </c>
      <c r="L1362" t="s">
        <v>2543</v>
      </c>
      <c r="M1362" t="s">
        <v>2677</v>
      </c>
      <c r="P1362" t="s">
        <v>2748</v>
      </c>
      <c r="Q1362" t="s">
        <v>2113</v>
      </c>
      <c r="R1362" t="s">
        <v>3261</v>
      </c>
      <c r="S1362" t="s">
        <v>3290</v>
      </c>
      <c r="X1362" t="s">
        <v>3354</v>
      </c>
      <c r="Y1362" t="s">
        <v>2678</v>
      </c>
      <c r="Z1362" t="s">
        <v>3357</v>
      </c>
      <c r="AA1362" t="s">
        <v>3409</v>
      </c>
      <c r="AB1362" t="s">
        <v>3438</v>
      </c>
      <c r="AC1362">
        <f>HYPERLINK("https://lsnyc.legalserver.org/matter/dynamic-profile/view/1874367","18-1874367")</f>
        <v>0</v>
      </c>
      <c r="AD1362" t="s">
        <v>3443</v>
      </c>
      <c r="AE1362" t="s">
        <v>3450</v>
      </c>
      <c r="AF1362" t="s">
        <v>4494</v>
      </c>
      <c r="AG1362" t="s">
        <v>3357</v>
      </c>
      <c r="AH1362" t="s">
        <v>3409</v>
      </c>
      <c r="AL1362" t="s">
        <v>2135</v>
      </c>
      <c r="AN1362" t="s">
        <v>3438</v>
      </c>
    </row>
    <row r="1363" spans="1:41">
      <c r="A1363" s="1" t="s">
        <v>1399</v>
      </c>
      <c r="B1363" t="s">
        <v>1998</v>
      </c>
      <c r="C1363" t="s">
        <v>2009</v>
      </c>
      <c r="D1363" t="s">
        <v>2062</v>
      </c>
      <c r="E1363" t="s">
        <v>2112</v>
      </c>
      <c r="F1363" t="s">
        <v>2116</v>
      </c>
      <c r="G1363" t="s">
        <v>2211</v>
      </c>
      <c r="H1363">
        <v>10035</v>
      </c>
      <c r="I1363" t="s">
        <v>2229</v>
      </c>
      <c r="J1363">
        <v>6</v>
      </c>
      <c r="K1363">
        <v>1</v>
      </c>
      <c r="L1363" t="s">
        <v>2544</v>
      </c>
      <c r="M1363" t="s">
        <v>2677</v>
      </c>
      <c r="P1363" t="s">
        <v>3009</v>
      </c>
      <c r="Q1363" t="s">
        <v>2113</v>
      </c>
      <c r="R1363" t="s">
        <v>3258</v>
      </c>
      <c r="S1363" t="s">
        <v>3271</v>
      </c>
      <c r="X1363" t="s">
        <v>3354</v>
      </c>
      <c r="Y1363" t="s">
        <v>2677</v>
      </c>
      <c r="Z1363" t="s">
        <v>3362</v>
      </c>
      <c r="AA1363" t="s">
        <v>3406</v>
      </c>
      <c r="AB1363" t="s">
        <v>3419</v>
      </c>
      <c r="AC1363">
        <f>HYPERLINK("https://lsnyc.legalserver.org/matter/dynamic-profile/view/1874042","18-1874042")</f>
        <v>0</v>
      </c>
      <c r="AD1363" t="s">
        <v>3445</v>
      </c>
      <c r="AE1363" t="s">
        <v>3455</v>
      </c>
      <c r="AF1363" t="s">
        <v>4495</v>
      </c>
      <c r="AG1363" t="s">
        <v>3362</v>
      </c>
      <c r="AH1363" t="s">
        <v>4904</v>
      </c>
      <c r="AK1363" t="s">
        <v>4911</v>
      </c>
      <c r="AL1363" t="s">
        <v>2116</v>
      </c>
      <c r="AN1363" t="s">
        <v>3419</v>
      </c>
    </row>
    <row r="1364" spans="1:41">
      <c r="A1364" s="1" t="s">
        <v>1400</v>
      </c>
      <c r="B1364" t="s">
        <v>1998</v>
      </c>
      <c r="C1364" t="s">
        <v>2009</v>
      </c>
      <c r="D1364" t="s">
        <v>2034</v>
      </c>
      <c r="E1364" t="s">
        <v>2111</v>
      </c>
      <c r="F1364" t="s">
        <v>2123</v>
      </c>
      <c r="G1364" t="s">
        <v>2211</v>
      </c>
      <c r="H1364">
        <v>10035</v>
      </c>
      <c r="I1364" t="s">
        <v>2229</v>
      </c>
      <c r="J1364">
        <v>5</v>
      </c>
      <c r="K1364">
        <v>3</v>
      </c>
      <c r="L1364" t="s">
        <v>2355</v>
      </c>
      <c r="M1364" t="s">
        <v>2677</v>
      </c>
      <c r="P1364" t="s">
        <v>3010</v>
      </c>
      <c r="Q1364" t="s">
        <v>2113</v>
      </c>
      <c r="R1364" t="s">
        <v>3259</v>
      </c>
      <c r="S1364" t="s">
        <v>3270</v>
      </c>
      <c r="X1364" t="s">
        <v>3354</v>
      </c>
      <c r="Y1364" t="s">
        <v>2677</v>
      </c>
      <c r="Z1364" t="s">
        <v>3362</v>
      </c>
      <c r="AA1364" t="s">
        <v>3406</v>
      </c>
      <c r="AB1364" t="s">
        <v>3418</v>
      </c>
      <c r="AC1364">
        <f>HYPERLINK("https://lsnyc.legalserver.org/matter/dynamic-profile/view/1873904","18-1873904")</f>
        <v>0</v>
      </c>
      <c r="AD1364" t="s">
        <v>3445</v>
      </c>
      <c r="AE1364" t="s">
        <v>3455</v>
      </c>
      <c r="AF1364" t="s">
        <v>4496</v>
      </c>
      <c r="AG1364" t="s">
        <v>3362</v>
      </c>
      <c r="AH1364" t="s">
        <v>4904</v>
      </c>
      <c r="AK1364" t="s">
        <v>4911</v>
      </c>
      <c r="AL1364" t="s">
        <v>2123</v>
      </c>
      <c r="AN1364" t="s">
        <v>3418</v>
      </c>
    </row>
    <row r="1365" spans="1:41">
      <c r="A1365" s="1" t="s">
        <v>1401</v>
      </c>
      <c r="B1365" t="s">
        <v>2001</v>
      </c>
      <c r="C1365" t="s">
        <v>2001</v>
      </c>
      <c r="D1365" t="s">
        <v>2086</v>
      </c>
      <c r="E1365" t="s">
        <v>2112</v>
      </c>
      <c r="F1365" t="s">
        <v>2122</v>
      </c>
      <c r="G1365" t="s">
        <v>2214</v>
      </c>
      <c r="H1365">
        <v>11212</v>
      </c>
      <c r="I1365" t="s">
        <v>2230</v>
      </c>
      <c r="J1365">
        <v>3</v>
      </c>
      <c r="K1365">
        <v>1</v>
      </c>
      <c r="L1365" t="s">
        <v>2545</v>
      </c>
      <c r="M1365" t="s">
        <v>2677</v>
      </c>
      <c r="P1365" t="s">
        <v>2787</v>
      </c>
      <c r="Q1365" t="s">
        <v>2113</v>
      </c>
      <c r="R1365" t="s">
        <v>3259</v>
      </c>
      <c r="S1365" t="s">
        <v>3270</v>
      </c>
      <c r="T1365" t="s">
        <v>3297</v>
      </c>
      <c r="U1365" t="s">
        <v>2787</v>
      </c>
      <c r="X1365" t="s">
        <v>3354</v>
      </c>
      <c r="Y1365" t="s">
        <v>2678</v>
      </c>
      <c r="Z1365" t="s">
        <v>3359</v>
      </c>
      <c r="AA1365" t="s">
        <v>3406</v>
      </c>
      <c r="AB1365" t="s">
        <v>3418</v>
      </c>
      <c r="AC1365">
        <f>HYPERLINK("https://lsnyc.legalserver.org/matter/dynamic-profile/view/1873922","18-1873922")</f>
        <v>0</v>
      </c>
      <c r="AD1365" t="s">
        <v>3446</v>
      </c>
      <c r="AE1365" t="s">
        <v>3465</v>
      </c>
      <c r="AF1365" t="s">
        <v>4497</v>
      </c>
      <c r="AG1365" t="s">
        <v>3359</v>
      </c>
      <c r="AH1365" t="s">
        <v>4906</v>
      </c>
      <c r="AL1365" t="s">
        <v>2122</v>
      </c>
      <c r="AM1365" t="s">
        <v>3297</v>
      </c>
      <c r="AN1365" t="s">
        <v>3418</v>
      </c>
    </row>
    <row r="1366" spans="1:41">
      <c r="A1366" s="1" t="s">
        <v>1402</v>
      </c>
      <c r="B1366" t="s">
        <v>2002</v>
      </c>
      <c r="C1366" t="s">
        <v>2000</v>
      </c>
      <c r="D1366" t="s">
        <v>2029</v>
      </c>
      <c r="E1366" t="s">
        <v>2112</v>
      </c>
      <c r="F1366" t="s">
        <v>2147</v>
      </c>
      <c r="G1366" t="s">
        <v>2214</v>
      </c>
      <c r="H1366">
        <v>11213</v>
      </c>
      <c r="I1366" t="s">
        <v>2229</v>
      </c>
      <c r="J1366">
        <v>4</v>
      </c>
      <c r="K1366">
        <v>3</v>
      </c>
      <c r="L1366" t="s">
        <v>2450</v>
      </c>
      <c r="M1366" t="s">
        <v>2677</v>
      </c>
      <c r="P1366" t="s">
        <v>3010</v>
      </c>
      <c r="Q1366" t="s">
        <v>2113</v>
      </c>
      <c r="R1366" t="s">
        <v>3258</v>
      </c>
      <c r="S1366" t="s">
        <v>3271</v>
      </c>
      <c r="T1366" t="s">
        <v>3294</v>
      </c>
      <c r="U1366" t="s">
        <v>2927</v>
      </c>
      <c r="V1366" t="s">
        <v>3352</v>
      </c>
      <c r="X1366" t="s">
        <v>3354</v>
      </c>
      <c r="Y1366" t="s">
        <v>2677</v>
      </c>
      <c r="Z1366" t="s">
        <v>3362</v>
      </c>
      <c r="AA1366" t="s">
        <v>3406</v>
      </c>
      <c r="AB1366" t="s">
        <v>3419</v>
      </c>
      <c r="AC1366">
        <f>HYPERLINK("https://lsnyc.legalserver.org/matter/dynamic-profile/view/1873938","18-1873938")</f>
        <v>0</v>
      </c>
      <c r="AD1366" t="s">
        <v>3445</v>
      </c>
      <c r="AE1366" t="s">
        <v>3452</v>
      </c>
      <c r="AF1366" t="s">
        <v>4373</v>
      </c>
      <c r="AG1366" t="s">
        <v>3362</v>
      </c>
      <c r="AH1366" t="s">
        <v>4904</v>
      </c>
      <c r="AK1366" t="s">
        <v>4911</v>
      </c>
      <c r="AL1366" t="s">
        <v>2147</v>
      </c>
      <c r="AM1366" t="s">
        <v>3294</v>
      </c>
      <c r="AN1366" t="s">
        <v>3419</v>
      </c>
      <c r="AO1366" t="s">
        <v>3352</v>
      </c>
    </row>
    <row r="1367" spans="1:41">
      <c r="A1367" s="1" t="s">
        <v>1403</v>
      </c>
      <c r="B1367" t="s">
        <v>2012</v>
      </c>
      <c r="C1367" t="s">
        <v>2016</v>
      </c>
      <c r="D1367" t="s">
        <v>2033</v>
      </c>
      <c r="E1367" t="s">
        <v>2112</v>
      </c>
      <c r="F1367" t="s">
        <v>2147</v>
      </c>
      <c r="G1367" t="s">
        <v>2213</v>
      </c>
      <c r="H1367">
        <v>10459</v>
      </c>
      <c r="I1367" t="s">
        <v>2229</v>
      </c>
      <c r="J1367">
        <v>5</v>
      </c>
      <c r="K1367">
        <v>2</v>
      </c>
      <c r="L1367" t="s">
        <v>2546</v>
      </c>
      <c r="M1367" t="s">
        <v>2677</v>
      </c>
      <c r="P1367" t="s">
        <v>3010</v>
      </c>
      <c r="Q1367" t="s">
        <v>2113</v>
      </c>
      <c r="R1367" t="s">
        <v>3258</v>
      </c>
      <c r="S1367" t="s">
        <v>3271</v>
      </c>
      <c r="X1367" t="s">
        <v>3354</v>
      </c>
      <c r="Y1367" t="s">
        <v>2677</v>
      </c>
      <c r="Z1367" t="s">
        <v>3362</v>
      </c>
      <c r="AA1367" t="s">
        <v>3406</v>
      </c>
      <c r="AB1367" t="s">
        <v>3419</v>
      </c>
      <c r="AC1367">
        <f>HYPERLINK("https://lsnyc.legalserver.org/matter/dynamic-profile/view/1873941","18-1873941")</f>
        <v>0</v>
      </c>
      <c r="AD1367" t="s">
        <v>3445</v>
      </c>
      <c r="AE1367" t="s">
        <v>3452</v>
      </c>
      <c r="AF1367" t="s">
        <v>4498</v>
      </c>
      <c r="AG1367" t="s">
        <v>3362</v>
      </c>
      <c r="AH1367" t="s">
        <v>4904</v>
      </c>
      <c r="AK1367" t="s">
        <v>4911</v>
      </c>
      <c r="AL1367" t="s">
        <v>2147</v>
      </c>
      <c r="AN1367" t="s">
        <v>3419</v>
      </c>
    </row>
    <row r="1368" spans="1:41">
      <c r="A1368" s="1" t="s">
        <v>1404</v>
      </c>
      <c r="B1368" t="s">
        <v>2004</v>
      </c>
      <c r="C1368" t="s">
        <v>2009</v>
      </c>
      <c r="D1368" t="s">
        <v>2076</v>
      </c>
      <c r="E1368" t="s">
        <v>2112</v>
      </c>
      <c r="F1368" t="s">
        <v>2129</v>
      </c>
      <c r="G1368" t="s">
        <v>2214</v>
      </c>
      <c r="H1368">
        <v>11229</v>
      </c>
      <c r="I1368" t="s">
        <v>2232</v>
      </c>
      <c r="J1368">
        <v>1</v>
      </c>
      <c r="K1368">
        <v>0</v>
      </c>
      <c r="L1368" t="s">
        <v>2272</v>
      </c>
      <c r="M1368" t="s">
        <v>2677</v>
      </c>
      <c r="P1368" t="s">
        <v>3010</v>
      </c>
      <c r="Q1368" t="s">
        <v>2113</v>
      </c>
      <c r="R1368" t="s">
        <v>3259</v>
      </c>
      <c r="S1368" t="s">
        <v>3268</v>
      </c>
      <c r="X1368" t="s">
        <v>3354</v>
      </c>
      <c r="Y1368" t="s">
        <v>2677</v>
      </c>
      <c r="Z1368" t="s">
        <v>3368</v>
      </c>
      <c r="AA1368" t="s">
        <v>3406</v>
      </c>
      <c r="AB1368" t="s">
        <v>3416</v>
      </c>
      <c r="AC1368">
        <f>HYPERLINK("https://lsnyc.legalserver.org/matter/dynamic-profile/view/1873970","18-1873970")</f>
        <v>0</v>
      </c>
      <c r="AD1368" t="s">
        <v>3445</v>
      </c>
      <c r="AE1368" t="s">
        <v>3455</v>
      </c>
      <c r="AF1368" t="s">
        <v>4499</v>
      </c>
      <c r="AG1368" t="s">
        <v>3368</v>
      </c>
      <c r="AH1368" t="s">
        <v>4904</v>
      </c>
      <c r="AK1368" t="s">
        <v>4911</v>
      </c>
      <c r="AL1368" t="s">
        <v>2129</v>
      </c>
      <c r="AN1368" t="s">
        <v>3416</v>
      </c>
    </row>
    <row r="1369" spans="1:41">
      <c r="A1369" s="1" t="s">
        <v>1405</v>
      </c>
      <c r="B1369" t="s">
        <v>2016</v>
      </c>
      <c r="C1369" t="s">
        <v>2001</v>
      </c>
      <c r="D1369" t="s">
        <v>2094</v>
      </c>
      <c r="E1369" t="s">
        <v>2111</v>
      </c>
      <c r="F1369" t="s">
        <v>2120</v>
      </c>
      <c r="G1369" t="s">
        <v>2214</v>
      </c>
      <c r="H1369">
        <v>11235</v>
      </c>
      <c r="I1369" t="s">
        <v>2230</v>
      </c>
      <c r="J1369">
        <v>1</v>
      </c>
      <c r="K1369">
        <v>0</v>
      </c>
      <c r="L1369" t="s">
        <v>2260</v>
      </c>
      <c r="M1369" t="s">
        <v>2677</v>
      </c>
      <c r="P1369" t="s">
        <v>3011</v>
      </c>
      <c r="Q1369" t="s">
        <v>2113</v>
      </c>
      <c r="R1369" t="s">
        <v>3259</v>
      </c>
      <c r="S1369" t="s">
        <v>3268</v>
      </c>
      <c r="X1369" t="s">
        <v>3354</v>
      </c>
      <c r="Y1369" t="s">
        <v>2677</v>
      </c>
      <c r="Z1369" t="s">
        <v>3368</v>
      </c>
      <c r="AA1369" t="s">
        <v>3406</v>
      </c>
      <c r="AB1369" t="s">
        <v>3416</v>
      </c>
      <c r="AC1369">
        <f>HYPERLINK("https://lsnyc.legalserver.org/matter/dynamic-profile/view/1873723","18-1873723")</f>
        <v>0</v>
      </c>
      <c r="AD1369" t="s">
        <v>3445</v>
      </c>
      <c r="AE1369" t="s">
        <v>3455</v>
      </c>
      <c r="AF1369" t="s">
        <v>4500</v>
      </c>
      <c r="AG1369" t="s">
        <v>3368</v>
      </c>
      <c r="AH1369" t="s">
        <v>4904</v>
      </c>
      <c r="AK1369" t="s">
        <v>4911</v>
      </c>
      <c r="AL1369" t="s">
        <v>2120</v>
      </c>
      <c r="AN1369" t="s">
        <v>3416</v>
      </c>
    </row>
    <row r="1370" spans="1:41">
      <c r="A1370" s="1" t="s">
        <v>1406</v>
      </c>
      <c r="B1370" t="s">
        <v>2009</v>
      </c>
      <c r="C1370" t="s">
        <v>1998</v>
      </c>
      <c r="D1370" t="s">
        <v>2093</v>
      </c>
      <c r="E1370" t="s">
        <v>2112</v>
      </c>
      <c r="F1370" t="s">
        <v>2123</v>
      </c>
      <c r="G1370" t="s">
        <v>2213</v>
      </c>
      <c r="H1370">
        <v>10467</v>
      </c>
      <c r="I1370" t="s">
        <v>2229</v>
      </c>
      <c r="J1370">
        <v>2</v>
      </c>
      <c r="K1370">
        <v>0</v>
      </c>
      <c r="L1370" t="s">
        <v>2376</v>
      </c>
      <c r="M1370" t="s">
        <v>2677</v>
      </c>
      <c r="P1370" t="s">
        <v>3011</v>
      </c>
      <c r="Q1370" t="s">
        <v>2113</v>
      </c>
      <c r="R1370" t="s">
        <v>3258</v>
      </c>
      <c r="S1370" t="s">
        <v>3271</v>
      </c>
      <c r="X1370" t="s">
        <v>3354</v>
      </c>
      <c r="Y1370" t="s">
        <v>2677</v>
      </c>
      <c r="Z1370" t="s">
        <v>3362</v>
      </c>
      <c r="AA1370" t="s">
        <v>3406</v>
      </c>
      <c r="AB1370" t="s">
        <v>3419</v>
      </c>
      <c r="AC1370">
        <f>HYPERLINK("https://lsnyc.legalserver.org/matter/dynamic-profile/view/1873734","18-1873734")</f>
        <v>0</v>
      </c>
      <c r="AD1370" t="s">
        <v>3445</v>
      </c>
      <c r="AE1370" t="s">
        <v>3455</v>
      </c>
      <c r="AF1370" t="s">
        <v>4501</v>
      </c>
      <c r="AG1370" t="s">
        <v>3362</v>
      </c>
      <c r="AH1370" t="s">
        <v>4904</v>
      </c>
      <c r="AK1370" t="s">
        <v>4911</v>
      </c>
      <c r="AL1370" t="s">
        <v>2123</v>
      </c>
      <c r="AN1370" t="s">
        <v>3419</v>
      </c>
    </row>
    <row r="1371" spans="1:41">
      <c r="A1371" s="1" t="s">
        <v>1407</v>
      </c>
      <c r="B1371" t="s">
        <v>2016</v>
      </c>
      <c r="C1371" t="s">
        <v>2016</v>
      </c>
      <c r="D1371" t="s">
        <v>2038</v>
      </c>
      <c r="E1371" t="s">
        <v>2112</v>
      </c>
      <c r="F1371" t="s">
        <v>2117</v>
      </c>
      <c r="G1371" t="s">
        <v>2213</v>
      </c>
      <c r="H1371">
        <v>10451</v>
      </c>
      <c r="I1371" t="s">
        <v>2229</v>
      </c>
      <c r="J1371">
        <v>3</v>
      </c>
      <c r="K1371">
        <v>2</v>
      </c>
      <c r="L1371" t="s">
        <v>2361</v>
      </c>
      <c r="M1371" t="s">
        <v>2677</v>
      </c>
      <c r="P1371" t="s">
        <v>3011</v>
      </c>
      <c r="Q1371" t="s">
        <v>3255</v>
      </c>
      <c r="R1371" t="s">
        <v>3259</v>
      </c>
      <c r="S1371" t="s">
        <v>3268</v>
      </c>
      <c r="X1371" t="s">
        <v>3354</v>
      </c>
      <c r="Y1371" t="s">
        <v>2678</v>
      </c>
      <c r="Z1371" t="s">
        <v>3368</v>
      </c>
      <c r="AA1371" t="s">
        <v>3406</v>
      </c>
      <c r="AB1371" t="s">
        <v>3416</v>
      </c>
      <c r="AC1371">
        <f>HYPERLINK("https://lsnyc.legalserver.org/matter/dynamic-profile/view/1873756","18-1873756")</f>
        <v>0</v>
      </c>
      <c r="AD1371" t="s">
        <v>3444</v>
      </c>
      <c r="AE1371" t="s">
        <v>3464</v>
      </c>
      <c r="AF1371" t="s">
        <v>4133</v>
      </c>
      <c r="AG1371" t="s">
        <v>3368</v>
      </c>
      <c r="AH1371" t="s">
        <v>4904</v>
      </c>
      <c r="AK1371" t="s">
        <v>4911</v>
      </c>
      <c r="AL1371" t="s">
        <v>2117</v>
      </c>
      <c r="AN1371" t="s">
        <v>3416</v>
      </c>
    </row>
    <row r="1372" spans="1:41">
      <c r="A1372" s="1" t="s">
        <v>1408</v>
      </c>
      <c r="B1372" t="s">
        <v>2000</v>
      </c>
      <c r="C1372" t="s">
        <v>2001</v>
      </c>
      <c r="D1372" t="s">
        <v>2031</v>
      </c>
      <c r="E1372" t="s">
        <v>2112</v>
      </c>
      <c r="F1372" t="s">
        <v>2117</v>
      </c>
      <c r="G1372" t="s">
        <v>2213</v>
      </c>
      <c r="H1372">
        <v>10460</v>
      </c>
      <c r="I1372" t="s">
        <v>2229</v>
      </c>
      <c r="J1372">
        <v>2</v>
      </c>
      <c r="K1372">
        <v>1</v>
      </c>
      <c r="L1372" t="s">
        <v>2547</v>
      </c>
      <c r="M1372" t="s">
        <v>2677</v>
      </c>
      <c r="P1372" t="s">
        <v>3012</v>
      </c>
      <c r="Q1372" t="s">
        <v>2113</v>
      </c>
      <c r="R1372" t="s">
        <v>3258</v>
      </c>
      <c r="S1372" t="s">
        <v>3271</v>
      </c>
      <c r="V1372" t="s">
        <v>3352</v>
      </c>
      <c r="X1372" t="s">
        <v>3354</v>
      </c>
      <c r="Y1372" t="s">
        <v>2677</v>
      </c>
      <c r="Z1372" t="s">
        <v>3362</v>
      </c>
      <c r="AA1372" t="s">
        <v>3406</v>
      </c>
      <c r="AB1372" t="s">
        <v>3419</v>
      </c>
      <c r="AC1372">
        <f>HYPERLINK("https://lsnyc.legalserver.org/matter/dynamic-profile/view/1873593","18-1873593")</f>
        <v>0</v>
      </c>
      <c r="AD1372" t="s">
        <v>3445</v>
      </c>
      <c r="AE1372" t="s">
        <v>3452</v>
      </c>
      <c r="AF1372" t="s">
        <v>3500</v>
      </c>
      <c r="AG1372" t="s">
        <v>3362</v>
      </c>
      <c r="AH1372" t="s">
        <v>4904</v>
      </c>
      <c r="AK1372" t="s">
        <v>4911</v>
      </c>
      <c r="AL1372" t="s">
        <v>2117</v>
      </c>
      <c r="AN1372" t="s">
        <v>3419</v>
      </c>
      <c r="AO1372" t="s">
        <v>3352</v>
      </c>
    </row>
    <row r="1373" spans="1:41">
      <c r="A1373" s="1" t="s">
        <v>1409</v>
      </c>
      <c r="B1373" t="s">
        <v>1998</v>
      </c>
      <c r="C1373" t="s">
        <v>1998</v>
      </c>
      <c r="D1373" t="s">
        <v>2079</v>
      </c>
      <c r="E1373" t="s">
        <v>2112</v>
      </c>
      <c r="F1373" t="s">
        <v>2135</v>
      </c>
      <c r="G1373" t="s">
        <v>2211</v>
      </c>
      <c r="H1373">
        <v>10019</v>
      </c>
      <c r="I1373" t="s">
        <v>2229</v>
      </c>
      <c r="J1373">
        <v>2</v>
      </c>
      <c r="K1373">
        <v>0</v>
      </c>
      <c r="L1373" t="s">
        <v>2418</v>
      </c>
      <c r="M1373" t="s">
        <v>2677</v>
      </c>
      <c r="P1373" t="s">
        <v>3012</v>
      </c>
      <c r="Q1373" t="s">
        <v>2113</v>
      </c>
      <c r="R1373" t="s">
        <v>3258</v>
      </c>
      <c r="S1373" t="s">
        <v>3271</v>
      </c>
      <c r="T1373" t="s">
        <v>3294</v>
      </c>
      <c r="U1373" t="s">
        <v>2761</v>
      </c>
      <c r="X1373" t="s">
        <v>3354</v>
      </c>
      <c r="Y1373" t="s">
        <v>2677</v>
      </c>
      <c r="Z1373" t="s">
        <v>3362</v>
      </c>
      <c r="AA1373" t="s">
        <v>3406</v>
      </c>
      <c r="AB1373" t="s">
        <v>3419</v>
      </c>
      <c r="AC1373">
        <f>HYPERLINK("https://lsnyc.legalserver.org/matter/dynamic-profile/view/1873637","18-1873637")</f>
        <v>0</v>
      </c>
      <c r="AD1373" t="s">
        <v>3445</v>
      </c>
      <c r="AE1373" t="s">
        <v>3452</v>
      </c>
      <c r="AF1373" t="s">
        <v>3966</v>
      </c>
      <c r="AG1373" t="s">
        <v>3362</v>
      </c>
      <c r="AH1373" t="s">
        <v>4904</v>
      </c>
      <c r="AK1373" t="s">
        <v>4911</v>
      </c>
      <c r="AL1373" t="s">
        <v>2135</v>
      </c>
      <c r="AM1373" t="s">
        <v>3294</v>
      </c>
      <c r="AN1373" t="s">
        <v>3419</v>
      </c>
    </row>
    <row r="1374" spans="1:41">
      <c r="A1374" s="1" t="s">
        <v>1410</v>
      </c>
      <c r="B1374" t="s">
        <v>1998</v>
      </c>
      <c r="C1374" t="s">
        <v>1998</v>
      </c>
      <c r="D1374" t="s">
        <v>2076</v>
      </c>
      <c r="E1374" t="s">
        <v>2111</v>
      </c>
      <c r="F1374" t="s">
        <v>2131</v>
      </c>
      <c r="G1374" t="s">
        <v>2212</v>
      </c>
      <c r="H1374">
        <v>11370</v>
      </c>
      <c r="I1374" t="s">
        <v>2229</v>
      </c>
      <c r="J1374">
        <v>1</v>
      </c>
      <c r="K1374">
        <v>0</v>
      </c>
      <c r="L1374" t="s">
        <v>2285</v>
      </c>
      <c r="M1374" t="s">
        <v>2677</v>
      </c>
      <c r="P1374" t="s">
        <v>3012</v>
      </c>
      <c r="Q1374" t="s">
        <v>2113</v>
      </c>
      <c r="R1374" t="s">
        <v>3259</v>
      </c>
      <c r="S1374" t="s">
        <v>3267</v>
      </c>
      <c r="X1374" t="s">
        <v>3354</v>
      </c>
      <c r="Y1374" t="s">
        <v>2678</v>
      </c>
      <c r="Z1374" t="s">
        <v>3359</v>
      </c>
      <c r="AA1374" t="s">
        <v>3406</v>
      </c>
      <c r="AB1374" t="s">
        <v>3415</v>
      </c>
      <c r="AC1374">
        <f>HYPERLINK("https://lsnyc.legalserver.org/matter/dynamic-profile/view/1873684","18-1873684")</f>
        <v>0</v>
      </c>
      <c r="AD1374" t="s">
        <v>3446</v>
      </c>
      <c r="AE1374" t="s">
        <v>3454</v>
      </c>
      <c r="AF1374" t="s">
        <v>4502</v>
      </c>
      <c r="AG1374" t="s">
        <v>3359</v>
      </c>
      <c r="AH1374" t="s">
        <v>4906</v>
      </c>
      <c r="AK1374" t="s">
        <v>4911</v>
      </c>
      <c r="AL1374" t="s">
        <v>2131</v>
      </c>
      <c r="AN1374" t="s">
        <v>3415</v>
      </c>
    </row>
    <row r="1375" spans="1:41">
      <c r="A1375" s="1" t="s">
        <v>1411</v>
      </c>
      <c r="B1375" t="s">
        <v>1998</v>
      </c>
      <c r="C1375" t="s">
        <v>1998</v>
      </c>
      <c r="D1375" t="s">
        <v>2076</v>
      </c>
      <c r="E1375" t="s">
        <v>2111</v>
      </c>
      <c r="F1375" t="s">
        <v>2131</v>
      </c>
      <c r="G1375" t="s">
        <v>2212</v>
      </c>
      <c r="H1375">
        <v>11370</v>
      </c>
      <c r="I1375" t="s">
        <v>2229</v>
      </c>
      <c r="J1375">
        <v>1</v>
      </c>
      <c r="K1375">
        <v>0</v>
      </c>
      <c r="L1375" t="s">
        <v>2285</v>
      </c>
      <c r="M1375" t="s">
        <v>2677</v>
      </c>
      <c r="P1375" t="s">
        <v>3012</v>
      </c>
      <c r="Q1375" t="s">
        <v>2113</v>
      </c>
      <c r="R1375" t="s">
        <v>3259</v>
      </c>
      <c r="S1375" t="s">
        <v>3267</v>
      </c>
      <c r="X1375" t="s">
        <v>3354</v>
      </c>
      <c r="Y1375" t="s">
        <v>2678</v>
      </c>
      <c r="Z1375" t="s">
        <v>3380</v>
      </c>
      <c r="AA1375" t="s">
        <v>3406</v>
      </c>
      <c r="AB1375" t="s">
        <v>3415</v>
      </c>
      <c r="AC1375">
        <f>HYPERLINK("https://lsnyc.legalserver.org/matter/dynamic-profile/view/1873686","18-1873686")</f>
        <v>0</v>
      </c>
      <c r="AD1375" t="s">
        <v>3446</v>
      </c>
      <c r="AE1375" t="s">
        <v>3454</v>
      </c>
      <c r="AF1375" t="s">
        <v>4502</v>
      </c>
      <c r="AG1375" t="s">
        <v>3380</v>
      </c>
      <c r="AH1375" t="s">
        <v>4906</v>
      </c>
      <c r="AK1375" t="s">
        <v>4911</v>
      </c>
      <c r="AL1375" t="s">
        <v>2131</v>
      </c>
      <c r="AN1375" t="s">
        <v>3415</v>
      </c>
    </row>
    <row r="1376" spans="1:41">
      <c r="A1376" s="1" t="s">
        <v>1412</v>
      </c>
      <c r="B1376" t="s">
        <v>1998</v>
      </c>
      <c r="C1376" t="s">
        <v>2000</v>
      </c>
      <c r="D1376" t="s">
        <v>2049</v>
      </c>
      <c r="E1376" t="s">
        <v>2111</v>
      </c>
      <c r="F1376" t="s">
        <v>2114</v>
      </c>
      <c r="G1376" t="s">
        <v>2216</v>
      </c>
      <c r="H1376">
        <v>10302</v>
      </c>
      <c r="I1376" t="s">
        <v>2229</v>
      </c>
      <c r="J1376">
        <v>8</v>
      </c>
      <c r="K1376">
        <v>2</v>
      </c>
      <c r="L1376" t="s">
        <v>2272</v>
      </c>
      <c r="M1376" t="s">
        <v>2677</v>
      </c>
      <c r="P1376" t="s">
        <v>3012</v>
      </c>
      <c r="Q1376" t="s">
        <v>2113</v>
      </c>
      <c r="R1376" t="s">
        <v>3259</v>
      </c>
      <c r="S1376" t="s">
        <v>3267</v>
      </c>
      <c r="X1376" t="s">
        <v>3354</v>
      </c>
      <c r="Y1376" t="s">
        <v>2678</v>
      </c>
      <c r="Z1376" t="s">
        <v>3380</v>
      </c>
      <c r="AA1376" t="s">
        <v>3406</v>
      </c>
      <c r="AB1376" t="s">
        <v>3415</v>
      </c>
      <c r="AC1376">
        <f>HYPERLINK("https://lsnyc.legalserver.org/matter/dynamic-profile/view/1873987","18-1873987")</f>
        <v>0</v>
      </c>
      <c r="AD1376" t="s">
        <v>3447</v>
      </c>
      <c r="AE1376" t="s">
        <v>3478</v>
      </c>
      <c r="AF1376" t="s">
        <v>4503</v>
      </c>
      <c r="AG1376" t="s">
        <v>3380</v>
      </c>
      <c r="AH1376" t="s">
        <v>4906</v>
      </c>
      <c r="AK1376" t="s">
        <v>4911</v>
      </c>
      <c r="AL1376" t="s">
        <v>2114</v>
      </c>
      <c r="AN1376" t="s">
        <v>3415</v>
      </c>
    </row>
    <row r="1377" spans="1:40">
      <c r="A1377" s="1" t="s">
        <v>1413</v>
      </c>
      <c r="B1377" t="s">
        <v>2009</v>
      </c>
      <c r="C1377" t="s">
        <v>2009</v>
      </c>
      <c r="D1377" t="s">
        <v>2049</v>
      </c>
      <c r="E1377" t="s">
        <v>2111</v>
      </c>
      <c r="F1377" t="s">
        <v>2114</v>
      </c>
      <c r="G1377" t="s">
        <v>2216</v>
      </c>
      <c r="H1377">
        <v>10302</v>
      </c>
      <c r="I1377" t="s">
        <v>2229</v>
      </c>
      <c r="J1377">
        <v>8</v>
      </c>
      <c r="K1377">
        <v>2</v>
      </c>
      <c r="L1377" t="s">
        <v>2272</v>
      </c>
      <c r="M1377" t="s">
        <v>2677</v>
      </c>
      <c r="P1377" t="s">
        <v>3012</v>
      </c>
      <c r="Q1377" t="s">
        <v>2113</v>
      </c>
      <c r="R1377" t="s">
        <v>3259</v>
      </c>
      <c r="S1377" t="s">
        <v>3267</v>
      </c>
      <c r="X1377" t="s">
        <v>3354</v>
      </c>
      <c r="Y1377" t="s">
        <v>2678</v>
      </c>
      <c r="Z1377" t="s">
        <v>3380</v>
      </c>
      <c r="AA1377" t="s">
        <v>3406</v>
      </c>
      <c r="AB1377" t="s">
        <v>3415</v>
      </c>
      <c r="AC1377">
        <f>HYPERLINK("https://lsnyc.legalserver.org/matter/dynamic-profile/view/1873988","18-1873988")</f>
        <v>0</v>
      </c>
      <c r="AD1377" t="s">
        <v>3447</v>
      </c>
      <c r="AE1377" t="s">
        <v>3478</v>
      </c>
      <c r="AF1377" t="s">
        <v>4504</v>
      </c>
      <c r="AG1377" t="s">
        <v>3380</v>
      </c>
      <c r="AH1377" t="s">
        <v>4906</v>
      </c>
      <c r="AK1377" t="s">
        <v>4911</v>
      </c>
      <c r="AL1377" t="s">
        <v>2114</v>
      </c>
      <c r="AN1377" t="s">
        <v>3415</v>
      </c>
    </row>
    <row r="1378" spans="1:40">
      <c r="A1378" s="1" t="s">
        <v>1414</v>
      </c>
      <c r="B1378" t="s">
        <v>2016</v>
      </c>
      <c r="C1378" t="s">
        <v>2001</v>
      </c>
      <c r="D1378" t="s">
        <v>2088</v>
      </c>
      <c r="E1378" t="s">
        <v>2111</v>
      </c>
      <c r="F1378" t="s">
        <v>2115</v>
      </c>
      <c r="G1378" t="s">
        <v>2216</v>
      </c>
      <c r="H1378">
        <v>10303</v>
      </c>
      <c r="I1378" t="s">
        <v>2229</v>
      </c>
      <c r="J1378">
        <v>3</v>
      </c>
      <c r="K1378">
        <v>1</v>
      </c>
      <c r="L1378" t="s">
        <v>2465</v>
      </c>
      <c r="M1378" t="s">
        <v>2677</v>
      </c>
      <c r="P1378" t="s">
        <v>3013</v>
      </c>
      <c r="Q1378" t="s">
        <v>2113</v>
      </c>
      <c r="R1378" t="s">
        <v>3259</v>
      </c>
      <c r="S1378" t="s">
        <v>3267</v>
      </c>
      <c r="X1378" t="s">
        <v>3354</v>
      </c>
      <c r="Y1378" t="s">
        <v>2678</v>
      </c>
      <c r="Z1378" t="s">
        <v>3359</v>
      </c>
      <c r="AA1378" t="s">
        <v>3406</v>
      </c>
      <c r="AB1378" t="s">
        <v>3415</v>
      </c>
      <c r="AC1378">
        <f>HYPERLINK("https://lsnyc.legalserver.org/matter/dynamic-profile/view/1868371","18-1868371")</f>
        <v>0</v>
      </c>
      <c r="AD1378" t="s">
        <v>3447</v>
      </c>
      <c r="AE1378" t="s">
        <v>3459</v>
      </c>
      <c r="AF1378" t="s">
        <v>4172</v>
      </c>
      <c r="AG1378" t="s">
        <v>3359</v>
      </c>
      <c r="AH1378" t="s">
        <v>4906</v>
      </c>
      <c r="AK1378" t="s">
        <v>4911</v>
      </c>
      <c r="AL1378" t="s">
        <v>2115</v>
      </c>
      <c r="AN1378" t="s">
        <v>3415</v>
      </c>
    </row>
    <row r="1379" spans="1:40">
      <c r="A1379" s="1" t="s">
        <v>1415</v>
      </c>
      <c r="B1379" t="s">
        <v>2002</v>
      </c>
      <c r="C1379" t="s">
        <v>2009</v>
      </c>
      <c r="D1379" t="s">
        <v>2060</v>
      </c>
      <c r="E1379" t="s">
        <v>2112</v>
      </c>
      <c r="F1379" t="s">
        <v>2117</v>
      </c>
      <c r="G1379" t="s">
        <v>2213</v>
      </c>
      <c r="H1379">
        <v>10453</v>
      </c>
      <c r="I1379" t="s">
        <v>2229</v>
      </c>
      <c r="J1379">
        <v>2</v>
      </c>
      <c r="K1379">
        <v>1</v>
      </c>
      <c r="L1379" t="s">
        <v>2260</v>
      </c>
      <c r="M1379" t="s">
        <v>2677</v>
      </c>
      <c r="P1379" t="s">
        <v>3013</v>
      </c>
      <c r="Q1379" t="s">
        <v>3255</v>
      </c>
      <c r="R1379" t="s">
        <v>3259</v>
      </c>
      <c r="S1379" t="s">
        <v>3288</v>
      </c>
      <c r="X1379" t="s">
        <v>3354</v>
      </c>
      <c r="Y1379" t="s">
        <v>2678</v>
      </c>
      <c r="Z1379" t="s">
        <v>3389</v>
      </c>
      <c r="AA1379" t="s">
        <v>3406</v>
      </c>
      <c r="AB1379" t="s">
        <v>3436</v>
      </c>
      <c r="AC1379">
        <f>HYPERLINK("https://lsnyc.legalserver.org/matter/dynamic-profile/view/1873490","18-1873490")</f>
        <v>0</v>
      </c>
      <c r="AD1379" t="s">
        <v>3444</v>
      </c>
      <c r="AE1379" t="s">
        <v>3464</v>
      </c>
      <c r="AF1379" t="s">
        <v>4505</v>
      </c>
      <c r="AG1379" t="s">
        <v>3389</v>
      </c>
      <c r="AH1379" t="s">
        <v>4905</v>
      </c>
      <c r="AI1379" t="s">
        <v>4909</v>
      </c>
      <c r="AK1379" t="s">
        <v>4911</v>
      </c>
      <c r="AL1379" t="s">
        <v>2117</v>
      </c>
      <c r="AN1379" t="s">
        <v>3436</v>
      </c>
    </row>
    <row r="1380" spans="1:40">
      <c r="A1380" s="1" t="s">
        <v>1416</v>
      </c>
      <c r="B1380" t="s">
        <v>2000</v>
      </c>
      <c r="C1380" t="s">
        <v>1998</v>
      </c>
      <c r="D1380" t="s">
        <v>2076</v>
      </c>
      <c r="E1380" t="s">
        <v>2112</v>
      </c>
      <c r="F1380" t="s">
        <v>2115</v>
      </c>
      <c r="G1380" t="s">
        <v>2216</v>
      </c>
      <c r="H1380">
        <v>10303</v>
      </c>
      <c r="J1380">
        <v>2</v>
      </c>
      <c r="K1380">
        <v>0</v>
      </c>
      <c r="L1380" t="s">
        <v>2316</v>
      </c>
      <c r="M1380" t="s">
        <v>2677</v>
      </c>
      <c r="P1380" t="s">
        <v>3014</v>
      </c>
      <c r="Q1380" t="s">
        <v>2113</v>
      </c>
      <c r="R1380" t="s">
        <v>3259</v>
      </c>
      <c r="S1380" t="s">
        <v>3267</v>
      </c>
      <c r="T1380" t="s">
        <v>3294</v>
      </c>
      <c r="U1380" t="s">
        <v>3063</v>
      </c>
      <c r="X1380" t="s">
        <v>3354</v>
      </c>
      <c r="Y1380" t="s">
        <v>2678</v>
      </c>
      <c r="Z1380" t="s">
        <v>3380</v>
      </c>
      <c r="AA1380" t="s">
        <v>3406</v>
      </c>
      <c r="AB1380" t="s">
        <v>3415</v>
      </c>
      <c r="AC1380">
        <f>HYPERLINK("https://lsnyc.legalserver.org/matter/dynamic-profile/view/1871236","18-1871236")</f>
        <v>0</v>
      </c>
      <c r="AD1380" t="s">
        <v>3447</v>
      </c>
      <c r="AE1380" t="s">
        <v>3478</v>
      </c>
      <c r="AF1380" t="s">
        <v>4506</v>
      </c>
      <c r="AG1380" t="s">
        <v>3380</v>
      </c>
      <c r="AH1380" t="s">
        <v>4906</v>
      </c>
      <c r="AK1380" t="s">
        <v>4911</v>
      </c>
      <c r="AL1380" t="s">
        <v>2115</v>
      </c>
      <c r="AM1380" t="s">
        <v>3294</v>
      </c>
      <c r="AN1380" t="s">
        <v>3415</v>
      </c>
    </row>
    <row r="1381" spans="1:40">
      <c r="A1381" s="1" t="s">
        <v>1417</v>
      </c>
      <c r="B1381" t="s">
        <v>2002</v>
      </c>
      <c r="C1381" t="s">
        <v>1998</v>
      </c>
      <c r="D1381" t="s">
        <v>2080</v>
      </c>
      <c r="E1381" t="s">
        <v>2112</v>
      </c>
      <c r="F1381" t="s">
        <v>2123</v>
      </c>
      <c r="G1381" t="s">
        <v>2211</v>
      </c>
      <c r="H1381">
        <v>10033</v>
      </c>
      <c r="I1381" t="s">
        <v>2229</v>
      </c>
      <c r="J1381">
        <v>5</v>
      </c>
      <c r="K1381">
        <v>2</v>
      </c>
      <c r="L1381" t="s">
        <v>2283</v>
      </c>
      <c r="M1381" t="s">
        <v>2677</v>
      </c>
      <c r="P1381" t="s">
        <v>3014</v>
      </c>
      <c r="Q1381" t="s">
        <v>2113</v>
      </c>
      <c r="R1381" t="s">
        <v>3259</v>
      </c>
      <c r="S1381" t="s">
        <v>3264</v>
      </c>
      <c r="T1381" t="s">
        <v>3294</v>
      </c>
      <c r="U1381" t="s">
        <v>2808</v>
      </c>
      <c r="X1381" t="s">
        <v>3354</v>
      </c>
      <c r="Y1381" t="s">
        <v>2677</v>
      </c>
      <c r="Z1381" t="s">
        <v>3357</v>
      </c>
      <c r="AA1381" t="s">
        <v>3406</v>
      </c>
      <c r="AB1381" t="s">
        <v>3412</v>
      </c>
      <c r="AC1381">
        <f>HYPERLINK("https://lsnyc.legalserver.org/matter/dynamic-profile/view/1873387","18-1873387")</f>
        <v>0</v>
      </c>
      <c r="AD1381" t="s">
        <v>3445</v>
      </c>
      <c r="AE1381" t="s">
        <v>3452</v>
      </c>
      <c r="AF1381" t="s">
        <v>4507</v>
      </c>
      <c r="AG1381" t="s">
        <v>3357</v>
      </c>
      <c r="AH1381" t="s">
        <v>4904</v>
      </c>
      <c r="AK1381" t="s">
        <v>4911</v>
      </c>
      <c r="AL1381" t="s">
        <v>2123</v>
      </c>
      <c r="AM1381" t="s">
        <v>3294</v>
      </c>
      <c r="AN1381" t="s">
        <v>3412</v>
      </c>
    </row>
    <row r="1382" spans="1:40">
      <c r="A1382" s="1" t="s">
        <v>1418</v>
      </c>
      <c r="B1382" t="s">
        <v>2000</v>
      </c>
      <c r="C1382" t="s">
        <v>2002</v>
      </c>
      <c r="D1382" t="s">
        <v>2081</v>
      </c>
      <c r="E1382" t="s">
        <v>2112</v>
      </c>
      <c r="F1382" t="s">
        <v>2115</v>
      </c>
      <c r="G1382" t="s">
        <v>2212</v>
      </c>
      <c r="H1382">
        <v>11432</v>
      </c>
      <c r="I1382" t="s">
        <v>2229</v>
      </c>
      <c r="J1382">
        <v>3</v>
      </c>
      <c r="K1382">
        <v>1</v>
      </c>
      <c r="L1382" t="s">
        <v>2429</v>
      </c>
      <c r="M1382" t="s">
        <v>2677</v>
      </c>
      <c r="P1382" t="s">
        <v>2726</v>
      </c>
      <c r="Q1382" t="s">
        <v>3256</v>
      </c>
      <c r="R1382" t="s">
        <v>3259</v>
      </c>
      <c r="S1382" t="s">
        <v>3267</v>
      </c>
      <c r="X1382" t="s">
        <v>3354</v>
      </c>
      <c r="Y1382" t="s">
        <v>2678</v>
      </c>
      <c r="Z1382" t="s">
        <v>3359</v>
      </c>
      <c r="AA1382" t="s">
        <v>3406</v>
      </c>
      <c r="AB1382" t="s">
        <v>3415</v>
      </c>
      <c r="AC1382">
        <f>HYPERLINK("https://lsnyc.legalserver.org/matter/dynamic-profile/view/1873397","18-1873397")</f>
        <v>0</v>
      </c>
      <c r="AD1382" t="s">
        <v>3442</v>
      </c>
      <c r="AE1382" t="s">
        <v>3448</v>
      </c>
      <c r="AF1382" t="s">
        <v>4256</v>
      </c>
      <c r="AG1382" t="s">
        <v>3359</v>
      </c>
      <c r="AH1382" t="s">
        <v>4906</v>
      </c>
      <c r="AL1382" t="s">
        <v>2115</v>
      </c>
      <c r="AN1382" t="s">
        <v>3415</v>
      </c>
    </row>
    <row r="1383" spans="1:40">
      <c r="A1383" s="1" t="s">
        <v>1419</v>
      </c>
      <c r="B1383" t="s">
        <v>2002</v>
      </c>
      <c r="C1383" t="s">
        <v>2000</v>
      </c>
      <c r="D1383" t="s">
        <v>2036</v>
      </c>
      <c r="E1383" t="s">
        <v>2112</v>
      </c>
      <c r="F1383" t="s">
        <v>2115</v>
      </c>
      <c r="G1383" t="s">
        <v>2212</v>
      </c>
      <c r="H1383">
        <v>11432</v>
      </c>
      <c r="I1383" t="s">
        <v>2229</v>
      </c>
      <c r="J1383">
        <v>3</v>
      </c>
      <c r="K1383">
        <v>1</v>
      </c>
      <c r="L1383" t="s">
        <v>2429</v>
      </c>
      <c r="M1383" t="s">
        <v>2677</v>
      </c>
      <c r="P1383" t="s">
        <v>2726</v>
      </c>
      <c r="Q1383" t="s">
        <v>3256</v>
      </c>
      <c r="R1383" t="s">
        <v>3259</v>
      </c>
      <c r="S1383" t="s">
        <v>3267</v>
      </c>
      <c r="X1383" t="s">
        <v>3354</v>
      </c>
      <c r="Y1383" t="s">
        <v>2678</v>
      </c>
      <c r="Z1383" t="s">
        <v>3359</v>
      </c>
      <c r="AA1383" t="s">
        <v>3406</v>
      </c>
      <c r="AB1383" t="s">
        <v>3415</v>
      </c>
      <c r="AC1383">
        <f>HYPERLINK("https://lsnyc.legalserver.org/matter/dynamic-profile/view/1873407","18-1873407")</f>
        <v>0</v>
      </c>
      <c r="AD1383" t="s">
        <v>3442</v>
      </c>
      <c r="AE1383" t="s">
        <v>3448</v>
      </c>
      <c r="AF1383" t="s">
        <v>4257</v>
      </c>
      <c r="AG1383" t="s">
        <v>3359</v>
      </c>
      <c r="AH1383" t="s">
        <v>4906</v>
      </c>
      <c r="AL1383" t="s">
        <v>2115</v>
      </c>
      <c r="AN1383" t="s">
        <v>3415</v>
      </c>
    </row>
    <row r="1384" spans="1:40">
      <c r="A1384" s="1" t="s">
        <v>1420</v>
      </c>
      <c r="B1384" t="s">
        <v>2004</v>
      </c>
      <c r="C1384" t="s">
        <v>1998</v>
      </c>
      <c r="D1384" t="s">
        <v>2031</v>
      </c>
      <c r="E1384" t="s">
        <v>2112</v>
      </c>
      <c r="F1384" t="s">
        <v>2138</v>
      </c>
      <c r="G1384" t="s">
        <v>2211</v>
      </c>
      <c r="H1384">
        <v>10002</v>
      </c>
      <c r="I1384" t="s">
        <v>2230</v>
      </c>
      <c r="J1384">
        <v>4</v>
      </c>
      <c r="K1384">
        <v>2</v>
      </c>
      <c r="L1384" t="s">
        <v>2286</v>
      </c>
      <c r="M1384" t="s">
        <v>2677</v>
      </c>
      <c r="P1384" t="s">
        <v>3015</v>
      </c>
      <c r="Q1384" t="s">
        <v>2113</v>
      </c>
      <c r="R1384" t="s">
        <v>3258</v>
      </c>
      <c r="S1384" t="s">
        <v>3273</v>
      </c>
      <c r="T1384" t="s">
        <v>3298</v>
      </c>
      <c r="U1384" t="s">
        <v>2921</v>
      </c>
      <c r="X1384" t="s">
        <v>3354</v>
      </c>
      <c r="Y1384" t="s">
        <v>2678</v>
      </c>
      <c r="Z1384" t="s">
        <v>3365</v>
      </c>
      <c r="AA1384" t="s">
        <v>3406</v>
      </c>
      <c r="AB1384" t="s">
        <v>3421</v>
      </c>
      <c r="AC1384">
        <f>HYPERLINK("https://lsnyc.legalserver.org/matter/dynamic-profile/view/1873144","18-1873144")</f>
        <v>0</v>
      </c>
      <c r="AD1384" t="s">
        <v>3442</v>
      </c>
      <c r="AE1384" t="s">
        <v>3470</v>
      </c>
      <c r="AF1384" t="s">
        <v>4508</v>
      </c>
      <c r="AG1384" t="s">
        <v>3365</v>
      </c>
      <c r="AH1384" t="s">
        <v>4904</v>
      </c>
      <c r="AK1384" t="s">
        <v>4911</v>
      </c>
      <c r="AL1384" t="s">
        <v>2138</v>
      </c>
      <c r="AM1384" t="s">
        <v>3298</v>
      </c>
      <c r="AN1384" t="s">
        <v>3421</v>
      </c>
    </row>
    <row r="1385" spans="1:40">
      <c r="A1385" s="1" t="s">
        <v>1421</v>
      </c>
      <c r="B1385" t="s">
        <v>2004</v>
      </c>
      <c r="C1385" t="s">
        <v>2001</v>
      </c>
      <c r="D1385" t="s">
        <v>2096</v>
      </c>
      <c r="E1385" t="s">
        <v>2112</v>
      </c>
      <c r="F1385" t="s">
        <v>2133</v>
      </c>
      <c r="G1385" t="s">
        <v>2216</v>
      </c>
      <c r="H1385">
        <v>10312</v>
      </c>
      <c r="I1385" t="s">
        <v>2233</v>
      </c>
      <c r="J1385">
        <v>5</v>
      </c>
      <c r="K1385">
        <v>3</v>
      </c>
      <c r="L1385" t="s">
        <v>2531</v>
      </c>
      <c r="M1385" t="s">
        <v>2677</v>
      </c>
      <c r="P1385" t="s">
        <v>3015</v>
      </c>
      <c r="Q1385" t="s">
        <v>2113</v>
      </c>
      <c r="R1385" t="s">
        <v>3258</v>
      </c>
      <c r="S1385" t="s">
        <v>3271</v>
      </c>
      <c r="X1385" t="s">
        <v>3354</v>
      </c>
      <c r="Y1385" t="s">
        <v>2677</v>
      </c>
      <c r="Z1385" t="s">
        <v>3362</v>
      </c>
      <c r="AA1385" t="s">
        <v>3406</v>
      </c>
      <c r="AB1385" t="s">
        <v>3419</v>
      </c>
      <c r="AC1385">
        <f>HYPERLINK("https://lsnyc.legalserver.org/matter/dynamic-profile/view/1873176","18-1873176")</f>
        <v>0</v>
      </c>
      <c r="AD1385" t="s">
        <v>3445</v>
      </c>
      <c r="AE1385" t="s">
        <v>3455</v>
      </c>
      <c r="AF1385" t="s">
        <v>4509</v>
      </c>
      <c r="AG1385" t="s">
        <v>3362</v>
      </c>
      <c r="AH1385" t="s">
        <v>4904</v>
      </c>
      <c r="AK1385" t="s">
        <v>4911</v>
      </c>
      <c r="AL1385" t="s">
        <v>2133</v>
      </c>
      <c r="AN1385" t="s">
        <v>3419</v>
      </c>
    </row>
    <row r="1386" spans="1:40">
      <c r="A1386" s="1" t="s">
        <v>1422</v>
      </c>
      <c r="B1386" t="s">
        <v>1998</v>
      </c>
      <c r="C1386" t="s">
        <v>1999</v>
      </c>
      <c r="D1386" t="s">
        <v>2093</v>
      </c>
      <c r="E1386" t="s">
        <v>2112</v>
      </c>
      <c r="F1386" t="s">
        <v>2116</v>
      </c>
      <c r="G1386" t="s">
        <v>2212</v>
      </c>
      <c r="H1386">
        <v>11372</v>
      </c>
      <c r="I1386" t="s">
        <v>2229</v>
      </c>
      <c r="J1386">
        <v>2</v>
      </c>
      <c r="K1386">
        <v>0</v>
      </c>
      <c r="L1386" t="s">
        <v>2548</v>
      </c>
      <c r="M1386" t="s">
        <v>2677</v>
      </c>
      <c r="P1386" t="s">
        <v>3015</v>
      </c>
      <c r="Q1386" t="s">
        <v>3255</v>
      </c>
      <c r="R1386" t="s">
        <v>3259</v>
      </c>
      <c r="S1386" t="s">
        <v>3270</v>
      </c>
      <c r="T1386" t="s">
        <v>3294</v>
      </c>
      <c r="U1386" t="s">
        <v>2996</v>
      </c>
      <c r="X1386" t="s">
        <v>3354</v>
      </c>
      <c r="Y1386" t="s">
        <v>2678</v>
      </c>
      <c r="Z1386" t="s">
        <v>3360</v>
      </c>
      <c r="AA1386" t="s">
        <v>3406</v>
      </c>
      <c r="AB1386" t="s">
        <v>3418</v>
      </c>
      <c r="AC1386">
        <f>HYPERLINK("https://lsnyc.legalserver.org/matter/dynamic-profile/view/1873233","18-1873233")</f>
        <v>0</v>
      </c>
      <c r="AD1386" t="s">
        <v>3443</v>
      </c>
      <c r="AE1386" t="s">
        <v>3449</v>
      </c>
      <c r="AF1386" t="s">
        <v>4300</v>
      </c>
      <c r="AG1386" t="s">
        <v>3360</v>
      </c>
      <c r="AH1386" t="s">
        <v>4904</v>
      </c>
      <c r="AK1386" t="s">
        <v>4911</v>
      </c>
      <c r="AL1386" t="s">
        <v>2116</v>
      </c>
      <c r="AM1386" t="s">
        <v>3294</v>
      </c>
      <c r="AN1386" t="s">
        <v>3418</v>
      </c>
    </row>
    <row r="1387" spans="1:40">
      <c r="A1387" s="1" t="s">
        <v>1423</v>
      </c>
      <c r="B1387" t="s">
        <v>1998</v>
      </c>
      <c r="C1387" t="s">
        <v>2001</v>
      </c>
      <c r="D1387" t="s">
        <v>2034</v>
      </c>
      <c r="E1387" t="s">
        <v>2112</v>
      </c>
      <c r="F1387" t="s">
        <v>2123</v>
      </c>
      <c r="G1387" t="s">
        <v>2212</v>
      </c>
      <c r="H1387">
        <v>11372</v>
      </c>
      <c r="I1387" t="s">
        <v>2230</v>
      </c>
      <c r="J1387">
        <v>1</v>
      </c>
      <c r="K1387">
        <v>0</v>
      </c>
      <c r="L1387" t="s">
        <v>2350</v>
      </c>
      <c r="M1387" t="s">
        <v>2677</v>
      </c>
      <c r="P1387" t="s">
        <v>2771</v>
      </c>
      <c r="Q1387" t="s">
        <v>2113</v>
      </c>
      <c r="R1387" t="s">
        <v>3258</v>
      </c>
      <c r="S1387" t="s">
        <v>3271</v>
      </c>
      <c r="T1387" t="s">
        <v>3294</v>
      </c>
      <c r="U1387" t="s">
        <v>2771</v>
      </c>
      <c r="X1387" t="s">
        <v>3354</v>
      </c>
      <c r="Y1387" t="s">
        <v>2678</v>
      </c>
      <c r="Z1387" t="s">
        <v>3362</v>
      </c>
      <c r="AA1387" t="s">
        <v>3406</v>
      </c>
      <c r="AB1387" t="s">
        <v>3419</v>
      </c>
      <c r="AC1387">
        <f>HYPERLINK("https://lsnyc.legalserver.org/matter/dynamic-profile/view/1872591","18-1872591")</f>
        <v>0</v>
      </c>
      <c r="AD1387" t="s">
        <v>3443</v>
      </c>
      <c r="AE1387" t="s">
        <v>3477</v>
      </c>
      <c r="AF1387" t="s">
        <v>4510</v>
      </c>
      <c r="AG1387" t="s">
        <v>3362</v>
      </c>
      <c r="AH1387" t="s">
        <v>4904</v>
      </c>
      <c r="AL1387" t="s">
        <v>2123</v>
      </c>
      <c r="AM1387" t="s">
        <v>3294</v>
      </c>
      <c r="AN1387" t="s">
        <v>3419</v>
      </c>
    </row>
    <row r="1388" spans="1:40">
      <c r="A1388" s="1" t="s">
        <v>1424</v>
      </c>
      <c r="B1388" t="s">
        <v>2019</v>
      </c>
      <c r="C1388" t="s">
        <v>2015</v>
      </c>
      <c r="D1388" t="s">
        <v>2051</v>
      </c>
      <c r="E1388" t="s">
        <v>2111</v>
      </c>
      <c r="F1388" t="s">
        <v>2179</v>
      </c>
      <c r="G1388" t="s">
        <v>2214</v>
      </c>
      <c r="H1388">
        <v>11233</v>
      </c>
      <c r="I1388" t="s">
        <v>2230</v>
      </c>
      <c r="J1388">
        <v>2</v>
      </c>
      <c r="K1388">
        <v>0</v>
      </c>
      <c r="L1388" t="s">
        <v>2549</v>
      </c>
      <c r="M1388" t="s">
        <v>2678</v>
      </c>
      <c r="N1388" t="s">
        <v>2679</v>
      </c>
      <c r="O1388" t="s">
        <v>2681</v>
      </c>
      <c r="P1388" t="s">
        <v>2755</v>
      </c>
      <c r="Q1388" t="s">
        <v>2113</v>
      </c>
      <c r="R1388" t="s">
        <v>3259</v>
      </c>
      <c r="S1388" t="s">
        <v>3268</v>
      </c>
      <c r="T1388" t="s">
        <v>3296</v>
      </c>
      <c r="U1388" t="s">
        <v>2755</v>
      </c>
      <c r="X1388" t="s">
        <v>3354</v>
      </c>
      <c r="Y1388" t="s">
        <v>2678</v>
      </c>
      <c r="Z1388" t="s">
        <v>3360</v>
      </c>
      <c r="AA1388" t="s">
        <v>3406</v>
      </c>
      <c r="AB1388" t="s">
        <v>3416</v>
      </c>
      <c r="AC1388">
        <f>HYPERLINK("https://lsnyc.legalserver.org/matter/dynamic-profile/view/1873053","18-1873053")</f>
        <v>0</v>
      </c>
      <c r="AD1388" t="s">
        <v>3446</v>
      </c>
      <c r="AE1388" t="s">
        <v>3465</v>
      </c>
      <c r="AF1388" t="s">
        <v>4511</v>
      </c>
      <c r="AG1388" t="s">
        <v>3360</v>
      </c>
      <c r="AH1388" t="s">
        <v>4904</v>
      </c>
      <c r="AL1388" t="s">
        <v>2179</v>
      </c>
      <c r="AM1388" t="s">
        <v>3296</v>
      </c>
      <c r="AN1388" t="s">
        <v>3416</v>
      </c>
    </row>
    <row r="1389" spans="1:40">
      <c r="A1389" s="1" t="s">
        <v>1425</v>
      </c>
      <c r="B1389" t="s">
        <v>2019</v>
      </c>
      <c r="C1389" t="s">
        <v>2015</v>
      </c>
      <c r="D1389" t="s">
        <v>2051</v>
      </c>
      <c r="E1389" t="s">
        <v>2111</v>
      </c>
      <c r="F1389" t="s">
        <v>2179</v>
      </c>
      <c r="G1389" t="s">
        <v>2214</v>
      </c>
      <c r="H1389">
        <v>11233</v>
      </c>
      <c r="I1389" t="s">
        <v>2230</v>
      </c>
      <c r="J1389">
        <v>2</v>
      </c>
      <c r="K1389">
        <v>0</v>
      </c>
      <c r="L1389" t="s">
        <v>2549</v>
      </c>
      <c r="M1389" t="s">
        <v>2678</v>
      </c>
      <c r="N1389" t="s">
        <v>2679</v>
      </c>
      <c r="O1389" t="s">
        <v>2681</v>
      </c>
      <c r="P1389" t="s">
        <v>2755</v>
      </c>
      <c r="Q1389" t="s">
        <v>2113</v>
      </c>
      <c r="R1389" t="s">
        <v>3259</v>
      </c>
      <c r="S1389" t="s">
        <v>3268</v>
      </c>
      <c r="T1389" t="s">
        <v>3296</v>
      </c>
      <c r="U1389" t="s">
        <v>2755</v>
      </c>
      <c r="X1389" t="s">
        <v>3354</v>
      </c>
      <c r="Y1389" t="s">
        <v>2678</v>
      </c>
      <c r="Z1389" t="s">
        <v>3360</v>
      </c>
      <c r="AA1389" t="s">
        <v>3406</v>
      </c>
      <c r="AB1389" t="s">
        <v>3416</v>
      </c>
      <c r="AC1389">
        <f>HYPERLINK("https://lsnyc.legalserver.org/matter/dynamic-profile/view/1873055","18-1873055")</f>
        <v>0</v>
      </c>
      <c r="AD1389" t="s">
        <v>3446</v>
      </c>
      <c r="AE1389" t="s">
        <v>3465</v>
      </c>
      <c r="AF1389" t="s">
        <v>4511</v>
      </c>
      <c r="AG1389" t="s">
        <v>3360</v>
      </c>
      <c r="AH1389" t="s">
        <v>4904</v>
      </c>
      <c r="AL1389" t="s">
        <v>2179</v>
      </c>
      <c r="AM1389" t="s">
        <v>3296</v>
      </c>
      <c r="AN1389" t="s">
        <v>3416</v>
      </c>
    </row>
    <row r="1390" spans="1:40">
      <c r="A1390" s="1" t="s">
        <v>1426</v>
      </c>
      <c r="B1390" t="s">
        <v>2002</v>
      </c>
      <c r="C1390" t="s">
        <v>2000</v>
      </c>
      <c r="D1390" t="s">
        <v>2087</v>
      </c>
      <c r="E1390" t="s">
        <v>2111</v>
      </c>
      <c r="F1390" t="s">
        <v>2115</v>
      </c>
      <c r="G1390" t="s">
        <v>2212</v>
      </c>
      <c r="H1390">
        <v>11432</v>
      </c>
      <c r="I1390" t="s">
        <v>2229</v>
      </c>
      <c r="J1390">
        <v>1</v>
      </c>
      <c r="K1390">
        <v>0</v>
      </c>
      <c r="L1390" t="s">
        <v>2550</v>
      </c>
      <c r="M1390" t="s">
        <v>2677</v>
      </c>
      <c r="P1390" t="s">
        <v>3016</v>
      </c>
      <c r="Q1390" t="s">
        <v>2113</v>
      </c>
      <c r="R1390" t="s">
        <v>3258</v>
      </c>
      <c r="S1390" t="s">
        <v>3279</v>
      </c>
      <c r="X1390" t="s">
        <v>3354</v>
      </c>
      <c r="Y1390" t="s">
        <v>2678</v>
      </c>
      <c r="Z1390" t="s">
        <v>3377</v>
      </c>
      <c r="AA1390" t="s">
        <v>3406</v>
      </c>
      <c r="AB1390" t="s">
        <v>3427</v>
      </c>
      <c r="AC1390">
        <f>HYPERLINK("https://lsnyc.legalserver.org/matter/dynamic-profile/view/1873080","18-1873080")</f>
        <v>0</v>
      </c>
      <c r="AD1390" t="s">
        <v>3443</v>
      </c>
      <c r="AE1390" t="s">
        <v>3477</v>
      </c>
      <c r="AF1390" t="s">
        <v>4512</v>
      </c>
      <c r="AG1390" t="s">
        <v>3377</v>
      </c>
      <c r="AH1390" t="s">
        <v>4904</v>
      </c>
      <c r="AK1390" t="s">
        <v>4911</v>
      </c>
      <c r="AL1390" t="s">
        <v>2115</v>
      </c>
      <c r="AN1390" t="s">
        <v>3427</v>
      </c>
    </row>
    <row r="1391" spans="1:40">
      <c r="A1391" s="1" t="s">
        <v>1427</v>
      </c>
      <c r="B1391" t="s">
        <v>2001</v>
      </c>
      <c r="C1391" t="s">
        <v>2021</v>
      </c>
      <c r="D1391" t="s">
        <v>2027</v>
      </c>
      <c r="E1391" t="s">
        <v>2112</v>
      </c>
      <c r="F1391" t="s">
        <v>2117</v>
      </c>
      <c r="G1391" t="s">
        <v>2212</v>
      </c>
      <c r="H1391">
        <v>11433</v>
      </c>
      <c r="I1391" t="s">
        <v>2229</v>
      </c>
      <c r="J1391">
        <v>2</v>
      </c>
      <c r="K1391">
        <v>1</v>
      </c>
      <c r="L1391" t="s">
        <v>2260</v>
      </c>
      <c r="M1391" t="s">
        <v>2677</v>
      </c>
      <c r="P1391" t="s">
        <v>3016</v>
      </c>
      <c r="Q1391" t="s">
        <v>2113</v>
      </c>
      <c r="R1391" t="s">
        <v>3259</v>
      </c>
      <c r="S1391" t="s">
        <v>3267</v>
      </c>
      <c r="X1391" t="s">
        <v>3354</v>
      </c>
      <c r="Y1391" t="s">
        <v>2678</v>
      </c>
      <c r="Z1391" t="s">
        <v>3380</v>
      </c>
      <c r="AA1391" t="s">
        <v>3406</v>
      </c>
      <c r="AB1391" t="s">
        <v>3415</v>
      </c>
      <c r="AC1391">
        <f>HYPERLINK("https://lsnyc.legalserver.org/matter/dynamic-profile/view/1873110","18-1873110")</f>
        <v>0</v>
      </c>
      <c r="AD1391" t="s">
        <v>3443</v>
      </c>
      <c r="AE1391" t="s">
        <v>3450</v>
      </c>
      <c r="AF1391" t="s">
        <v>4513</v>
      </c>
      <c r="AG1391" t="s">
        <v>3380</v>
      </c>
      <c r="AH1391" t="s">
        <v>4906</v>
      </c>
      <c r="AK1391" t="s">
        <v>4911</v>
      </c>
      <c r="AL1391" t="s">
        <v>2117</v>
      </c>
      <c r="AN1391" t="s">
        <v>3415</v>
      </c>
    </row>
    <row r="1392" spans="1:40">
      <c r="A1392" s="1" t="s">
        <v>1428</v>
      </c>
      <c r="B1392" t="s">
        <v>2009</v>
      </c>
      <c r="C1392" t="s">
        <v>2009</v>
      </c>
      <c r="D1392" t="s">
        <v>2038</v>
      </c>
      <c r="E1392" t="s">
        <v>2111</v>
      </c>
      <c r="F1392" t="s">
        <v>2129</v>
      </c>
      <c r="G1392" t="s">
        <v>2214</v>
      </c>
      <c r="H1392">
        <v>11207</v>
      </c>
      <c r="I1392" t="s">
        <v>2232</v>
      </c>
      <c r="J1392">
        <v>1</v>
      </c>
      <c r="K1392">
        <v>0</v>
      </c>
      <c r="L1392" t="s">
        <v>2260</v>
      </c>
      <c r="M1392" t="s">
        <v>2677</v>
      </c>
      <c r="P1392" t="s">
        <v>3017</v>
      </c>
      <c r="Q1392" t="s">
        <v>2113</v>
      </c>
      <c r="R1392" t="s">
        <v>3259</v>
      </c>
      <c r="S1392" t="s">
        <v>3268</v>
      </c>
      <c r="X1392" t="s">
        <v>3354</v>
      </c>
      <c r="Y1392" t="s">
        <v>2677</v>
      </c>
      <c r="Z1392" t="s">
        <v>3368</v>
      </c>
      <c r="AA1392" t="s">
        <v>3406</v>
      </c>
      <c r="AB1392" t="s">
        <v>3416</v>
      </c>
      <c r="AC1392">
        <f>HYPERLINK("https://lsnyc.legalserver.org/matter/dynamic-profile/view/1872960","18-1872960")</f>
        <v>0</v>
      </c>
      <c r="AD1392" t="s">
        <v>3446</v>
      </c>
      <c r="AE1392" t="s">
        <v>3456</v>
      </c>
      <c r="AF1392" t="s">
        <v>4514</v>
      </c>
      <c r="AG1392" t="s">
        <v>3368</v>
      </c>
      <c r="AH1392" t="s">
        <v>4904</v>
      </c>
      <c r="AK1392" t="s">
        <v>4911</v>
      </c>
      <c r="AL1392" t="s">
        <v>2129</v>
      </c>
      <c r="AN1392" t="s">
        <v>3416</v>
      </c>
    </row>
    <row r="1393" spans="1:41">
      <c r="A1393" s="1" t="s">
        <v>1429</v>
      </c>
      <c r="B1393" t="s">
        <v>2002</v>
      </c>
      <c r="C1393" t="s">
        <v>2016</v>
      </c>
      <c r="D1393" t="s">
        <v>2079</v>
      </c>
      <c r="E1393" t="s">
        <v>2112</v>
      </c>
      <c r="F1393" t="s">
        <v>2138</v>
      </c>
      <c r="G1393" t="s">
        <v>2214</v>
      </c>
      <c r="H1393">
        <v>11219</v>
      </c>
      <c r="J1393">
        <v>1</v>
      </c>
      <c r="K1393">
        <v>0</v>
      </c>
      <c r="L1393" t="s">
        <v>2260</v>
      </c>
      <c r="M1393" t="s">
        <v>2677</v>
      </c>
      <c r="P1393" t="s">
        <v>3018</v>
      </c>
      <c r="Q1393" t="s">
        <v>2113</v>
      </c>
      <c r="R1393" t="s">
        <v>3258</v>
      </c>
      <c r="S1393" t="s">
        <v>3286</v>
      </c>
      <c r="X1393" t="s">
        <v>3354</v>
      </c>
      <c r="Y1393" t="s">
        <v>2677</v>
      </c>
      <c r="Z1393" t="s">
        <v>3388</v>
      </c>
      <c r="AA1393" t="s">
        <v>3406</v>
      </c>
      <c r="AB1393" t="s">
        <v>3434</v>
      </c>
      <c r="AC1393">
        <f>HYPERLINK("https://lsnyc.legalserver.org/matter/dynamic-profile/view/1872750","18-1872750")</f>
        <v>0</v>
      </c>
      <c r="AD1393" t="s">
        <v>3445</v>
      </c>
      <c r="AE1393" t="s">
        <v>3455</v>
      </c>
      <c r="AF1393" t="s">
        <v>4515</v>
      </c>
      <c r="AG1393" t="s">
        <v>3388</v>
      </c>
      <c r="AH1393" t="s">
        <v>4904</v>
      </c>
      <c r="AK1393" t="s">
        <v>4911</v>
      </c>
      <c r="AL1393" t="s">
        <v>2138</v>
      </c>
      <c r="AN1393" t="s">
        <v>3434</v>
      </c>
    </row>
    <row r="1394" spans="1:41">
      <c r="A1394" s="1" t="s">
        <v>1430</v>
      </c>
      <c r="B1394" t="s">
        <v>2000</v>
      </c>
      <c r="C1394" t="s">
        <v>2016</v>
      </c>
      <c r="D1394" t="s">
        <v>2068</v>
      </c>
      <c r="E1394" t="s">
        <v>2112</v>
      </c>
      <c r="F1394" t="s">
        <v>2121</v>
      </c>
      <c r="G1394" t="s">
        <v>2212</v>
      </c>
      <c r="H1394">
        <v>11370</v>
      </c>
      <c r="I1394" t="s">
        <v>2230</v>
      </c>
      <c r="J1394">
        <v>3</v>
      </c>
      <c r="K1394">
        <v>2</v>
      </c>
      <c r="L1394" t="s">
        <v>2262</v>
      </c>
      <c r="M1394" t="s">
        <v>2677</v>
      </c>
      <c r="P1394" t="s">
        <v>3018</v>
      </c>
      <c r="Q1394" t="s">
        <v>2113</v>
      </c>
      <c r="R1394" t="s">
        <v>3259</v>
      </c>
      <c r="S1394" t="s">
        <v>3287</v>
      </c>
      <c r="X1394" t="s">
        <v>3354</v>
      </c>
      <c r="Y1394" t="s">
        <v>2677</v>
      </c>
      <c r="Z1394" t="s">
        <v>3378</v>
      </c>
      <c r="AA1394" t="s">
        <v>3406</v>
      </c>
      <c r="AB1394" t="s">
        <v>3435</v>
      </c>
      <c r="AC1394">
        <f>HYPERLINK("https://lsnyc.legalserver.org/matter/dynamic-profile/view/1872781","18-1872781")</f>
        <v>0</v>
      </c>
      <c r="AD1394" t="s">
        <v>3445</v>
      </c>
      <c r="AE1394" t="s">
        <v>3455</v>
      </c>
      <c r="AF1394" t="s">
        <v>4516</v>
      </c>
      <c r="AG1394" t="s">
        <v>3378</v>
      </c>
      <c r="AH1394" t="s">
        <v>4904</v>
      </c>
      <c r="AK1394" t="s">
        <v>4911</v>
      </c>
      <c r="AL1394" t="s">
        <v>2121</v>
      </c>
      <c r="AN1394" t="s">
        <v>3435</v>
      </c>
    </row>
    <row r="1395" spans="1:41">
      <c r="A1395" s="1" t="s">
        <v>1431</v>
      </c>
      <c r="B1395" t="s">
        <v>1998</v>
      </c>
      <c r="C1395" t="s">
        <v>2003</v>
      </c>
      <c r="D1395" t="s">
        <v>2031</v>
      </c>
      <c r="E1395" t="s">
        <v>2111</v>
      </c>
      <c r="F1395" t="s">
        <v>2117</v>
      </c>
      <c r="G1395" t="s">
        <v>2213</v>
      </c>
      <c r="H1395">
        <v>10457</v>
      </c>
      <c r="I1395" t="s">
        <v>2229</v>
      </c>
      <c r="J1395">
        <v>2</v>
      </c>
      <c r="K1395">
        <v>1</v>
      </c>
      <c r="L1395" t="s">
        <v>2266</v>
      </c>
      <c r="M1395" t="s">
        <v>2677</v>
      </c>
      <c r="P1395" t="s">
        <v>2834</v>
      </c>
      <c r="Q1395" t="s">
        <v>2113</v>
      </c>
      <c r="R1395" t="s">
        <v>3259</v>
      </c>
      <c r="S1395" t="s">
        <v>3267</v>
      </c>
      <c r="T1395" t="s">
        <v>3294</v>
      </c>
      <c r="U1395" t="s">
        <v>3306</v>
      </c>
      <c r="X1395" t="s">
        <v>3354</v>
      </c>
      <c r="Y1395" t="s">
        <v>2678</v>
      </c>
      <c r="Z1395" t="s">
        <v>3380</v>
      </c>
      <c r="AA1395" t="s">
        <v>3406</v>
      </c>
      <c r="AB1395" t="s">
        <v>3415</v>
      </c>
      <c r="AC1395">
        <f>HYPERLINK("https://lsnyc.legalserver.org/matter/dynamic-profile/view/1872804","18-1872804")</f>
        <v>0</v>
      </c>
      <c r="AD1395" t="s">
        <v>3442</v>
      </c>
      <c r="AE1395" t="s">
        <v>3470</v>
      </c>
      <c r="AF1395" t="s">
        <v>4055</v>
      </c>
      <c r="AG1395" t="s">
        <v>3380</v>
      </c>
      <c r="AH1395" t="s">
        <v>4906</v>
      </c>
      <c r="AL1395" t="s">
        <v>2117</v>
      </c>
      <c r="AM1395" t="s">
        <v>3294</v>
      </c>
      <c r="AN1395" t="s">
        <v>3415</v>
      </c>
    </row>
    <row r="1396" spans="1:41">
      <c r="A1396" s="1" t="s">
        <v>1432</v>
      </c>
      <c r="B1396" t="s">
        <v>2002</v>
      </c>
      <c r="C1396" t="s">
        <v>2009</v>
      </c>
      <c r="D1396" t="s">
        <v>2083</v>
      </c>
      <c r="E1396" t="s">
        <v>2111</v>
      </c>
      <c r="F1396" t="s">
        <v>2129</v>
      </c>
      <c r="G1396" t="s">
        <v>2216</v>
      </c>
      <c r="H1396">
        <v>10312</v>
      </c>
      <c r="I1396" t="s">
        <v>2232</v>
      </c>
      <c r="J1396">
        <v>3</v>
      </c>
      <c r="K1396">
        <v>1</v>
      </c>
      <c r="L1396" t="s">
        <v>2256</v>
      </c>
      <c r="M1396" t="s">
        <v>2677</v>
      </c>
      <c r="P1396" t="s">
        <v>3019</v>
      </c>
      <c r="Q1396" t="s">
        <v>2113</v>
      </c>
      <c r="R1396" t="s">
        <v>3259</v>
      </c>
      <c r="S1396" t="s">
        <v>3267</v>
      </c>
      <c r="T1396" t="s">
        <v>3294</v>
      </c>
      <c r="U1396" t="s">
        <v>2956</v>
      </c>
      <c r="X1396" t="s">
        <v>3354</v>
      </c>
      <c r="Y1396" t="s">
        <v>2678</v>
      </c>
      <c r="Z1396" t="s">
        <v>3380</v>
      </c>
      <c r="AA1396" t="s">
        <v>3406</v>
      </c>
      <c r="AB1396" t="s">
        <v>3415</v>
      </c>
      <c r="AC1396">
        <f>HYPERLINK("https://lsnyc.legalserver.org/matter/dynamic-profile/view/1868658","18-1868658")</f>
        <v>0</v>
      </c>
      <c r="AD1396" t="s">
        <v>3447</v>
      </c>
      <c r="AE1396" t="s">
        <v>3463</v>
      </c>
      <c r="AF1396" t="s">
        <v>4517</v>
      </c>
      <c r="AG1396" t="s">
        <v>3380</v>
      </c>
      <c r="AH1396" t="s">
        <v>4906</v>
      </c>
      <c r="AK1396" t="s">
        <v>4911</v>
      </c>
      <c r="AL1396" t="s">
        <v>2129</v>
      </c>
      <c r="AM1396" t="s">
        <v>3294</v>
      </c>
      <c r="AN1396" t="s">
        <v>3415</v>
      </c>
    </row>
    <row r="1397" spans="1:41">
      <c r="A1397" s="1" t="s">
        <v>1433</v>
      </c>
      <c r="B1397" t="s">
        <v>2000</v>
      </c>
      <c r="C1397" t="s">
        <v>1998</v>
      </c>
      <c r="D1397" t="s">
        <v>2038</v>
      </c>
      <c r="E1397" t="s">
        <v>2112</v>
      </c>
      <c r="F1397" t="s">
        <v>2199</v>
      </c>
      <c r="G1397" t="s">
        <v>2211</v>
      </c>
      <c r="H1397">
        <v>10282</v>
      </c>
      <c r="I1397" t="s">
        <v>2230</v>
      </c>
      <c r="J1397">
        <v>1</v>
      </c>
      <c r="K1397">
        <v>0</v>
      </c>
      <c r="L1397" t="s">
        <v>2331</v>
      </c>
      <c r="M1397" t="s">
        <v>2677</v>
      </c>
      <c r="P1397" t="s">
        <v>3019</v>
      </c>
      <c r="Q1397" t="s">
        <v>2113</v>
      </c>
      <c r="R1397" t="s">
        <v>3259</v>
      </c>
      <c r="S1397" t="s">
        <v>3264</v>
      </c>
      <c r="T1397" t="s">
        <v>3294</v>
      </c>
      <c r="U1397" t="s">
        <v>2877</v>
      </c>
      <c r="X1397" t="s">
        <v>3354</v>
      </c>
      <c r="Y1397" t="s">
        <v>2678</v>
      </c>
      <c r="Z1397" t="s">
        <v>3357</v>
      </c>
      <c r="AA1397" t="s">
        <v>3406</v>
      </c>
      <c r="AB1397" t="s">
        <v>3412</v>
      </c>
      <c r="AC1397">
        <f>HYPERLINK("https://lsnyc.legalserver.org/matter/dynamic-profile/view/1872614","18-1872614")</f>
        <v>0</v>
      </c>
      <c r="AD1397" t="s">
        <v>3442</v>
      </c>
      <c r="AE1397" t="s">
        <v>3470</v>
      </c>
      <c r="AF1397" t="s">
        <v>4518</v>
      </c>
      <c r="AG1397" t="s">
        <v>3357</v>
      </c>
      <c r="AH1397" t="s">
        <v>4904</v>
      </c>
      <c r="AK1397" t="s">
        <v>4911</v>
      </c>
      <c r="AL1397" t="s">
        <v>2199</v>
      </c>
      <c r="AM1397" t="s">
        <v>3294</v>
      </c>
      <c r="AN1397" t="s">
        <v>3412</v>
      </c>
    </row>
    <row r="1398" spans="1:41">
      <c r="A1398" s="1" t="s">
        <v>1434</v>
      </c>
      <c r="B1398" t="s">
        <v>1998</v>
      </c>
      <c r="C1398" t="s">
        <v>2000</v>
      </c>
      <c r="D1398" t="s">
        <v>2068</v>
      </c>
      <c r="E1398" t="s">
        <v>2112</v>
      </c>
      <c r="F1398" t="s">
        <v>2135</v>
      </c>
      <c r="G1398" t="s">
        <v>2212</v>
      </c>
      <c r="H1398">
        <v>11373</v>
      </c>
      <c r="I1398" t="s">
        <v>2229</v>
      </c>
      <c r="J1398">
        <v>4</v>
      </c>
      <c r="K1398">
        <v>2</v>
      </c>
      <c r="L1398" t="s">
        <v>2358</v>
      </c>
      <c r="M1398" t="s">
        <v>2677</v>
      </c>
      <c r="P1398" t="s">
        <v>3020</v>
      </c>
      <c r="Q1398" t="s">
        <v>2113</v>
      </c>
      <c r="R1398" t="s">
        <v>3259</v>
      </c>
      <c r="S1398" t="s">
        <v>3287</v>
      </c>
      <c r="X1398" t="s">
        <v>3354</v>
      </c>
      <c r="Y1398" t="s">
        <v>2677</v>
      </c>
      <c r="Z1398" t="s">
        <v>3378</v>
      </c>
      <c r="AA1398" t="s">
        <v>3406</v>
      </c>
      <c r="AB1398" t="s">
        <v>3435</v>
      </c>
      <c r="AC1398">
        <f>HYPERLINK("https://lsnyc.legalserver.org/matter/dynamic-profile/view/1872477","18-1872477")</f>
        <v>0</v>
      </c>
      <c r="AD1398" t="s">
        <v>3445</v>
      </c>
      <c r="AE1398" t="s">
        <v>3455</v>
      </c>
      <c r="AF1398" t="s">
        <v>4519</v>
      </c>
      <c r="AG1398" t="s">
        <v>3378</v>
      </c>
      <c r="AH1398" t="s">
        <v>4904</v>
      </c>
      <c r="AK1398" t="s">
        <v>4911</v>
      </c>
      <c r="AL1398" t="s">
        <v>2135</v>
      </c>
      <c r="AN1398" t="s">
        <v>3435</v>
      </c>
    </row>
    <row r="1399" spans="1:41">
      <c r="A1399" s="1" t="s">
        <v>1435</v>
      </c>
      <c r="B1399" t="s">
        <v>2001</v>
      </c>
      <c r="C1399" t="s">
        <v>2016</v>
      </c>
      <c r="D1399" t="s">
        <v>2040</v>
      </c>
      <c r="E1399" t="s">
        <v>2112</v>
      </c>
      <c r="F1399" t="s">
        <v>2117</v>
      </c>
      <c r="G1399" t="s">
        <v>2213</v>
      </c>
      <c r="H1399">
        <v>10454</v>
      </c>
      <c r="J1399">
        <v>5</v>
      </c>
      <c r="K1399">
        <v>2</v>
      </c>
      <c r="L1399" t="s">
        <v>2262</v>
      </c>
      <c r="M1399" t="s">
        <v>2677</v>
      </c>
      <c r="P1399" t="s">
        <v>3020</v>
      </c>
      <c r="Q1399" t="s">
        <v>3255</v>
      </c>
      <c r="R1399" t="s">
        <v>3259</v>
      </c>
      <c r="S1399" t="s">
        <v>3288</v>
      </c>
      <c r="T1399" t="s">
        <v>3298</v>
      </c>
      <c r="U1399" t="s">
        <v>2991</v>
      </c>
      <c r="V1399" t="s">
        <v>3353</v>
      </c>
      <c r="X1399" t="s">
        <v>3354</v>
      </c>
      <c r="Y1399" t="s">
        <v>2678</v>
      </c>
      <c r="Z1399" t="s">
        <v>3389</v>
      </c>
      <c r="AA1399" t="s">
        <v>3406</v>
      </c>
      <c r="AB1399" t="s">
        <v>3436</v>
      </c>
      <c r="AC1399">
        <f>HYPERLINK("https://lsnyc.legalserver.org/matter/dynamic-profile/view/1872541","18-1872541")</f>
        <v>0</v>
      </c>
      <c r="AD1399" t="s">
        <v>3444</v>
      </c>
      <c r="AE1399" t="s">
        <v>3468</v>
      </c>
      <c r="AF1399" t="s">
        <v>3831</v>
      </c>
      <c r="AG1399" t="s">
        <v>3389</v>
      </c>
      <c r="AH1399" t="s">
        <v>4905</v>
      </c>
      <c r="AK1399" t="s">
        <v>4911</v>
      </c>
      <c r="AL1399" t="s">
        <v>2117</v>
      </c>
      <c r="AM1399" t="s">
        <v>3298</v>
      </c>
      <c r="AN1399" t="s">
        <v>3436</v>
      </c>
      <c r="AO1399" t="s">
        <v>3353</v>
      </c>
    </row>
    <row r="1400" spans="1:41">
      <c r="A1400" s="1" t="s">
        <v>1436</v>
      </c>
      <c r="B1400" t="s">
        <v>1998</v>
      </c>
      <c r="C1400" t="s">
        <v>2007</v>
      </c>
      <c r="D1400" t="s">
        <v>2054</v>
      </c>
      <c r="E1400" t="s">
        <v>2112</v>
      </c>
      <c r="F1400" t="s">
        <v>2117</v>
      </c>
      <c r="G1400" t="s">
        <v>2213</v>
      </c>
      <c r="H1400">
        <v>10454</v>
      </c>
      <c r="J1400">
        <v>5</v>
      </c>
      <c r="K1400">
        <v>2</v>
      </c>
      <c r="L1400" t="s">
        <v>2316</v>
      </c>
      <c r="M1400" t="s">
        <v>2677</v>
      </c>
      <c r="P1400" t="s">
        <v>3020</v>
      </c>
      <c r="Q1400" t="s">
        <v>2113</v>
      </c>
      <c r="R1400" t="s">
        <v>3259</v>
      </c>
      <c r="S1400" t="s">
        <v>3288</v>
      </c>
      <c r="T1400" t="s">
        <v>3298</v>
      </c>
      <c r="U1400" t="s">
        <v>2958</v>
      </c>
      <c r="V1400" t="s">
        <v>3353</v>
      </c>
      <c r="X1400" t="s">
        <v>3354</v>
      </c>
      <c r="Y1400" t="s">
        <v>2678</v>
      </c>
      <c r="Z1400" t="s">
        <v>3389</v>
      </c>
      <c r="AA1400" t="s">
        <v>3406</v>
      </c>
      <c r="AB1400" t="s">
        <v>3436</v>
      </c>
      <c r="AC1400">
        <f>HYPERLINK("https://lsnyc.legalserver.org/matter/dynamic-profile/view/1872560","18-1872560")</f>
        <v>0</v>
      </c>
      <c r="AD1400" t="s">
        <v>3444</v>
      </c>
      <c r="AE1400" t="s">
        <v>3468</v>
      </c>
      <c r="AF1400" t="s">
        <v>3824</v>
      </c>
      <c r="AG1400" t="s">
        <v>3389</v>
      </c>
      <c r="AH1400" t="s">
        <v>4905</v>
      </c>
      <c r="AK1400" t="s">
        <v>4911</v>
      </c>
      <c r="AL1400" t="s">
        <v>2117</v>
      </c>
      <c r="AM1400" t="s">
        <v>3298</v>
      </c>
      <c r="AN1400" t="s">
        <v>3436</v>
      </c>
      <c r="AO1400" t="s">
        <v>3353</v>
      </c>
    </row>
    <row r="1401" spans="1:41">
      <c r="A1401" s="1" t="s">
        <v>1437</v>
      </c>
      <c r="B1401" t="s">
        <v>2001</v>
      </c>
      <c r="C1401" t="s">
        <v>2012</v>
      </c>
      <c r="D1401" t="s">
        <v>2027</v>
      </c>
      <c r="E1401" t="s">
        <v>2112</v>
      </c>
      <c r="F1401" t="s">
        <v>2117</v>
      </c>
      <c r="G1401" t="s">
        <v>2213</v>
      </c>
      <c r="H1401">
        <v>10454</v>
      </c>
      <c r="J1401">
        <v>5</v>
      </c>
      <c r="K1401">
        <v>2</v>
      </c>
      <c r="L1401" t="s">
        <v>2262</v>
      </c>
      <c r="M1401" t="s">
        <v>2677</v>
      </c>
      <c r="P1401" t="s">
        <v>3020</v>
      </c>
      <c r="Q1401" t="s">
        <v>2113</v>
      </c>
      <c r="R1401" t="s">
        <v>3259</v>
      </c>
      <c r="S1401" t="s">
        <v>3288</v>
      </c>
      <c r="T1401" t="s">
        <v>3298</v>
      </c>
      <c r="U1401" t="s">
        <v>2958</v>
      </c>
      <c r="V1401" t="s">
        <v>3353</v>
      </c>
      <c r="X1401" t="s">
        <v>3354</v>
      </c>
      <c r="Y1401" t="s">
        <v>2678</v>
      </c>
      <c r="Z1401" t="s">
        <v>3389</v>
      </c>
      <c r="AA1401" t="s">
        <v>3406</v>
      </c>
      <c r="AB1401" t="s">
        <v>3436</v>
      </c>
      <c r="AC1401">
        <f>HYPERLINK("https://lsnyc.legalserver.org/matter/dynamic-profile/view/1872564","18-1872564")</f>
        <v>0</v>
      </c>
      <c r="AD1401" t="s">
        <v>3444</v>
      </c>
      <c r="AE1401" t="s">
        <v>3468</v>
      </c>
      <c r="AF1401" t="s">
        <v>3830</v>
      </c>
      <c r="AG1401" t="s">
        <v>3389</v>
      </c>
      <c r="AH1401" t="s">
        <v>4905</v>
      </c>
      <c r="AK1401" t="s">
        <v>4911</v>
      </c>
      <c r="AL1401" t="s">
        <v>2117</v>
      </c>
      <c r="AM1401" t="s">
        <v>3298</v>
      </c>
      <c r="AN1401" t="s">
        <v>3436</v>
      </c>
      <c r="AO1401" t="s">
        <v>3353</v>
      </c>
    </row>
    <row r="1402" spans="1:41">
      <c r="A1402" s="1" t="s">
        <v>1438</v>
      </c>
      <c r="B1402" t="s">
        <v>1998</v>
      </c>
      <c r="C1402" t="s">
        <v>1998</v>
      </c>
      <c r="D1402" t="s">
        <v>2029</v>
      </c>
      <c r="E1402" t="s">
        <v>2112</v>
      </c>
      <c r="F1402" t="s">
        <v>2117</v>
      </c>
      <c r="G1402" t="s">
        <v>2214</v>
      </c>
      <c r="H1402">
        <v>11207</v>
      </c>
      <c r="I1402" t="s">
        <v>2229</v>
      </c>
      <c r="J1402">
        <v>2</v>
      </c>
      <c r="K1402">
        <v>1</v>
      </c>
      <c r="L1402" t="s">
        <v>2260</v>
      </c>
      <c r="M1402" t="s">
        <v>2677</v>
      </c>
      <c r="P1402" t="s">
        <v>2786</v>
      </c>
      <c r="Q1402" t="s">
        <v>2113</v>
      </c>
      <c r="R1402" t="s">
        <v>3259</v>
      </c>
      <c r="S1402" t="s">
        <v>3267</v>
      </c>
      <c r="T1402" t="s">
        <v>3294</v>
      </c>
      <c r="U1402" t="s">
        <v>2858</v>
      </c>
      <c r="V1402" t="s">
        <v>3353</v>
      </c>
      <c r="X1402" t="s">
        <v>3354</v>
      </c>
      <c r="Y1402" t="s">
        <v>2678</v>
      </c>
      <c r="Z1402" t="s">
        <v>3380</v>
      </c>
      <c r="AA1402" t="s">
        <v>3406</v>
      </c>
      <c r="AB1402" t="s">
        <v>3415</v>
      </c>
      <c r="AC1402">
        <f>HYPERLINK("https://lsnyc.legalserver.org/matter/dynamic-profile/view/1873466","18-1873466")</f>
        <v>0</v>
      </c>
      <c r="AD1402" t="s">
        <v>3446</v>
      </c>
      <c r="AE1402" t="s">
        <v>3456</v>
      </c>
      <c r="AF1402" t="s">
        <v>4520</v>
      </c>
      <c r="AG1402" t="s">
        <v>3380</v>
      </c>
      <c r="AH1402" t="s">
        <v>4906</v>
      </c>
      <c r="AL1402" t="s">
        <v>2117</v>
      </c>
      <c r="AM1402" t="s">
        <v>3294</v>
      </c>
      <c r="AN1402" t="s">
        <v>3415</v>
      </c>
      <c r="AO1402" t="s">
        <v>3353</v>
      </c>
    </row>
    <row r="1403" spans="1:41">
      <c r="A1403" s="1" t="s">
        <v>1439</v>
      </c>
      <c r="B1403" t="s">
        <v>1998</v>
      </c>
      <c r="C1403" t="s">
        <v>2004</v>
      </c>
      <c r="D1403" t="s">
        <v>2047</v>
      </c>
      <c r="E1403" t="s">
        <v>2112</v>
      </c>
      <c r="F1403" t="s">
        <v>2174</v>
      </c>
      <c r="G1403" t="s">
        <v>2212</v>
      </c>
      <c r="H1403">
        <v>11374</v>
      </c>
      <c r="I1403" t="s">
        <v>2232</v>
      </c>
      <c r="J1403">
        <v>2</v>
      </c>
      <c r="K1403">
        <v>1</v>
      </c>
      <c r="L1403" t="s">
        <v>2260</v>
      </c>
      <c r="M1403" t="s">
        <v>2677</v>
      </c>
      <c r="P1403" t="s">
        <v>3021</v>
      </c>
      <c r="Q1403" t="s">
        <v>2113</v>
      </c>
      <c r="R1403" t="s">
        <v>3259</v>
      </c>
      <c r="S1403" t="s">
        <v>3267</v>
      </c>
      <c r="X1403" t="s">
        <v>3354</v>
      </c>
      <c r="Y1403" t="s">
        <v>2678</v>
      </c>
      <c r="Z1403" t="s">
        <v>3380</v>
      </c>
      <c r="AA1403" t="s">
        <v>3406</v>
      </c>
      <c r="AB1403" t="s">
        <v>3415</v>
      </c>
      <c r="AC1403">
        <f>HYPERLINK("https://lsnyc.legalserver.org/matter/dynamic-profile/view/1869598","18-1869598")</f>
        <v>0</v>
      </c>
      <c r="AD1403" t="s">
        <v>3447</v>
      </c>
      <c r="AE1403" t="s">
        <v>3478</v>
      </c>
      <c r="AF1403" t="s">
        <v>4521</v>
      </c>
      <c r="AG1403" t="s">
        <v>3380</v>
      </c>
      <c r="AH1403" t="s">
        <v>4906</v>
      </c>
      <c r="AK1403" t="s">
        <v>4911</v>
      </c>
      <c r="AL1403" t="s">
        <v>2174</v>
      </c>
      <c r="AN1403" t="s">
        <v>3415</v>
      </c>
    </row>
    <row r="1404" spans="1:41">
      <c r="A1404" s="1" t="s">
        <v>1440</v>
      </c>
      <c r="B1404" t="s">
        <v>2001</v>
      </c>
      <c r="C1404" t="s">
        <v>2001</v>
      </c>
      <c r="D1404" t="s">
        <v>2057</v>
      </c>
      <c r="E1404" t="s">
        <v>2112</v>
      </c>
      <c r="F1404" t="s">
        <v>2117</v>
      </c>
      <c r="G1404" t="s">
        <v>2216</v>
      </c>
      <c r="H1404">
        <v>10305</v>
      </c>
      <c r="I1404" t="s">
        <v>2229</v>
      </c>
      <c r="J1404">
        <v>2</v>
      </c>
      <c r="K1404">
        <v>1</v>
      </c>
      <c r="L1404" t="s">
        <v>2260</v>
      </c>
      <c r="M1404" t="s">
        <v>2677</v>
      </c>
      <c r="P1404" t="s">
        <v>3021</v>
      </c>
      <c r="Q1404" t="s">
        <v>2113</v>
      </c>
      <c r="R1404" t="s">
        <v>3259</v>
      </c>
      <c r="S1404" t="s">
        <v>3267</v>
      </c>
      <c r="T1404" t="s">
        <v>3294</v>
      </c>
      <c r="U1404" t="s">
        <v>2910</v>
      </c>
      <c r="X1404" t="s">
        <v>3354</v>
      </c>
      <c r="Y1404" t="s">
        <v>2678</v>
      </c>
      <c r="Z1404" t="s">
        <v>3380</v>
      </c>
      <c r="AA1404" t="s">
        <v>3406</v>
      </c>
      <c r="AB1404" t="s">
        <v>3415</v>
      </c>
      <c r="AC1404">
        <f>HYPERLINK("https://lsnyc.legalserver.org/matter/dynamic-profile/view/1869766","18-1869766")</f>
        <v>0</v>
      </c>
      <c r="AD1404" t="s">
        <v>3447</v>
      </c>
      <c r="AE1404" t="s">
        <v>3478</v>
      </c>
      <c r="AF1404" t="s">
        <v>4522</v>
      </c>
      <c r="AG1404" t="s">
        <v>3380</v>
      </c>
      <c r="AH1404" t="s">
        <v>4906</v>
      </c>
      <c r="AK1404" t="s">
        <v>4911</v>
      </c>
      <c r="AL1404" t="s">
        <v>2117</v>
      </c>
      <c r="AM1404" t="s">
        <v>3294</v>
      </c>
      <c r="AN1404" t="s">
        <v>3415</v>
      </c>
    </row>
    <row r="1405" spans="1:41">
      <c r="A1405" s="1" t="s">
        <v>1441</v>
      </c>
      <c r="B1405" t="s">
        <v>2001</v>
      </c>
      <c r="C1405" t="s">
        <v>1998</v>
      </c>
      <c r="D1405" t="s">
        <v>2081</v>
      </c>
      <c r="E1405" t="s">
        <v>2112</v>
      </c>
      <c r="F1405" t="s">
        <v>2116</v>
      </c>
      <c r="G1405" t="s">
        <v>2213</v>
      </c>
      <c r="H1405">
        <v>10462</v>
      </c>
      <c r="I1405" t="s">
        <v>2229</v>
      </c>
      <c r="J1405">
        <v>4</v>
      </c>
      <c r="K1405">
        <v>2</v>
      </c>
      <c r="L1405" t="s">
        <v>2551</v>
      </c>
      <c r="M1405" t="s">
        <v>2677</v>
      </c>
      <c r="P1405" t="s">
        <v>3022</v>
      </c>
      <c r="Q1405" t="s">
        <v>2113</v>
      </c>
      <c r="R1405" t="s">
        <v>3259</v>
      </c>
      <c r="S1405" t="s">
        <v>3287</v>
      </c>
      <c r="X1405" t="s">
        <v>3354</v>
      </c>
      <c r="Y1405" t="s">
        <v>2677</v>
      </c>
      <c r="Z1405" t="s">
        <v>3378</v>
      </c>
      <c r="AA1405" t="s">
        <v>3406</v>
      </c>
      <c r="AB1405" t="s">
        <v>3435</v>
      </c>
      <c r="AC1405">
        <f>HYPERLINK("https://lsnyc.legalserver.org/matter/dynamic-profile/view/1872105","18-1872105")</f>
        <v>0</v>
      </c>
      <c r="AD1405" t="s">
        <v>3445</v>
      </c>
      <c r="AE1405" t="s">
        <v>3455</v>
      </c>
      <c r="AF1405" t="s">
        <v>4523</v>
      </c>
      <c r="AG1405" t="s">
        <v>3378</v>
      </c>
      <c r="AH1405" t="s">
        <v>4904</v>
      </c>
      <c r="AK1405" t="s">
        <v>4911</v>
      </c>
      <c r="AL1405" t="s">
        <v>2116</v>
      </c>
      <c r="AN1405" t="s">
        <v>3435</v>
      </c>
    </row>
    <row r="1406" spans="1:41">
      <c r="A1406" s="1" t="s">
        <v>1442</v>
      </c>
      <c r="B1406" t="s">
        <v>2009</v>
      </c>
      <c r="C1406" t="s">
        <v>2016</v>
      </c>
      <c r="D1406" t="s">
        <v>2067</v>
      </c>
      <c r="E1406" t="s">
        <v>2111</v>
      </c>
      <c r="F1406" t="s">
        <v>2114</v>
      </c>
      <c r="G1406" t="s">
        <v>2216</v>
      </c>
      <c r="H1406">
        <v>10302</v>
      </c>
      <c r="I1406" t="s">
        <v>2229</v>
      </c>
      <c r="J1406">
        <v>6</v>
      </c>
      <c r="K1406">
        <v>4</v>
      </c>
      <c r="L1406" t="s">
        <v>2260</v>
      </c>
      <c r="M1406" t="s">
        <v>2677</v>
      </c>
      <c r="P1406" t="s">
        <v>3023</v>
      </c>
      <c r="Q1406" t="s">
        <v>2113</v>
      </c>
      <c r="R1406" t="s">
        <v>3259</v>
      </c>
      <c r="S1406" t="s">
        <v>3267</v>
      </c>
      <c r="T1406" t="s">
        <v>3294</v>
      </c>
      <c r="U1406" t="s">
        <v>3309</v>
      </c>
      <c r="X1406" t="s">
        <v>3354</v>
      </c>
      <c r="Y1406" t="s">
        <v>2678</v>
      </c>
      <c r="Z1406" t="s">
        <v>3380</v>
      </c>
      <c r="AA1406" t="s">
        <v>3406</v>
      </c>
      <c r="AB1406" t="s">
        <v>3415</v>
      </c>
      <c r="AC1406">
        <f>HYPERLINK("https://lsnyc.legalserver.org/matter/dynamic-profile/view/1871493","18-1871493")</f>
        <v>0</v>
      </c>
      <c r="AD1406" t="s">
        <v>3447</v>
      </c>
      <c r="AE1406" t="s">
        <v>3463</v>
      </c>
      <c r="AF1406" t="s">
        <v>3590</v>
      </c>
      <c r="AG1406" t="s">
        <v>3380</v>
      </c>
      <c r="AH1406" t="s">
        <v>4906</v>
      </c>
      <c r="AK1406" t="s">
        <v>4911</v>
      </c>
      <c r="AL1406" t="s">
        <v>2114</v>
      </c>
      <c r="AM1406" t="s">
        <v>3294</v>
      </c>
      <c r="AN1406" t="s">
        <v>3415</v>
      </c>
    </row>
    <row r="1407" spans="1:41">
      <c r="A1407" s="1" t="s">
        <v>1443</v>
      </c>
      <c r="B1407" t="s">
        <v>1998</v>
      </c>
      <c r="C1407" t="s">
        <v>2001</v>
      </c>
      <c r="D1407" t="s">
        <v>2037</v>
      </c>
      <c r="E1407" t="s">
        <v>2112</v>
      </c>
      <c r="F1407" t="s">
        <v>2135</v>
      </c>
      <c r="G1407" t="s">
        <v>2214</v>
      </c>
      <c r="H1407">
        <v>11237</v>
      </c>
      <c r="I1407" t="s">
        <v>2230</v>
      </c>
      <c r="J1407">
        <v>1</v>
      </c>
      <c r="K1407">
        <v>1</v>
      </c>
      <c r="L1407" t="s">
        <v>2331</v>
      </c>
      <c r="M1407" t="s">
        <v>2677</v>
      </c>
      <c r="P1407" t="s">
        <v>3023</v>
      </c>
      <c r="Q1407" t="s">
        <v>2113</v>
      </c>
      <c r="R1407" t="s">
        <v>3259</v>
      </c>
      <c r="S1407" t="s">
        <v>3272</v>
      </c>
      <c r="T1407" t="s">
        <v>3295</v>
      </c>
      <c r="X1407" t="s">
        <v>3354</v>
      </c>
      <c r="Y1407" t="s">
        <v>2678</v>
      </c>
      <c r="Z1407" t="s">
        <v>3364</v>
      </c>
      <c r="AA1407" t="s">
        <v>3406</v>
      </c>
      <c r="AB1407" t="s">
        <v>3420</v>
      </c>
      <c r="AC1407">
        <f>HYPERLINK("https://lsnyc.legalserver.org/matter/dynamic-profile/view/1871941","18-1871941")</f>
        <v>0</v>
      </c>
      <c r="AD1407" t="s">
        <v>3446</v>
      </c>
      <c r="AE1407" t="s">
        <v>3481</v>
      </c>
      <c r="AF1407" t="s">
        <v>4524</v>
      </c>
      <c r="AG1407" t="s">
        <v>3364</v>
      </c>
      <c r="AH1407" t="s">
        <v>4905</v>
      </c>
      <c r="AK1407" t="s">
        <v>4911</v>
      </c>
      <c r="AL1407" t="s">
        <v>2135</v>
      </c>
      <c r="AM1407" t="s">
        <v>3295</v>
      </c>
      <c r="AN1407" t="s">
        <v>3420</v>
      </c>
    </row>
    <row r="1408" spans="1:41">
      <c r="A1408" s="1" t="s">
        <v>1444</v>
      </c>
      <c r="B1408" t="s">
        <v>2000</v>
      </c>
      <c r="C1408" t="s">
        <v>2016</v>
      </c>
      <c r="D1408" t="s">
        <v>2068</v>
      </c>
      <c r="E1408" t="s">
        <v>2112</v>
      </c>
      <c r="F1408" t="s">
        <v>2121</v>
      </c>
      <c r="G1408" t="s">
        <v>2212</v>
      </c>
      <c r="H1408">
        <v>11370</v>
      </c>
      <c r="I1408" t="s">
        <v>2229</v>
      </c>
      <c r="J1408">
        <v>3</v>
      </c>
      <c r="K1408">
        <v>2</v>
      </c>
      <c r="L1408" t="s">
        <v>2262</v>
      </c>
      <c r="M1408" t="s">
        <v>2677</v>
      </c>
      <c r="P1408" t="s">
        <v>3024</v>
      </c>
      <c r="Q1408" t="s">
        <v>2113</v>
      </c>
      <c r="R1408" t="s">
        <v>3259</v>
      </c>
      <c r="S1408" t="s">
        <v>3276</v>
      </c>
      <c r="X1408" t="s">
        <v>3354</v>
      </c>
      <c r="Y1408" t="s">
        <v>2677</v>
      </c>
      <c r="Z1408" t="s">
        <v>3373</v>
      </c>
      <c r="AA1408" t="s">
        <v>3406</v>
      </c>
      <c r="AB1408" t="s">
        <v>3424</v>
      </c>
      <c r="AC1408">
        <f>HYPERLINK("https://lsnyc.legalserver.org/matter/dynamic-profile/view/1871827","18-1871827")</f>
        <v>0</v>
      </c>
      <c r="AD1408" t="s">
        <v>3445</v>
      </c>
      <c r="AE1408" t="s">
        <v>3455</v>
      </c>
      <c r="AF1408" t="s">
        <v>4516</v>
      </c>
      <c r="AG1408" t="s">
        <v>3373</v>
      </c>
      <c r="AH1408" t="s">
        <v>4904</v>
      </c>
      <c r="AK1408" t="s">
        <v>4911</v>
      </c>
      <c r="AL1408" t="s">
        <v>2121</v>
      </c>
      <c r="AN1408" t="s">
        <v>3424</v>
      </c>
    </row>
    <row r="1409" spans="1:40">
      <c r="A1409" s="1" t="s">
        <v>1445</v>
      </c>
      <c r="B1409" t="s">
        <v>1998</v>
      </c>
      <c r="C1409" t="s">
        <v>2016</v>
      </c>
      <c r="D1409" t="s">
        <v>2045</v>
      </c>
      <c r="E1409" t="s">
        <v>2112</v>
      </c>
      <c r="F1409" t="s">
        <v>2143</v>
      </c>
      <c r="G1409" t="s">
        <v>2212</v>
      </c>
      <c r="H1409">
        <v>11412</v>
      </c>
      <c r="I1409" t="s">
        <v>2234</v>
      </c>
      <c r="J1409">
        <v>2</v>
      </c>
      <c r="K1409">
        <v>1</v>
      </c>
      <c r="L1409" t="s">
        <v>2392</v>
      </c>
      <c r="M1409" t="s">
        <v>2677</v>
      </c>
      <c r="P1409" t="s">
        <v>3025</v>
      </c>
      <c r="Q1409" t="s">
        <v>2113</v>
      </c>
      <c r="R1409" t="s">
        <v>3259</v>
      </c>
      <c r="S1409" t="s">
        <v>3287</v>
      </c>
      <c r="X1409" t="s">
        <v>3354</v>
      </c>
      <c r="Y1409" t="s">
        <v>2677</v>
      </c>
      <c r="Z1409" t="s">
        <v>3378</v>
      </c>
      <c r="AA1409" t="s">
        <v>3406</v>
      </c>
      <c r="AB1409" t="s">
        <v>3435</v>
      </c>
      <c r="AC1409">
        <f>HYPERLINK("https://lsnyc.legalserver.org/matter/dynamic-profile/view/1869623","18-1869623")</f>
        <v>0</v>
      </c>
      <c r="AD1409" t="s">
        <v>3445</v>
      </c>
      <c r="AE1409" t="s">
        <v>3455</v>
      </c>
      <c r="AF1409" t="s">
        <v>4430</v>
      </c>
      <c r="AG1409" t="s">
        <v>3378</v>
      </c>
      <c r="AH1409" t="s">
        <v>4904</v>
      </c>
      <c r="AK1409" t="s">
        <v>4911</v>
      </c>
      <c r="AL1409" t="s">
        <v>2143</v>
      </c>
      <c r="AN1409" t="s">
        <v>3435</v>
      </c>
    </row>
    <row r="1410" spans="1:40">
      <c r="A1410" s="1" t="s">
        <v>1446</v>
      </c>
      <c r="B1410" t="s">
        <v>2000</v>
      </c>
      <c r="C1410" t="s">
        <v>2012</v>
      </c>
      <c r="D1410" t="s">
        <v>2069</v>
      </c>
      <c r="E1410" t="s">
        <v>2111</v>
      </c>
      <c r="F1410" t="s">
        <v>2118</v>
      </c>
      <c r="G1410" t="s">
        <v>2214</v>
      </c>
      <c r="H1410">
        <v>11218</v>
      </c>
      <c r="I1410" t="s">
        <v>2231</v>
      </c>
      <c r="J1410">
        <v>2</v>
      </c>
      <c r="K1410">
        <v>0</v>
      </c>
      <c r="L1410" t="s">
        <v>2293</v>
      </c>
      <c r="M1410" t="s">
        <v>2677</v>
      </c>
      <c r="P1410" t="s">
        <v>3025</v>
      </c>
      <c r="Q1410" t="s">
        <v>2113</v>
      </c>
      <c r="R1410" t="s">
        <v>3259</v>
      </c>
      <c r="S1410" t="s">
        <v>3267</v>
      </c>
      <c r="X1410" t="s">
        <v>3354</v>
      </c>
      <c r="Y1410" t="s">
        <v>2677</v>
      </c>
      <c r="Z1410" t="s">
        <v>3367</v>
      </c>
      <c r="AA1410" t="s">
        <v>3406</v>
      </c>
      <c r="AB1410" t="s">
        <v>3415</v>
      </c>
      <c r="AC1410">
        <f>HYPERLINK("https://lsnyc.legalserver.org/matter/dynamic-profile/view/1871746","18-1871746")</f>
        <v>0</v>
      </c>
      <c r="AD1410" t="s">
        <v>3445</v>
      </c>
      <c r="AE1410" t="s">
        <v>3455</v>
      </c>
      <c r="AF1410" t="s">
        <v>3923</v>
      </c>
      <c r="AG1410" t="s">
        <v>3367</v>
      </c>
      <c r="AH1410" t="s">
        <v>4904</v>
      </c>
      <c r="AK1410" t="s">
        <v>4911</v>
      </c>
      <c r="AL1410" t="s">
        <v>2118</v>
      </c>
      <c r="AN1410" t="s">
        <v>3415</v>
      </c>
    </row>
    <row r="1411" spans="1:40">
      <c r="A1411" s="1" t="s">
        <v>1447</v>
      </c>
      <c r="B1411" t="s">
        <v>2009</v>
      </c>
      <c r="C1411" t="s">
        <v>2003</v>
      </c>
      <c r="D1411" t="s">
        <v>2081</v>
      </c>
      <c r="E1411" t="s">
        <v>2111</v>
      </c>
      <c r="F1411" t="s">
        <v>2121</v>
      </c>
      <c r="G1411" t="s">
        <v>2214</v>
      </c>
      <c r="H1411">
        <v>11238</v>
      </c>
      <c r="I1411" t="s">
        <v>2229</v>
      </c>
      <c r="J1411">
        <v>2</v>
      </c>
      <c r="K1411">
        <v>0</v>
      </c>
      <c r="L1411" t="s">
        <v>2260</v>
      </c>
      <c r="M1411" t="s">
        <v>2677</v>
      </c>
      <c r="P1411" t="s">
        <v>3026</v>
      </c>
      <c r="Q1411" t="s">
        <v>2113</v>
      </c>
      <c r="R1411" t="s">
        <v>3259</v>
      </c>
      <c r="S1411" t="s">
        <v>3268</v>
      </c>
      <c r="X1411" t="s">
        <v>3354</v>
      </c>
      <c r="Y1411" t="s">
        <v>2677</v>
      </c>
      <c r="Z1411" t="s">
        <v>3368</v>
      </c>
      <c r="AA1411" t="s">
        <v>3406</v>
      </c>
      <c r="AB1411" t="s">
        <v>3416</v>
      </c>
      <c r="AC1411">
        <f>HYPERLINK("https://lsnyc.legalserver.org/matter/dynamic-profile/view/1871648","18-1871648")</f>
        <v>0</v>
      </c>
      <c r="AD1411" t="s">
        <v>3446</v>
      </c>
      <c r="AE1411" t="s">
        <v>3456</v>
      </c>
      <c r="AF1411" t="s">
        <v>4525</v>
      </c>
      <c r="AG1411" t="s">
        <v>3368</v>
      </c>
      <c r="AH1411" t="s">
        <v>4904</v>
      </c>
      <c r="AK1411" t="s">
        <v>4911</v>
      </c>
      <c r="AL1411" t="s">
        <v>2121</v>
      </c>
      <c r="AN1411" t="s">
        <v>3416</v>
      </c>
    </row>
    <row r="1412" spans="1:40">
      <c r="A1412" s="1" t="s">
        <v>1448</v>
      </c>
      <c r="B1412" t="s">
        <v>1998</v>
      </c>
      <c r="C1412" t="s">
        <v>2002</v>
      </c>
      <c r="D1412" t="s">
        <v>2060</v>
      </c>
      <c r="E1412" t="s">
        <v>2111</v>
      </c>
      <c r="F1412" t="s">
        <v>2121</v>
      </c>
      <c r="G1412" t="s">
        <v>2214</v>
      </c>
      <c r="H1412">
        <v>11238</v>
      </c>
      <c r="I1412" t="s">
        <v>2229</v>
      </c>
      <c r="J1412">
        <v>2</v>
      </c>
      <c r="K1412">
        <v>0</v>
      </c>
      <c r="L1412" t="s">
        <v>2315</v>
      </c>
      <c r="M1412" t="s">
        <v>2677</v>
      </c>
      <c r="P1412" t="s">
        <v>3026</v>
      </c>
      <c r="Q1412" t="s">
        <v>2113</v>
      </c>
      <c r="R1412" t="s">
        <v>3259</v>
      </c>
      <c r="S1412" t="s">
        <v>3268</v>
      </c>
      <c r="X1412" t="s">
        <v>3354</v>
      </c>
      <c r="Y1412" t="s">
        <v>2677</v>
      </c>
      <c r="Z1412" t="s">
        <v>3368</v>
      </c>
      <c r="AA1412" t="s">
        <v>3406</v>
      </c>
      <c r="AB1412" t="s">
        <v>3416</v>
      </c>
      <c r="AC1412">
        <f>HYPERLINK("https://lsnyc.legalserver.org/matter/dynamic-profile/view/1871662","18-1871662")</f>
        <v>0</v>
      </c>
      <c r="AD1412" t="s">
        <v>3446</v>
      </c>
      <c r="AE1412" t="s">
        <v>3456</v>
      </c>
      <c r="AF1412" t="s">
        <v>4526</v>
      </c>
      <c r="AG1412" t="s">
        <v>3368</v>
      </c>
      <c r="AH1412" t="s">
        <v>4904</v>
      </c>
      <c r="AK1412" t="s">
        <v>4911</v>
      </c>
      <c r="AL1412" t="s">
        <v>2121</v>
      </c>
      <c r="AN1412" t="s">
        <v>3416</v>
      </c>
    </row>
    <row r="1413" spans="1:40">
      <c r="A1413" s="1" t="s">
        <v>1449</v>
      </c>
      <c r="B1413" t="s">
        <v>1998</v>
      </c>
      <c r="C1413" t="s">
        <v>1998</v>
      </c>
      <c r="D1413" t="s">
        <v>2040</v>
      </c>
      <c r="E1413" t="s">
        <v>2111</v>
      </c>
      <c r="F1413" t="s">
        <v>2133</v>
      </c>
      <c r="G1413" t="s">
        <v>2216</v>
      </c>
      <c r="H1413">
        <v>10303</v>
      </c>
      <c r="I1413" t="s">
        <v>2230</v>
      </c>
      <c r="J1413">
        <v>4</v>
      </c>
      <c r="K1413">
        <v>1</v>
      </c>
      <c r="L1413" t="s">
        <v>2266</v>
      </c>
      <c r="M1413" t="s">
        <v>2677</v>
      </c>
      <c r="P1413" t="s">
        <v>3027</v>
      </c>
      <c r="Q1413" t="s">
        <v>2113</v>
      </c>
      <c r="R1413" t="s">
        <v>3258</v>
      </c>
      <c r="S1413" t="s">
        <v>3271</v>
      </c>
      <c r="T1413" t="s">
        <v>3294</v>
      </c>
      <c r="U1413" t="s">
        <v>3002</v>
      </c>
      <c r="X1413" t="s">
        <v>3354</v>
      </c>
      <c r="Y1413" t="s">
        <v>2678</v>
      </c>
      <c r="Z1413" t="s">
        <v>3362</v>
      </c>
      <c r="AA1413" t="s">
        <v>3406</v>
      </c>
      <c r="AB1413" t="s">
        <v>3419</v>
      </c>
      <c r="AC1413">
        <f>HYPERLINK("https://lsnyc.legalserver.org/matter/dynamic-profile/view/1871468","18-1871468")</f>
        <v>0</v>
      </c>
      <c r="AD1413" t="s">
        <v>3447</v>
      </c>
      <c r="AE1413" t="s">
        <v>3478</v>
      </c>
      <c r="AF1413" t="s">
        <v>4527</v>
      </c>
      <c r="AG1413" t="s">
        <v>3362</v>
      </c>
      <c r="AH1413" t="s">
        <v>4904</v>
      </c>
      <c r="AK1413" t="s">
        <v>4911</v>
      </c>
      <c r="AL1413" t="s">
        <v>2133</v>
      </c>
      <c r="AM1413" t="s">
        <v>3294</v>
      </c>
      <c r="AN1413" t="s">
        <v>3419</v>
      </c>
    </row>
    <row r="1414" spans="1:40">
      <c r="A1414" s="1" t="s">
        <v>1450</v>
      </c>
      <c r="B1414" t="s">
        <v>2000</v>
      </c>
      <c r="C1414" t="s">
        <v>2001</v>
      </c>
      <c r="D1414" t="s">
        <v>2063</v>
      </c>
      <c r="E1414" t="s">
        <v>2111</v>
      </c>
      <c r="F1414" t="s">
        <v>2139</v>
      </c>
      <c r="G1414" t="s">
        <v>2212</v>
      </c>
      <c r="H1414">
        <v>11432</v>
      </c>
      <c r="I1414" t="s">
        <v>2230</v>
      </c>
      <c r="J1414">
        <v>1</v>
      </c>
      <c r="K1414">
        <v>0</v>
      </c>
      <c r="L1414" t="s">
        <v>2271</v>
      </c>
      <c r="M1414" t="s">
        <v>2677</v>
      </c>
      <c r="P1414" t="s">
        <v>3027</v>
      </c>
      <c r="Q1414" t="s">
        <v>3255</v>
      </c>
      <c r="R1414" t="s">
        <v>3259</v>
      </c>
      <c r="S1414" t="s">
        <v>3270</v>
      </c>
      <c r="X1414" t="s">
        <v>3354</v>
      </c>
      <c r="Y1414" t="s">
        <v>2678</v>
      </c>
      <c r="Z1414" t="s">
        <v>3362</v>
      </c>
      <c r="AA1414" t="s">
        <v>3406</v>
      </c>
      <c r="AB1414" t="s">
        <v>3418</v>
      </c>
      <c r="AC1414">
        <f>HYPERLINK("https://lsnyc.legalserver.org/matter/dynamic-profile/view/1871487","18-1871487")</f>
        <v>0</v>
      </c>
      <c r="AD1414" t="s">
        <v>3443</v>
      </c>
      <c r="AE1414" t="s">
        <v>3477</v>
      </c>
      <c r="AF1414" t="s">
        <v>4528</v>
      </c>
      <c r="AG1414" t="s">
        <v>3362</v>
      </c>
      <c r="AH1414" t="s">
        <v>4904</v>
      </c>
      <c r="AI1414" t="s">
        <v>4909</v>
      </c>
      <c r="AK1414" t="s">
        <v>4911</v>
      </c>
      <c r="AL1414" t="s">
        <v>2139</v>
      </c>
      <c r="AN1414" t="s">
        <v>3418</v>
      </c>
    </row>
    <row r="1415" spans="1:40">
      <c r="A1415" s="1" t="s">
        <v>1451</v>
      </c>
      <c r="B1415" t="s">
        <v>2001</v>
      </c>
      <c r="C1415" t="s">
        <v>2000</v>
      </c>
      <c r="D1415" t="s">
        <v>2031</v>
      </c>
      <c r="E1415" t="s">
        <v>2112</v>
      </c>
      <c r="F1415" t="s">
        <v>2114</v>
      </c>
      <c r="G1415" t="s">
        <v>2216</v>
      </c>
      <c r="H1415">
        <v>10301</v>
      </c>
      <c r="I1415" t="s">
        <v>2229</v>
      </c>
      <c r="J1415">
        <v>4</v>
      </c>
      <c r="K1415">
        <v>3</v>
      </c>
      <c r="L1415" t="s">
        <v>2333</v>
      </c>
      <c r="M1415" t="s">
        <v>2677</v>
      </c>
      <c r="P1415" t="s">
        <v>3027</v>
      </c>
      <c r="Q1415" t="s">
        <v>2113</v>
      </c>
      <c r="R1415" t="s">
        <v>3259</v>
      </c>
      <c r="S1415" t="s">
        <v>3268</v>
      </c>
      <c r="X1415" t="s">
        <v>3354</v>
      </c>
      <c r="Y1415" t="s">
        <v>2678</v>
      </c>
      <c r="Z1415" t="s">
        <v>3368</v>
      </c>
      <c r="AA1415" t="s">
        <v>3406</v>
      </c>
      <c r="AB1415" t="s">
        <v>3416</v>
      </c>
      <c r="AC1415">
        <f>HYPERLINK("https://lsnyc.legalserver.org/matter/dynamic-profile/view/1871513","18-1871513")</f>
        <v>0</v>
      </c>
      <c r="AD1415" t="s">
        <v>3447</v>
      </c>
      <c r="AE1415" t="s">
        <v>3478</v>
      </c>
      <c r="AF1415" t="s">
        <v>4529</v>
      </c>
      <c r="AG1415" t="s">
        <v>3368</v>
      </c>
      <c r="AH1415" t="s">
        <v>4904</v>
      </c>
      <c r="AK1415" t="s">
        <v>4911</v>
      </c>
      <c r="AL1415" t="s">
        <v>2114</v>
      </c>
      <c r="AN1415" t="s">
        <v>3416</v>
      </c>
    </row>
    <row r="1416" spans="1:40">
      <c r="A1416" s="1" t="s">
        <v>1452</v>
      </c>
      <c r="B1416" t="s">
        <v>2016</v>
      </c>
      <c r="C1416" t="s">
        <v>2001</v>
      </c>
      <c r="D1416" t="s">
        <v>2036</v>
      </c>
      <c r="E1416" t="s">
        <v>2112</v>
      </c>
      <c r="F1416" t="s">
        <v>2115</v>
      </c>
      <c r="G1416" t="s">
        <v>2216</v>
      </c>
      <c r="H1416">
        <v>10303</v>
      </c>
      <c r="I1416" t="s">
        <v>2229</v>
      </c>
      <c r="J1416">
        <v>3</v>
      </c>
      <c r="K1416">
        <v>1</v>
      </c>
      <c r="L1416" t="s">
        <v>2284</v>
      </c>
      <c r="M1416" t="s">
        <v>2678</v>
      </c>
      <c r="N1416" t="s">
        <v>2679</v>
      </c>
      <c r="O1416" t="s">
        <v>2682</v>
      </c>
      <c r="P1416" t="s">
        <v>3028</v>
      </c>
      <c r="Q1416" t="s">
        <v>2113</v>
      </c>
      <c r="R1416" t="s">
        <v>3259</v>
      </c>
      <c r="S1416" t="s">
        <v>3267</v>
      </c>
      <c r="X1416" t="s">
        <v>3354</v>
      </c>
      <c r="Y1416" t="s">
        <v>2678</v>
      </c>
      <c r="Z1416" t="s">
        <v>3359</v>
      </c>
      <c r="AA1416" t="s">
        <v>3406</v>
      </c>
      <c r="AB1416" t="s">
        <v>3415</v>
      </c>
      <c r="AC1416">
        <f>HYPERLINK("https://lsnyc.legalserver.org/matter/dynamic-profile/view/1871049","18-1871049")</f>
        <v>0</v>
      </c>
      <c r="AD1416" t="s">
        <v>3447</v>
      </c>
      <c r="AE1416" t="s">
        <v>3463</v>
      </c>
      <c r="AF1416" t="s">
        <v>3555</v>
      </c>
      <c r="AG1416" t="s">
        <v>3359</v>
      </c>
      <c r="AH1416" t="s">
        <v>4906</v>
      </c>
      <c r="AK1416" t="s">
        <v>4911</v>
      </c>
      <c r="AL1416" t="s">
        <v>2115</v>
      </c>
      <c r="AN1416" t="s">
        <v>3415</v>
      </c>
    </row>
    <row r="1417" spans="1:40">
      <c r="A1417" s="1" t="s">
        <v>1453</v>
      </c>
      <c r="B1417" t="s">
        <v>2001</v>
      </c>
      <c r="C1417" t="s">
        <v>2001</v>
      </c>
      <c r="D1417" t="s">
        <v>2057</v>
      </c>
      <c r="E1417" t="s">
        <v>2112</v>
      </c>
      <c r="F1417" t="s">
        <v>2117</v>
      </c>
      <c r="G1417" t="s">
        <v>2213</v>
      </c>
      <c r="H1417">
        <v>10455</v>
      </c>
      <c r="I1417" t="s">
        <v>2229</v>
      </c>
      <c r="J1417">
        <v>2</v>
      </c>
      <c r="K1417">
        <v>1</v>
      </c>
      <c r="L1417" t="s">
        <v>2260</v>
      </c>
      <c r="M1417" t="s">
        <v>2677</v>
      </c>
      <c r="P1417" t="s">
        <v>2728</v>
      </c>
      <c r="Q1417" t="s">
        <v>2113</v>
      </c>
      <c r="R1417" t="s">
        <v>3259</v>
      </c>
      <c r="S1417" t="s">
        <v>3268</v>
      </c>
      <c r="T1417" t="s">
        <v>3294</v>
      </c>
      <c r="U1417" t="s">
        <v>3318</v>
      </c>
      <c r="X1417" t="s">
        <v>3354</v>
      </c>
      <c r="Y1417" t="s">
        <v>2678</v>
      </c>
      <c r="Z1417" t="s">
        <v>3360</v>
      </c>
      <c r="AA1417" t="s">
        <v>3406</v>
      </c>
      <c r="AB1417" t="s">
        <v>3416</v>
      </c>
      <c r="AC1417">
        <f>HYPERLINK("https://lsnyc.legalserver.org/matter/dynamic-profile/view/1871415","18-1871415")</f>
        <v>0</v>
      </c>
      <c r="AD1417" t="s">
        <v>3444</v>
      </c>
      <c r="AE1417" t="s">
        <v>3451</v>
      </c>
      <c r="AF1417" t="s">
        <v>4530</v>
      </c>
      <c r="AG1417" t="s">
        <v>3360</v>
      </c>
      <c r="AH1417" t="s">
        <v>4904</v>
      </c>
      <c r="AL1417" t="s">
        <v>2117</v>
      </c>
      <c r="AM1417" t="s">
        <v>3294</v>
      </c>
      <c r="AN1417" t="s">
        <v>3416</v>
      </c>
    </row>
    <row r="1418" spans="1:40">
      <c r="A1418" s="1" t="s">
        <v>1454</v>
      </c>
      <c r="B1418" t="s">
        <v>2014</v>
      </c>
      <c r="C1418" t="s">
        <v>2018</v>
      </c>
      <c r="D1418" t="s">
        <v>2081</v>
      </c>
      <c r="E1418" t="s">
        <v>2111</v>
      </c>
      <c r="F1418" t="s">
        <v>2125</v>
      </c>
      <c r="G1418" t="s">
        <v>2213</v>
      </c>
      <c r="H1418">
        <v>10459</v>
      </c>
      <c r="I1418" t="s">
        <v>2230</v>
      </c>
      <c r="J1418">
        <v>1</v>
      </c>
      <c r="K1418">
        <v>0</v>
      </c>
      <c r="L1418" t="s">
        <v>2260</v>
      </c>
      <c r="M1418" t="s">
        <v>2677</v>
      </c>
      <c r="P1418" t="s">
        <v>3028</v>
      </c>
      <c r="Q1418" t="s">
        <v>2113</v>
      </c>
      <c r="R1418" t="s">
        <v>3259</v>
      </c>
      <c r="S1418" t="s">
        <v>3267</v>
      </c>
      <c r="T1418" t="s">
        <v>3294</v>
      </c>
      <c r="U1418" t="s">
        <v>3023</v>
      </c>
      <c r="X1418" t="s">
        <v>3354</v>
      </c>
      <c r="Y1418" t="s">
        <v>2678</v>
      </c>
      <c r="Z1418" t="s">
        <v>3359</v>
      </c>
      <c r="AA1418" t="s">
        <v>3406</v>
      </c>
      <c r="AB1418" t="s">
        <v>3415</v>
      </c>
      <c r="AC1418">
        <f>HYPERLINK("https://lsnyc.legalserver.org/matter/dynamic-profile/view/1871901","18-1871901")</f>
        <v>0</v>
      </c>
      <c r="AD1418" t="s">
        <v>3447</v>
      </c>
      <c r="AE1418" t="s">
        <v>3463</v>
      </c>
      <c r="AF1418" t="s">
        <v>4531</v>
      </c>
      <c r="AG1418" t="s">
        <v>3359</v>
      </c>
      <c r="AH1418" t="s">
        <v>4906</v>
      </c>
      <c r="AK1418" t="s">
        <v>4911</v>
      </c>
      <c r="AL1418" t="s">
        <v>2125</v>
      </c>
      <c r="AM1418" t="s">
        <v>3294</v>
      </c>
      <c r="AN1418" t="s">
        <v>3415</v>
      </c>
    </row>
    <row r="1419" spans="1:40">
      <c r="A1419" s="1" t="s">
        <v>1455</v>
      </c>
      <c r="B1419" t="s">
        <v>1998</v>
      </c>
      <c r="C1419" t="s">
        <v>2016</v>
      </c>
      <c r="D1419" t="s">
        <v>2084</v>
      </c>
      <c r="E1419" t="s">
        <v>2112</v>
      </c>
      <c r="F1419" t="s">
        <v>2120</v>
      </c>
      <c r="G1419" t="s">
        <v>2214</v>
      </c>
      <c r="H1419">
        <v>11206</v>
      </c>
      <c r="I1419" t="s">
        <v>2230</v>
      </c>
      <c r="J1419">
        <v>5</v>
      </c>
      <c r="K1419">
        <v>4</v>
      </c>
      <c r="L1419" t="s">
        <v>2552</v>
      </c>
      <c r="M1419" t="s">
        <v>2677</v>
      </c>
      <c r="P1419" t="s">
        <v>3020</v>
      </c>
      <c r="Q1419" t="s">
        <v>2113</v>
      </c>
      <c r="R1419" t="s">
        <v>3259</v>
      </c>
      <c r="S1419" t="s">
        <v>3287</v>
      </c>
      <c r="X1419" t="s">
        <v>3354</v>
      </c>
      <c r="Y1419" t="s">
        <v>2677</v>
      </c>
      <c r="Z1419" t="s">
        <v>3378</v>
      </c>
      <c r="AA1419" t="s">
        <v>3406</v>
      </c>
      <c r="AB1419" t="s">
        <v>3435</v>
      </c>
      <c r="AC1419">
        <f>HYPERLINK("https://lsnyc.legalserver.org/matter/dynamic-profile/view/1871003","18-1871003")</f>
        <v>0</v>
      </c>
      <c r="AD1419" t="s">
        <v>3445</v>
      </c>
      <c r="AE1419" t="s">
        <v>3455</v>
      </c>
      <c r="AF1419" t="s">
        <v>4532</v>
      </c>
      <c r="AG1419" t="s">
        <v>3378</v>
      </c>
      <c r="AH1419" t="s">
        <v>4904</v>
      </c>
      <c r="AI1419" t="s">
        <v>4909</v>
      </c>
      <c r="AK1419" t="s">
        <v>4911</v>
      </c>
      <c r="AL1419" t="s">
        <v>2120</v>
      </c>
      <c r="AN1419" t="s">
        <v>3435</v>
      </c>
    </row>
    <row r="1420" spans="1:40">
      <c r="A1420" s="1" t="s">
        <v>1456</v>
      </c>
      <c r="B1420" t="s">
        <v>2000</v>
      </c>
      <c r="C1420" t="s">
        <v>1998</v>
      </c>
      <c r="D1420" t="s">
        <v>2029</v>
      </c>
      <c r="E1420" t="s">
        <v>2111</v>
      </c>
      <c r="F1420" t="s">
        <v>2116</v>
      </c>
      <c r="G1420" t="s">
        <v>2216</v>
      </c>
      <c r="H1420">
        <v>10301</v>
      </c>
      <c r="I1420" t="s">
        <v>2229</v>
      </c>
      <c r="J1420">
        <v>6</v>
      </c>
      <c r="K1420">
        <v>3</v>
      </c>
      <c r="L1420" t="s">
        <v>2288</v>
      </c>
      <c r="M1420" t="s">
        <v>2677</v>
      </c>
      <c r="P1420" t="s">
        <v>3029</v>
      </c>
      <c r="Q1420" t="s">
        <v>3255</v>
      </c>
      <c r="R1420" t="s">
        <v>3259</v>
      </c>
      <c r="S1420" t="s">
        <v>3267</v>
      </c>
      <c r="X1420" t="s">
        <v>3354</v>
      </c>
      <c r="Y1420" t="s">
        <v>2678</v>
      </c>
      <c r="Z1420" t="s">
        <v>3391</v>
      </c>
      <c r="AA1420" t="s">
        <v>3406</v>
      </c>
      <c r="AB1420" t="s">
        <v>3415</v>
      </c>
      <c r="AC1420">
        <f>HYPERLINK("https://lsnyc.legalserver.org/matter/dynamic-profile/view/1871019","18-1871019")</f>
        <v>0</v>
      </c>
      <c r="AD1420" t="s">
        <v>3447</v>
      </c>
      <c r="AE1420" t="s">
        <v>3459</v>
      </c>
      <c r="AF1420" t="s">
        <v>4533</v>
      </c>
      <c r="AG1420" t="s">
        <v>3391</v>
      </c>
      <c r="AH1420" t="s">
        <v>4906</v>
      </c>
      <c r="AK1420" t="s">
        <v>4911</v>
      </c>
      <c r="AL1420" t="s">
        <v>2116</v>
      </c>
      <c r="AN1420" t="s">
        <v>3415</v>
      </c>
    </row>
    <row r="1421" spans="1:40">
      <c r="A1421" s="1" t="s">
        <v>1457</v>
      </c>
      <c r="B1421" t="s">
        <v>2001</v>
      </c>
      <c r="C1421" t="s">
        <v>2016</v>
      </c>
      <c r="D1421" t="s">
        <v>2106</v>
      </c>
      <c r="E1421" t="s">
        <v>2111</v>
      </c>
      <c r="F1421" t="s">
        <v>2160</v>
      </c>
      <c r="G1421" t="s">
        <v>2214</v>
      </c>
      <c r="H1421">
        <v>11218</v>
      </c>
      <c r="J1421">
        <v>1</v>
      </c>
      <c r="K1421">
        <v>0</v>
      </c>
      <c r="L1421" t="s">
        <v>2553</v>
      </c>
      <c r="M1421" t="s">
        <v>2677</v>
      </c>
      <c r="P1421" t="s">
        <v>3030</v>
      </c>
      <c r="Q1421" t="s">
        <v>2113</v>
      </c>
      <c r="R1421" t="s">
        <v>3258</v>
      </c>
      <c r="S1421" t="s">
        <v>3271</v>
      </c>
      <c r="X1421" t="s">
        <v>3354</v>
      </c>
      <c r="Y1421" t="s">
        <v>2677</v>
      </c>
      <c r="Z1421" t="s">
        <v>3362</v>
      </c>
      <c r="AA1421" t="s">
        <v>3406</v>
      </c>
      <c r="AB1421" t="s">
        <v>3419</v>
      </c>
      <c r="AC1421">
        <f>HYPERLINK("https://lsnyc.legalserver.org/matter/dynamic-profile/view/1870882","18-1870882")</f>
        <v>0</v>
      </c>
      <c r="AD1421" t="s">
        <v>3445</v>
      </c>
      <c r="AE1421" t="s">
        <v>3455</v>
      </c>
      <c r="AF1421" t="s">
        <v>4534</v>
      </c>
      <c r="AG1421" t="s">
        <v>3362</v>
      </c>
      <c r="AH1421" t="s">
        <v>4904</v>
      </c>
      <c r="AK1421" t="s">
        <v>4911</v>
      </c>
      <c r="AL1421" t="s">
        <v>2160</v>
      </c>
      <c r="AN1421" t="s">
        <v>3419</v>
      </c>
    </row>
    <row r="1422" spans="1:40">
      <c r="A1422" s="1" t="s">
        <v>1458</v>
      </c>
      <c r="B1422" t="s">
        <v>2012</v>
      </c>
      <c r="C1422" t="s">
        <v>1998</v>
      </c>
      <c r="D1422" t="s">
        <v>2081</v>
      </c>
      <c r="E1422" t="s">
        <v>2112</v>
      </c>
      <c r="F1422" t="s">
        <v>2120</v>
      </c>
      <c r="G1422" t="s">
        <v>2213</v>
      </c>
      <c r="H1422">
        <v>10467</v>
      </c>
      <c r="I1422" t="s">
        <v>2230</v>
      </c>
      <c r="J1422">
        <v>4</v>
      </c>
      <c r="K1422">
        <v>2</v>
      </c>
      <c r="L1422" t="s">
        <v>2262</v>
      </c>
      <c r="M1422" t="s">
        <v>2677</v>
      </c>
      <c r="P1422" t="s">
        <v>3015</v>
      </c>
      <c r="Q1422" t="s">
        <v>2113</v>
      </c>
      <c r="R1422" t="s">
        <v>3259</v>
      </c>
      <c r="S1422" t="s">
        <v>3287</v>
      </c>
      <c r="X1422" t="s">
        <v>3354</v>
      </c>
      <c r="Y1422" t="s">
        <v>2677</v>
      </c>
      <c r="Z1422" t="s">
        <v>3378</v>
      </c>
      <c r="AA1422" t="s">
        <v>3406</v>
      </c>
      <c r="AB1422" t="s">
        <v>3435</v>
      </c>
      <c r="AC1422">
        <f>HYPERLINK("https://lsnyc.legalserver.org/matter/dynamic-profile/view/1870959","18-1870959")</f>
        <v>0</v>
      </c>
      <c r="AD1422" t="s">
        <v>3445</v>
      </c>
      <c r="AE1422" t="s">
        <v>3455</v>
      </c>
      <c r="AF1422" t="s">
        <v>4215</v>
      </c>
      <c r="AG1422" t="s">
        <v>3378</v>
      </c>
      <c r="AH1422" t="s">
        <v>4904</v>
      </c>
      <c r="AK1422" t="s">
        <v>4911</v>
      </c>
      <c r="AL1422" t="s">
        <v>2120</v>
      </c>
      <c r="AN1422" t="s">
        <v>3435</v>
      </c>
    </row>
    <row r="1423" spans="1:40">
      <c r="A1423" s="1" t="s">
        <v>1459</v>
      </c>
      <c r="B1423" t="s">
        <v>2009</v>
      </c>
      <c r="C1423" t="s">
        <v>2004</v>
      </c>
      <c r="D1423" t="s">
        <v>2056</v>
      </c>
      <c r="E1423" t="s">
        <v>2112</v>
      </c>
      <c r="F1423" t="s">
        <v>2124</v>
      </c>
      <c r="G1423" t="s">
        <v>2216</v>
      </c>
      <c r="H1423">
        <v>10314</v>
      </c>
      <c r="I1423" t="s">
        <v>2230</v>
      </c>
      <c r="J1423">
        <v>4</v>
      </c>
      <c r="K1423">
        <v>3</v>
      </c>
      <c r="L1423" t="s">
        <v>2554</v>
      </c>
      <c r="M1423" t="s">
        <v>2677</v>
      </c>
      <c r="P1423" t="s">
        <v>3030</v>
      </c>
      <c r="Q1423" t="s">
        <v>3255</v>
      </c>
      <c r="R1423" t="s">
        <v>3259</v>
      </c>
      <c r="S1423" t="s">
        <v>3276</v>
      </c>
      <c r="T1423" t="s">
        <v>3294</v>
      </c>
      <c r="U1423" t="s">
        <v>3018</v>
      </c>
      <c r="X1423" t="s">
        <v>3354</v>
      </c>
      <c r="Y1423" t="s">
        <v>2678</v>
      </c>
      <c r="Z1423" t="s">
        <v>3373</v>
      </c>
      <c r="AA1423" t="s">
        <v>3406</v>
      </c>
      <c r="AB1423" t="s">
        <v>3424</v>
      </c>
      <c r="AC1423">
        <f>HYPERLINK("https://lsnyc.legalserver.org/matter/dynamic-profile/view/1871009","18-1871009")</f>
        <v>0</v>
      </c>
      <c r="AD1423" t="s">
        <v>3447</v>
      </c>
      <c r="AE1423" t="s">
        <v>3478</v>
      </c>
      <c r="AF1423" t="s">
        <v>4535</v>
      </c>
      <c r="AG1423" t="s">
        <v>3373</v>
      </c>
      <c r="AH1423" t="s">
        <v>4904</v>
      </c>
      <c r="AK1423" t="s">
        <v>4911</v>
      </c>
      <c r="AL1423" t="s">
        <v>2124</v>
      </c>
      <c r="AM1423" t="s">
        <v>3294</v>
      </c>
      <c r="AN1423" t="s">
        <v>3424</v>
      </c>
    </row>
    <row r="1424" spans="1:40">
      <c r="A1424" s="1" t="s">
        <v>1460</v>
      </c>
      <c r="B1424" t="s">
        <v>1998</v>
      </c>
      <c r="C1424" t="s">
        <v>1998</v>
      </c>
      <c r="D1424" t="s">
        <v>2099</v>
      </c>
      <c r="E1424" t="s">
        <v>2112</v>
      </c>
      <c r="F1424" t="s">
        <v>2135</v>
      </c>
      <c r="G1424" t="s">
        <v>2214</v>
      </c>
      <c r="H1424">
        <v>11220</v>
      </c>
      <c r="I1424" t="s">
        <v>2229</v>
      </c>
      <c r="J1424">
        <v>2</v>
      </c>
      <c r="K1424">
        <v>1</v>
      </c>
      <c r="L1424" t="s">
        <v>2471</v>
      </c>
      <c r="M1424" t="s">
        <v>2677</v>
      </c>
      <c r="P1424" t="s">
        <v>3030</v>
      </c>
      <c r="Q1424" t="s">
        <v>3255</v>
      </c>
      <c r="R1424" t="s">
        <v>3259</v>
      </c>
      <c r="S1424" t="s">
        <v>3276</v>
      </c>
      <c r="T1424" t="s">
        <v>3294</v>
      </c>
      <c r="U1424" t="s">
        <v>2974</v>
      </c>
      <c r="X1424" t="s">
        <v>3354</v>
      </c>
      <c r="Y1424" t="s">
        <v>2678</v>
      </c>
      <c r="Z1424" t="s">
        <v>3373</v>
      </c>
      <c r="AA1424" t="s">
        <v>3406</v>
      </c>
      <c r="AB1424" t="s">
        <v>3424</v>
      </c>
      <c r="AC1424">
        <f>HYPERLINK("https://lsnyc.legalserver.org/matter/dynamic-profile/view/1871015","18-1871015")</f>
        <v>0</v>
      </c>
      <c r="AD1424" t="s">
        <v>3447</v>
      </c>
      <c r="AE1424" t="s">
        <v>3478</v>
      </c>
      <c r="AF1424" t="s">
        <v>4173</v>
      </c>
      <c r="AG1424" t="s">
        <v>3373</v>
      </c>
      <c r="AH1424" t="s">
        <v>4904</v>
      </c>
      <c r="AK1424" t="s">
        <v>4911</v>
      </c>
      <c r="AL1424" t="s">
        <v>2135</v>
      </c>
      <c r="AM1424" t="s">
        <v>3294</v>
      </c>
      <c r="AN1424" t="s">
        <v>3424</v>
      </c>
    </row>
    <row r="1425" spans="1:40">
      <c r="A1425" s="1" t="s">
        <v>1461</v>
      </c>
      <c r="B1425" t="s">
        <v>2000</v>
      </c>
      <c r="C1425" t="s">
        <v>2001</v>
      </c>
      <c r="D1425" t="s">
        <v>2029</v>
      </c>
      <c r="E1425" t="s">
        <v>2111</v>
      </c>
      <c r="F1425" t="s">
        <v>2116</v>
      </c>
      <c r="G1425" t="s">
        <v>2216</v>
      </c>
      <c r="H1425">
        <v>10301</v>
      </c>
      <c r="I1425" t="s">
        <v>2229</v>
      </c>
      <c r="J1425">
        <v>6</v>
      </c>
      <c r="K1425">
        <v>3</v>
      </c>
      <c r="L1425" t="s">
        <v>2288</v>
      </c>
      <c r="M1425" t="s">
        <v>2677</v>
      </c>
      <c r="P1425" t="s">
        <v>3030</v>
      </c>
      <c r="Q1425" t="s">
        <v>3255</v>
      </c>
      <c r="R1425" t="s">
        <v>3259</v>
      </c>
      <c r="S1425" t="s">
        <v>3267</v>
      </c>
      <c r="T1425" t="s">
        <v>3294</v>
      </c>
      <c r="U1425" t="s">
        <v>2974</v>
      </c>
      <c r="X1425" t="s">
        <v>3354</v>
      </c>
      <c r="Y1425" t="s">
        <v>2678</v>
      </c>
      <c r="Z1425" t="s">
        <v>3391</v>
      </c>
      <c r="AA1425" t="s">
        <v>3406</v>
      </c>
      <c r="AB1425" t="s">
        <v>3415</v>
      </c>
      <c r="AC1425">
        <f>HYPERLINK("https://lsnyc.legalserver.org/matter/dynamic-profile/view/1871017","18-1871017")</f>
        <v>0</v>
      </c>
      <c r="AD1425" t="s">
        <v>3447</v>
      </c>
      <c r="AE1425" t="s">
        <v>3463</v>
      </c>
      <c r="AF1425" t="s">
        <v>4536</v>
      </c>
      <c r="AG1425" t="s">
        <v>3391</v>
      </c>
      <c r="AH1425" t="s">
        <v>4906</v>
      </c>
      <c r="AK1425" t="s">
        <v>4911</v>
      </c>
      <c r="AL1425" t="s">
        <v>2116</v>
      </c>
      <c r="AM1425" t="s">
        <v>3294</v>
      </c>
      <c r="AN1425" t="s">
        <v>3415</v>
      </c>
    </row>
    <row r="1426" spans="1:40">
      <c r="A1426" s="1" t="s">
        <v>1462</v>
      </c>
      <c r="B1426" t="s">
        <v>1998</v>
      </c>
      <c r="C1426" t="s">
        <v>2012</v>
      </c>
      <c r="D1426" t="s">
        <v>2084</v>
      </c>
      <c r="E1426" t="s">
        <v>2112</v>
      </c>
      <c r="F1426" t="s">
        <v>2116</v>
      </c>
      <c r="G1426" t="s">
        <v>2216</v>
      </c>
      <c r="H1426">
        <v>10302</v>
      </c>
      <c r="I1426" t="s">
        <v>2229</v>
      </c>
      <c r="J1426">
        <v>5</v>
      </c>
      <c r="K1426">
        <v>4</v>
      </c>
      <c r="L1426" t="s">
        <v>2260</v>
      </c>
      <c r="M1426" t="s">
        <v>2677</v>
      </c>
      <c r="P1426" t="s">
        <v>3031</v>
      </c>
      <c r="Q1426" t="s">
        <v>3255</v>
      </c>
      <c r="R1426" t="s">
        <v>3259</v>
      </c>
      <c r="S1426" t="s">
        <v>3264</v>
      </c>
      <c r="T1426" t="s">
        <v>3294</v>
      </c>
      <c r="U1426" t="s">
        <v>2879</v>
      </c>
      <c r="X1426" t="s">
        <v>3354</v>
      </c>
      <c r="Y1426" t="s">
        <v>2678</v>
      </c>
      <c r="Z1426" t="s">
        <v>3357</v>
      </c>
      <c r="AA1426" t="s">
        <v>3406</v>
      </c>
      <c r="AB1426" t="s">
        <v>3412</v>
      </c>
      <c r="AC1426">
        <f>HYPERLINK("https://lsnyc.legalserver.org/matter/dynamic-profile/view/1867556","18-1867556")</f>
        <v>0</v>
      </c>
      <c r="AD1426" t="s">
        <v>3447</v>
      </c>
      <c r="AE1426" t="s">
        <v>3462</v>
      </c>
      <c r="AF1426" t="s">
        <v>4336</v>
      </c>
      <c r="AG1426" t="s">
        <v>3357</v>
      </c>
      <c r="AH1426" t="s">
        <v>4904</v>
      </c>
      <c r="AK1426" t="s">
        <v>4911</v>
      </c>
      <c r="AL1426" t="s">
        <v>2116</v>
      </c>
      <c r="AM1426" t="s">
        <v>3294</v>
      </c>
      <c r="AN1426" t="s">
        <v>3412</v>
      </c>
    </row>
    <row r="1427" spans="1:40">
      <c r="A1427" s="1" t="s">
        <v>1463</v>
      </c>
      <c r="B1427" t="s">
        <v>2016</v>
      </c>
      <c r="C1427" t="s">
        <v>2016</v>
      </c>
      <c r="D1427" t="s">
        <v>2055</v>
      </c>
      <c r="E1427" t="s">
        <v>2112</v>
      </c>
      <c r="F1427" t="s">
        <v>2181</v>
      </c>
      <c r="G1427" t="s">
        <v>2212</v>
      </c>
      <c r="H1427">
        <v>11418</v>
      </c>
      <c r="I1427" t="s">
        <v>2230</v>
      </c>
      <c r="J1427">
        <v>1</v>
      </c>
      <c r="K1427">
        <v>0</v>
      </c>
      <c r="L1427" t="s">
        <v>2286</v>
      </c>
      <c r="M1427" t="s">
        <v>2678</v>
      </c>
      <c r="P1427" t="s">
        <v>3031</v>
      </c>
      <c r="Q1427" t="s">
        <v>2113</v>
      </c>
      <c r="R1427" t="s">
        <v>3261</v>
      </c>
      <c r="S1427" t="s">
        <v>3283</v>
      </c>
      <c r="X1427" t="s">
        <v>3354</v>
      </c>
      <c r="Y1427" t="s">
        <v>2678</v>
      </c>
      <c r="Z1427" t="s">
        <v>3362</v>
      </c>
      <c r="AA1427" t="s">
        <v>3408</v>
      </c>
      <c r="AB1427" t="s">
        <v>3431</v>
      </c>
      <c r="AC1427">
        <f>HYPERLINK("https://lsnyc.legalserver.org/matter/dynamic-profile/view/1870788","18-1870788")</f>
        <v>0</v>
      </c>
      <c r="AD1427" t="s">
        <v>3443</v>
      </c>
      <c r="AE1427" t="s">
        <v>3477</v>
      </c>
      <c r="AF1427" t="s">
        <v>4537</v>
      </c>
      <c r="AG1427" t="s">
        <v>3362</v>
      </c>
      <c r="AH1427" t="s">
        <v>3408</v>
      </c>
      <c r="AJ1427" t="s">
        <v>4910</v>
      </c>
      <c r="AL1427" t="s">
        <v>2181</v>
      </c>
      <c r="AN1427" t="s">
        <v>3431</v>
      </c>
    </row>
    <row r="1428" spans="1:40">
      <c r="A1428" s="1" t="s">
        <v>1464</v>
      </c>
      <c r="B1428" t="s">
        <v>1998</v>
      </c>
      <c r="C1428" t="s">
        <v>1998</v>
      </c>
      <c r="D1428" t="s">
        <v>2055</v>
      </c>
      <c r="E1428" t="s">
        <v>2112</v>
      </c>
      <c r="F1428" t="s">
        <v>2179</v>
      </c>
      <c r="G1428" t="s">
        <v>2212</v>
      </c>
      <c r="H1428">
        <v>11435</v>
      </c>
      <c r="I1428" t="s">
        <v>2230</v>
      </c>
      <c r="J1428">
        <v>3</v>
      </c>
      <c r="K1428">
        <v>1</v>
      </c>
      <c r="L1428" t="s">
        <v>2306</v>
      </c>
      <c r="M1428" t="s">
        <v>2677</v>
      </c>
      <c r="P1428" t="s">
        <v>3031</v>
      </c>
      <c r="Q1428" t="s">
        <v>2113</v>
      </c>
      <c r="R1428" t="s">
        <v>3258</v>
      </c>
      <c r="S1428" t="s">
        <v>3271</v>
      </c>
      <c r="X1428" t="s">
        <v>3354</v>
      </c>
      <c r="Y1428" t="s">
        <v>2678</v>
      </c>
      <c r="Z1428" t="s">
        <v>3362</v>
      </c>
      <c r="AA1428" t="s">
        <v>3406</v>
      </c>
      <c r="AB1428" t="s">
        <v>3419</v>
      </c>
      <c r="AC1428">
        <f>HYPERLINK("https://lsnyc.legalserver.org/matter/dynamic-profile/view/1870854","18-1870854")</f>
        <v>0</v>
      </c>
      <c r="AD1428" t="s">
        <v>3443</v>
      </c>
      <c r="AE1428" t="s">
        <v>3477</v>
      </c>
      <c r="AF1428" t="s">
        <v>4538</v>
      </c>
      <c r="AG1428" t="s">
        <v>3362</v>
      </c>
      <c r="AH1428" t="s">
        <v>4904</v>
      </c>
      <c r="AK1428" t="s">
        <v>4911</v>
      </c>
      <c r="AL1428" t="s">
        <v>2179</v>
      </c>
      <c r="AN1428" t="s">
        <v>3419</v>
      </c>
    </row>
    <row r="1429" spans="1:40">
      <c r="A1429" s="1" t="s">
        <v>1465</v>
      </c>
      <c r="B1429" t="s">
        <v>1998</v>
      </c>
      <c r="C1429" t="s">
        <v>2016</v>
      </c>
      <c r="D1429" t="s">
        <v>2038</v>
      </c>
      <c r="E1429" t="s">
        <v>2112</v>
      </c>
      <c r="F1429" t="s">
        <v>2117</v>
      </c>
      <c r="G1429" t="s">
        <v>2216</v>
      </c>
      <c r="H1429">
        <v>10304</v>
      </c>
      <c r="I1429" t="s">
        <v>2229</v>
      </c>
      <c r="J1429">
        <v>4</v>
      </c>
      <c r="K1429">
        <v>1</v>
      </c>
      <c r="L1429" t="s">
        <v>2260</v>
      </c>
      <c r="M1429" t="s">
        <v>2677</v>
      </c>
      <c r="P1429" t="s">
        <v>3032</v>
      </c>
      <c r="Q1429" t="s">
        <v>2113</v>
      </c>
      <c r="R1429" t="s">
        <v>3259</v>
      </c>
      <c r="S1429" t="s">
        <v>3267</v>
      </c>
      <c r="T1429" t="s">
        <v>3294</v>
      </c>
      <c r="U1429" t="s">
        <v>2988</v>
      </c>
      <c r="X1429" t="s">
        <v>3354</v>
      </c>
      <c r="Y1429" t="s">
        <v>2678</v>
      </c>
      <c r="Z1429" t="s">
        <v>3380</v>
      </c>
      <c r="AA1429" t="s">
        <v>3406</v>
      </c>
      <c r="AB1429" t="s">
        <v>3415</v>
      </c>
      <c r="AC1429">
        <f>HYPERLINK("https://lsnyc.legalserver.org/matter/dynamic-profile/view/1867030","18-1867030")</f>
        <v>0</v>
      </c>
      <c r="AD1429" t="s">
        <v>3447</v>
      </c>
      <c r="AE1429" t="s">
        <v>3463</v>
      </c>
      <c r="AF1429" t="s">
        <v>4539</v>
      </c>
      <c r="AG1429" t="s">
        <v>3380</v>
      </c>
      <c r="AH1429" t="s">
        <v>4906</v>
      </c>
      <c r="AK1429" t="s">
        <v>4911</v>
      </c>
      <c r="AL1429" t="s">
        <v>2117</v>
      </c>
      <c r="AM1429" t="s">
        <v>3294</v>
      </c>
      <c r="AN1429" t="s">
        <v>3415</v>
      </c>
    </row>
    <row r="1430" spans="1:40">
      <c r="A1430" s="1" t="s">
        <v>1466</v>
      </c>
      <c r="B1430" t="s">
        <v>2001</v>
      </c>
      <c r="C1430" t="s">
        <v>2016</v>
      </c>
      <c r="D1430" t="s">
        <v>2040</v>
      </c>
      <c r="E1430" t="s">
        <v>2112</v>
      </c>
      <c r="F1430" t="s">
        <v>2116</v>
      </c>
      <c r="G1430" t="s">
        <v>2212</v>
      </c>
      <c r="H1430">
        <v>11368</v>
      </c>
      <c r="J1430">
        <v>3</v>
      </c>
      <c r="K1430">
        <v>2</v>
      </c>
      <c r="L1430" t="s">
        <v>2555</v>
      </c>
      <c r="M1430" t="s">
        <v>2677</v>
      </c>
      <c r="P1430" t="s">
        <v>3032</v>
      </c>
      <c r="Q1430" t="s">
        <v>2113</v>
      </c>
      <c r="R1430" t="s">
        <v>3259</v>
      </c>
      <c r="S1430" t="s">
        <v>3275</v>
      </c>
      <c r="X1430" t="s">
        <v>3354</v>
      </c>
      <c r="Y1430" t="s">
        <v>2677</v>
      </c>
      <c r="Z1430" t="s">
        <v>3372</v>
      </c>
      <c r="AA1430" t="s">
        <v>3406</v>
      </c>
      <c r="AB1430" t="s">
        <v>3423</v>
      </c>
      <c r="AC1430">
        <f>HYPERLINK("https://lsnyc.legalserver.org/matter/dynamic-profile/view/1870554","18-1870554")</f>
        <v>0</v>
      </c>
      <c r="AD1430" t="s">
        <v>3445</v>
      </c>
      <c r="AE1430" t="s">
        <v>3455</v>
      </c>
      <c r="AF1430" t="s">
        <v>4540</v>
      </c>
      <c r="AG1430" t="s">
        <v>3372</v>
      </c>
      <c r="AH1430" t="s">
        <v>4904</v>
      </c>
      <c r="AK1430" t="s">
        <v>4911</v>
      </c>
      <c r="AL1430" t="s">
        <v>2116</v>
      </c>
      <c r="AN1430" t="s">
        <v>3423</v>
      </c>
    </row>
    <row r="1431" spans="1:40">
      <c r="A1431" s="1" t="s">
        <v>1467</v>
      </c>
      <c r="B1431" t="s">
        <v>2001</v>
      </c>
      <c r="C1431" t="s">
        <v>2016</v>
      </c>
      <c r="D1431" t="s">
        <v>2040</v>
      </c>
      <c r="E1431" t="s">
        <v>2112</v>
      </c>
      <c r="F1431" t="s">
        <v>2116</v>
      </c>
      <c r="G1431" t="s">
        <v>2212</v>
      </c>
      <c r="H1431">
        <v>11368</v>
      </c>
      <c r="J1431">
        <v>3</v>
      </c>
      <c r="K1431">
        <v>2</v>
      </c>
      <c r="L1431" t="s">
        <v>2555</v>
      </c>
      <c r="M1431" t="s">
        <v>2677</v>
      </c>
      <c r="P1431" t="s">
        <v>3032</v>
      </c>
      <c r="Q1431" t="s">
        <v>2113</v>
      </c>
      <c r="R1431" t="s">
        <v>3258</v>
      </c>
      <c r="S1431" t="s">
        <v>3265</v>
      </c>
      <c r="X1431" t="s">
        <v>3354</v>
      </c>
      <c r="Y1431" t="s">
        <v>2677</v>
      </c>
      <c r="Z1431" t="s">
        <v>3358</v>
      </c>
      <c r="AA1431" t="s">
        <v>3406</v>
      </c>
      <c r="AB1431" t="s">
        <v>3413</v>
      </c>
      <c r="AC1431">
        <f>HYPERLINK("https://lsnyc.legalserver.org/matter/dynamic-profile/view/1870555","18-1870555")</f>
        <v>0</v>
      </c>
      <c r="AD1431" t="s">
        <v>3445</v>
      </c>
      <c r="AE1431" t="s">
        <v>3455</v>
      </c>
      <c r="AF1431" t="s">
        <v>4540</v>
      </c>
      <c r="AG1431" t="s">
        <v>3358</v>
      </c>
      <c r="AH1431" t="s">
        <v>4904</v>
      </c>
      <c r="AK1431" t="s">
        <v>4911</v>
      </c>
      <c r="AL1431" t="s">
        <v>2116</v>
      </c>
      <c r="AN1431" t="s">
        <v>3413</v>
      </c>
    </row>
    <row r="1432" spans="1:40">
      <c r="A1432" s="1" t="s">
        <v>1468</v>
      </c>
      <c r="B1432" t="s">
        <v>2000</v>
      </c>
      <c r="C1432" t="s">
        <v>1998</v>
      </c>
      <c r="D1432" t="s">
        <v>2091</v>
      </c>
      <c r="E1432" t="s">
        <v>2112</v>
      </c>
      <c r="F1432" t="s">
        <v>2116</v>
      </c>
      <c r="G1432" t="s">
        <v>2212</v>
      </c>
      <c r="H1432">
        <v>11368</v>
      </c>
      <c r="J1432">
        <v>3</v>
      </c>
      <c r="K1432">
        <v>2</v>
      </c>
      <c r="L1432" t="s">
        <v>2555</v>
      </c>
      <c r="M1432" t="s">
        <v>2677</v>
      </c>
      <c r="P1432" t="s">
        <v>3032</v>
      </c>
      <c r="Q1432" t="s">
        <v>2113</v>
      </c>
      <c r="R1432" t="s">
        <v>3259</v>
      </c>
      <c r="S1432" t="s">
        <v>3275</v>
      </c>
      <c r="X1432" t="s">
        <v>3354</v>
      </c>
      <c r="Y1432" t="s">
        <v>2677</v>
      </c>
      <c r="Z1432" t="s">
        <v>3372</v>
      </c>
      <c r="AA1432" t="s">
        <v>3406</v>
      </c>
      <c r="AB1432" t="s">
        <v>3423</v>
      </c>
      <c r="AC1432">
        <f>HYPERLINK("https://lsnyc.legalserver.org/matter/dynamic-profile/view/1870557","18-1870557")</f>
        <v>0</v>
      </c>
      <c r="AD1432" t="s">
        <v>3445</v>
      </c>
      <c r="AE1432" t="s">
        <v>3455</v>
      </c>
      <c r="AF1432" t="s">
        <v>4541</v>
      </c>
      <c r="AG1432" t="s">
        <v>3372</v>
      </c>
      <c r="AH1432" t="s">
        <v>4904</v>
      </c>
      <c r="AK1432" t="s">
        <v>4911</v>
      </c>
      <c r="AL1432" t="s">
        <v>2116</v>
      </c>
      <c r="AN1432" t="s">
        <v>3423</v>
      </c>
    </row>
    <row r="1433" spans="1:40">
      <c r="A1433" s="1" t="s">
        <v>1469</v>
      </c>
      <c r="B1433" t="s">
        <v>2000</v>
      </c>
      <c r="C1433" t="s">
        <v>1998</v>
      </c>
      <c r="D1433" t="s">
        <v>2091</v>
      </c>
      <c r="E1433" t="s">
        <v>2112</v>
      </c>
      <c r="F1433" t="s">
        <v>2116</v>
      </c>
      <c r="G1433" t="s">
        <v>2212</v>
      </c>
      <c r="H1433">
        <v>11368</v>
      </c>
      <c r="J1433">
        <v>3</v>
      </c>
      <c r="K1433">
        <v>2</v>
      </c>
      <c r="L1433" t="s">
        <v>2555</v>
      </c>
      <c r="M1433" t="s">
        <v>2677</v>
      </c>
      <c r="P1433" t="s">
        <v>3032</v>
      </c>
      <c r="Q1433" t="s">
        <v>2113</v>
      </c>
      <c r="R1433" t="s">
        <v>3258</v>
      </c>
      <c r="S1433" t="s">
        <v>3265</v>
      </c>
      <c r="X1433" t="s">
        <v>3354</v>
      </c>
      <c r="Y1433" t="s">
        <v>2677</v>
      </c>
      <c r="Z1433" t="s">
        <v>3358</v>
      </c>
      <c r="AA1433" t="s">
        <v>3406</v>
      </c>
      <c r="AB1433" t="s">
        <v>3413</v>
      </c>
      <c r="AC1433">
        <f>HYPERLINK("https://lsnyc.legalserver.org/matter/dynamic-profile/view/1870560","18-1870560")</f>
        <v>0</v>
      </c>
      <c r="AD1433" t="s">
        <v>3445</v>
      </c>
      <c r="AE1433" t="s">
        <v>3455</v>
      </c>
      <c r="AF1433" t="s">
        <v>4541</v>
      </c>
      <c r="AG1433" t="s">
        <v>3358</v>
      </c>
      <c r="AH1433" t="s">
        <v>4904</v>
      </c>
      <c r="AK1433" t="s">
        <v>4911</v>
      </c>
      <c r="AL1433" t="s">
        <v>2116</v>
      </c>
      <c r="AN1433" t="s">
        <v>3413</v>
      </c>
    </row>
    <row r="1434" spans="1:40">
      <c r="A1434" s="1" t="s">
        <v>1470</v>
      </c>
      <c r="B1434" t="s">
        <v>2000</v>
      </c>
      <c r="C1434" t="s">
        <v>1998</v>
      </c>
      <c r="D1434" t="s">
        <v>2044</v>
      </c>
      <c r="E1434" t="s">
        <v>2112</v>
      </c>
      <c r="F1434" t="s">
        <v>2135</v>
      </c>
      <c r="G1434" t="s">
        <v>2212</v>
      </c>
      <c r="H1434">
        <v>11385</v>
      </c>
      <c r="I1434" t="s">
        <v>2230</v>
      </c>
      <c r="J1434">
        <v>1</v>
      </c>
      <c r="K1434">
        <v>0</v>
      </c>
      <c r="L1434" t="s">
        <v>2260</v>
      </c>
      <c r="M1434" t="s">
        <v>2677</v>
      </c>
      <c r="P1434" t="s">
        <v>3033</v>
      </c>
      <c r="Q1434" t="s">
        <v>2113</v>
      </c>
      <c r="R1434" t="s">
        <v>3259</v>
      </c>
      <c r="S1434" t="s">
        <v>3264</v>
      </c>
      <c r="X1434" t="s">
        <v>3354</v>
      </c>
      <c r="Y1434" t="s">
        <v>2677</v>
      </c>
      <c r="Z1434" t="s">
        <v>3357</v>
      </c>
      <c r="AA1434" t="s">
        <v>3406</v>
      </c>
      <c r="AB1434" t="s">
        <v>3412</v>
      </c>
      <c r="AC1434">
        <f>HYPERLINK("https://lsnyc.legalserver.org/matter/dynamic-profile/view/1870550","18-1870550")</f>
        <v>0</v>
      </c>
      <c r="AD1434" t="s">
        <v>3445</v>
      </c>
      <c r="AE1434" t="s">
        <v>3452</v>
      </c>
      <c r="AF1434" t="s">
        <v>4542</v>
      </c>
      <c r="AG1434" t="s">
        <v>3357</v>
      </c>
      <c r="AH1434" t="s">
        <v>4904</v>
      </c>
      <c r="AK1434" t="s">
        <v>4911</v>
      </c>
      <c r="AL1434" t="s">
        <v>2135</v>
      </c>
      <c r="AN1434" t="s">
        <v>3412</v>
      </c>
    </row>
    <row r="1435" spans="1:40">
      <c r="A1435" s="1" t="s">
        <v>1471</v>
      </c>
      <c r="B1435" t="s">
        <v>2012</v>
      </c>
      <c r="C1435" t="s">
        <v>2000</v>
      </c>
      <c r="D1435" t="s">
        <v>2076</v>
      </c>
      <c r="E1435" t="s">
        <v>2112</v>
      </c>
      <c r="F1435" t="s">
        <v>2114</v>
      </c>
      <c r="G1435" t="s">
        <v>2212</v>
      </c>
      <c r="H1435">
        <v>11377</v>
      </c>
      <c r="I1435" t="s">
        <v>2229</v>
      </c>
      <c r="J1435">
        <v>3</v>
      </c>
      <c r="K1435">
        <v>1</v>
      </c>
      <c r="L1435" t="s">
        <v>2294</v>
      </c>
      <c r="M1435" t="s">
        <v>2677</v>
      </c>
      <c r="P1435" t="s">
        <v>3033</v>
      </c>
      <c r="Q1435" t="s">
        <v>3255</v>
      </c>
      <c r="R1435" t="s">
        <v>3259</v>
      </c>
      <c r="S1435" t="s">
        <v>3276</v>
      </c>
      <c r="X1435" t="s">
        <v>3354</v>
      </c>
      <c r="Y1435" t="s">
        <v>2677</v>
      </c>
      <c r="Z1435" t="s">
        <v>3373</v>
      </c>
      <c r="AA1435" t="s">
        <v>3406</v>
      </c>
      <c r="AB1435" t="s">
        <v>3424</v>
      </c>
      <c r="AC1435">
        <f>HYPERLINK("https://lsnyc.legalserver.org/matter/dynamic-profile/view/1870551","18-1870551")</f>
        <v>0</v>
      </c>
      <c r="AD1435" t="s">
        <v>3445</v>
      </c>
      <c r="AE1435" t="s">
        <v>3455</v>
      </c>
      <c r="AF1435" t="s">
        <v>4543</v>
      </c>
      <c r="AG1435" t="s">
        <v>3373</v>
      </c>
      <c r="AH1435" t="s">
        <v>4904</v>
      </c>
      <c r="AK1435" t="s">
        <v>4911</v>
      </c>
      <c r="AL1435" t="s">
        <v>2114</v>
      </c>
      <c r="AN1435" t="s">
        <v>3424</v>
      </c>
    </row>
    <row r="1436" spans="1:40">
      <c r="A1436" s="1" t="s">
        <v>1472</v>
      </c>
      <c r="B1436" t="s">
        <v>1998</v>
      </c>
      <c r="C1436" t="s">
        <v>2000</v>
      </c>
      <c r="D1436" t="s">
        <v>2071</v>
      </c>
      <c r="E1436" t="s">
        <v>2111</v>
      </c>
      <c r="F1436" t="s">
        <v>2129</v>
      </c>
      <c r="G1436" t="s">
        <v>2212</v>
      </c>
      <c r="H1436">
        <v>11375</v>
      </c>
      <c r="I1436" t="s">
        <v>2230</v>
      </c>
      <c r="J1436">
        <v>2</v>
      </c>
      <c r="K1436">
        <v>0</v>
      </c>
      <c r="L1436" t="s">
        <v>2556</v>
      </c>
      <c r="M1436" t="s">
        <v>2678</v>
      </c>
      <c r="P1436" t="s">
        <v>3034</v>
      </c>
      <c r="Q1436" t="s">
        <v>2113</v>
      </c>
      <c r="R1436" t="s">
        <v>3261</v>
      </c>
      <c r="S1436" t="s">
        <v>3283</v>
      </c>
      <c r="X1436" t="s">
        <v>3354</v>
      </c>
      <c r="Y1436" t="s">
        <v>2678</v>
      </c>
      <c r="Z1436" t="s">
        <v>3370</v>
      </c>
      <c r="AA1436" t="s">
        <v>3408</v>
      </c>
      <c r="AB1436" t="s">
        <v>3431</v>
      </c>
      <c r="AC1436">
        <f>HYPERLINK("https://lsnyc.legalserver.org/matter/dynamic-profile/view/1870355","18-1870355")</f>
        <v>0</v>
      </c>
      <c r="AD1436" t="s">
        <v>3443</v>
      </c>
      <c r="AE1436" t="s">
        <v>3477</v>
      </c>
      <c r="AF1436" t="s">
        <v>4544</v>
      </c>
      <c r="AG1436" t="s">
        <v>3370</v>
      </c>
      <c r="AH1436" t="s">
        <v>3408</v>
      </c>
      <c r="AJ1436" t="s">
        <v>4910</v>
      </c>
      <c r="AL1436" t="s">
        <v>2129</v>
      </c>
      <c r="AN1436" t="s">
        <v>3431</v>
      </c>
    </row>
    <row r="1437" spans="1:40">
      <c r="A1437" s="1" t="s">
        <v>1473</v>
      </c>
      <c r="B1437" t="s">
        <v>1998</v>
      </c>
      <c r="C1437" t="s">
        <v>1998</v>
      </c>
      <c r="D1437" t="s">
        <v>2050</v>
      </c>
      <c r="E1437" t="s">
        <v>2112</v>
      </c>
      <c r="F1437" t="s">
        <v>2146</v>
      </c>
      <c r="G1437" t="s">
        <v>2214</v>
      </c>
      <c r="H1437">
        <v>11219</v>
      </c>
      <c r="I1437" t="s">
        <v>2230</v>
      </c>
      <c r="J1437">
        <v>1</v>
      </c>
      <c r="K1437">
        <v>0</v>
      </c>
      <c r="L1437" t="s">
        <v>2271</v>
      </c>
      <c r="M1437" t="s">
        <v>2677</v>
      </c>
      <c r="P1437" t="s">
        <v>3023</v>
      </c>
      <c r="Q1437" t="s">
        <v>2113</v>
      </c>
      <c r="R1437" t="s">
        <v>3258</v>
      </c>
      <c r="S1437" t="s">
        <v>3271</v>
      </c>
      <c r="X1437" t="s">
        <v>3354</v>
      </c>
      <c r="Y1437" t="s">
        <v>2677</v>
      </c>
      <c r="Z1437" t="s">
        <v>3362</v>
      </c>
      <c r="AA1437" t="s">
        <v>3406</v>
      </c>
      <c r="AB1437" t="s">
        <v>3419</v>
      </c>
      <c r="AC1437">
        <f>HYPERLINK("https://lsnyc.legalserver.org/matter/dynamic-profile/view/1870239","18-1870239")</f>
        <v>0</v>
      </c>
      <c r="AD1437" t="s">
        <v>3445</v>
      </c>
      <c r="AE1437" t="s">
        <v>3455</v>
      </c>
      <c r="AF1437" t="s">
        <v>4545</v>
      </c>
      <c r="AG1437" t="s">
        <v>3362</v>
      </c>
      <c r="AH1437" t="s">
        <v>4904</v>
      </c>
      <c r="AK1437" t="s">
        <v>4911</v>
      </c>
      <c r="AL1437" t="s">
        <v>2146</v>
      </c>
      <c r="AN1437" t="s">
        <v>3419</v>
      </c>
    </row>
    <row r="1438" spans="1:40">
      <c r="A1438" s="1" t="s">
        <v>1474</v>
      </c>
      <c r="B1438" t="s">
        <v>1998</v>
      </c>
      <c r="C1438" t="s">
        <v>2009</v>
      </c>
      <c r="D1438" t="s">
        <v>2069</v>
      </c>
      <c r="E1438" t="s">
        <v>2111</v>
      </c>
      <c r="F1438" t="s">
        <v>2164</v>
      </c>
      <c r="G1438" t="s">
        <v>2211</v>
      </c>
      <c r="H1438">
        <v>10039</v>
      </c>
      <c r="I1438" t="s">
        <v>2234</v>
      </c>
      <c r="J1438">
        <v>1</v>
      </c>
      <c r="K1438">
        <v>0</v>
      </c>
      <c r="L1438" t="s">
        <v>2260</v>
      </c>
      <c r="M1438" t="s">
        <v>2677</v>
      </c>
      <c r="P1438" t="s">
        <v>3035</v>
      </c>
      <c r="Q1438" t="s">
        <v>2113</v>
      </c>
      <c r="R1438" t="s">
        <v>3259</v>
      </c>
      <c r="S1438" t="s">
        <v>3267</v>
      </c>
      <c r="X1438" t="s">
        <v>3354</v>
      </c>
      <c r="Y1438" t="s">
        <v>2678</v>
      </c>
      <c r="Z1438" t="s">
        <v>3359</v>
      </c>
      <c r="AA1438" t="s">
        <v>3406</v>
      </c>
      <c r="AB1438" t="s">
        <v>3415</v>
      </c>
      <c r="AC1438">
        <f>HYPERLINK("https://lsnyc.legalserver.org/matter/dynamic-profile/view/1870240","18-1870240")</f>
        <v>0</v>
      </c>
      <c r="AD1438" t="s">
        <v>3442</v>
      </c>
      <c r="AE1438" t="s">
        <v>3448</v>
      </c>
      <c r="AF1438" t="s">
        <v>4280</v>
      </c>
      <c r="AG1438" t="s">
        <v>3359</v>
      </c>
      <c r="AH1438" t="s">
        <v>4906</v>
      </c>
      <c r="AK1438" t="s">
        <v>4911</v>
      </c>
      <c r="AL1438" t="s">
        <v>2164</v>
      </c>
      <c r="AN1438" t="s">
        <v>3415</v>
      </c>
    </row>
    <row r="1439" spans="1:40">
      <c r="A1439" s="1" t="s">
        <v>1475</v>
      </c>
      <c r="B1439" t="s">
        <v>2002</v>
      </c>
      <c r="C1439" t="s">
        <v>2001</v>
      </c>
      <c r="D1439" t="s">
        <v>2077</v>
      </c>
      <c r="E1439" t="s">
        <v>2112</v>
      </c>
      <c r="F1439" t="s">
        <v>2123</v>
      </c>
      <c r="G1439" t="s">
        <v>2213</v>
      </c>
      <c r="H1439">
        <v>10459</v>
      </c>
      <c r="J1439">
        <v>1</v>
      </c>
      <c r="K1439">
        <v>0</v>
      </c>
      <c r="L1439" t="s">
        <v>2260</v>
      </c>
      <c r="M1439" t="s">
        <v>2677</v>
      </c>
      <c r="P1439" t="s">
        <v>3036</v>
      </c>
      <c r="Q1439" t="s">
        <v>2113</v>
      </c>
      <c r="R1439" t="s">
        <v>3259</v>
      </c>
      <c r="S1439" t="s">
        <v>3275</v>
      </c>
      <c r="T1439" t="s">
        <v>3295</v>
      </c>
      <c r="X1439" t="s">
        <v>3354</v>
      </c>
      <c r="Y1439" t="s">
        <v>2678</v>
      </c>
      <c r="Z1439" t="s">
        <v>3392</v>
      </c>
      <c r="AA1439" t="s">
        <v>3406</v>
      </c>
      <c r="AB1439" t="s">
        <v>3423</v>
      </c>
      <c r="AC1439">
        <f>HYPERLINK("https://lsnyc.legalserver.org/matter/dynamic-profile/view/1870082","18-1870082")</f>
        <v>0</v>
      </c>
      <c r="AD1439" t="s">
        <v>3444</v>
      </c>
      <c r="AE1439" t="s">
        <v>3464</v>
      </c>
      <c r="AF1439" t="s">
        <v>4546</v>
      </c>
      <c r="AG1439" t="s">
        <v>3392</v>
      </c>
      <c r="AH1439" t="s">
        <v>4904</v>
      </c>
      <c r="AK1439" t="s">
        <v>4911</v>
      </c>
      <c r="AL1439" t="s">
        <v>2123</v>
      </c>
      <c r="AM1439" t="s">
        <v>3295</v>
      </c>
      <c r="AN1439" t="s">
        <v>3423</v>
      </c>
    </row>
    <row r="1440" spans="1:40">
      <c r="A1440" s="1" t="s">
        <v>1476</v>
      </c>
      <c r="B1440" t="s">
        <v>2001</v>
      </c>
      <c r="C1440" t="s">
        <v>1998</v>
      </c>
      <c r="D1440" t="s">
        <v>2044</v>
      </c>
      <c r="E1440" t="s">
        <v>2111</v>
      </c>
      <c r="F1440" t="s">
        <v>2131</v>
      </c>
      <c r="G1440" t="s">
        <v>2212</v>
      </c>
      <c r="H1440">
        <v>11372</v>
      </c>
      <c r="I1440" t="s">
        <v>2229</v>
      </c>
      <c r="J1440">
        <v>1</v>
      </c>
      <c r="K1440">
        <v>0</v>
      </c>
      <c r="L1440" t="s">
        <v>2260</v>
      </c>
      <c r="M1440" t="s">
        <v>2677</v>
      </c>
      <c r="P1440" t="s">
        <v>3026</v>
      </c>
      <c r="Q1440" t="s">
        <v>2113</v>
      </c>
      <c r="R1440" t="s">
        <v>3259</v>
      </c>
      <c r="S1440" t="s">
        <v>3268</v>
      </c>
      <c r="X1440" t="s">
        <v>3354</v>
      </c>
      <c r="Y1440" t="s">
        <v>2677</v>
      </c>
      <c r="Z1440" t="s">
        <v>3368</v>
      </c>
      <c r="AA1440" t="s">
        <v>3406</v>
      </c>
      <c r="AB1440" t="s">
        <v>3416</v>
      </c>
      <c r="AC1440">
        <f>HYPERLINK("https://lsnyc.legalserver.org/matter/dynamic-profile/view/1870108","18-1870108")</f>
        <v>0</v>
      </c>
      <c r="AD1440" t="s">
        <v>3445</v>
      </c>
      <c r="AE1440" t="s">
        <v>3455</v>
      </c>
      <c r="AF1440" t="s">
        <v>4042</v>
      </c>
      <c r="AG1440" t="s">
        <v>3368</v>
      </c>
      <c r="AH1440" t="s">
        <v>4904</v>
      </c>
      <c r="AI1440" t="s">
        <v>4909</v>
      </c>
      <c r="AK1440" t="s">
        <v>4911</v>
      </c>
      <c r="AL1440" t="s">
        <v>2131</v>
      </c>
      <c r="AN1440" t="s">
        <v>3416</v>
      </c>
    </row>
    <row r="1441" spans="1:40">
      <c r="A1441" s="1" t="s">
        <v>1477</v>
      </c>
      <c r="B1441" t="s">
        <v>1998</v>
      </c>
      <c r="C1441" t="s">
        <v>1998</v>
      </c>
      <c r="D1441" t="s">
        <v>2038</v>
      </c>
      <c r="E1441" t="s">
        <v>2111</v>
      </c>
      <c r="F1441" t="s">
        <v>2135</v>
      </c>
      <c r="G1441" t="s">
        <v>2212</v>
      </c>
      <c r="H1441">
        <v>11385</v>
      </c>
      <c r="I1441" t="s">
        <v>2229</v>
      </c>
      <c r="J1441">
        <v>1</v>
      </c>
      <c r="K1441">
        <v>0</v>
      </c>
      <c r="L1441" t="s">
        <v>2557</v>
      </c>
      <c r="M1441" t="s">
        <v>2677</v>
      </c>
      <c r="P1441" t="s">
        <v>3023</v>
      </c>
      <c r="Q1441" t="s">
        <v>2113</v>
      </c>
      <c r="R1441" t="s">
        <v>3259</v>
      </c>
      <c r="S1441" t="s">
        <v>3270</v>
      </c>
      <c r="X1441" t="s">
        <v>3354</v>
      </c>
      <c r="Y1441" t="s">
        <v>2677</v>
      </c>
      <c r="Z1441" t="s">
        <v>3362</v>
      </c>
      <c r="AA1441" t="s">
        <v>3406</v>
      </c>
      <c r="AB1441" t="s">
        <v>3418</v>
      </c>
      <c r="AC1441">
        <f>HYPERLINK("https://lsnyc.legalserver.org/matter/dynamic-profile/view/1870143","18-1870143")</f>
        <v>0</v>
      </c>
      <c r="AD1441" t="s">
        <v>3445</v>
      </c>
      <c r="AE1441" t="s">
        <v>3455</v>
      </c>
      <c r="AF1441" t="s">
        <v>4547</v>
      </c>
      <c r="AG1441" t="s">
        <v>3362</v>
      </c>
      <c r="AH1441" t="s">
        <v>4904</v>
      </c>
      <c r="AK1441" t="s">
        <v>4911</v>
      </c>
      <c r="AL1441" t="s">
        <v>2135</v>
      </c>
      <c r="AN1441" t="s">
        <v>3418</v>
      </c>
    </row>
    <row r="1442" spans="1:40">
      <c r="A1442" s="1" t="s">
        <v>1478</v>
      </c>
      <c r="B1442" t="s">
        <v>2016</v>
      </c>
      <c r="C1442" t="s">
        <v>2002</v>
      </c>
      <c r="D1442" t="s">
        <v>2033</v>
      </c>
      <c r="E1442" t="s">
        <v>2111</v>
      </c>
      <c r="F1442" t="s">
        <v>2165</v>
      </c>
      <c r="G1442" t="s">
        <v>2214</v>
      </c>
      <c r="H1442">
        <v>11212</v>
      </c>
      <c r="I1442" t="s">
        <v>2230</v>
      </c>
      <c r="J1442">
        <v>1</v>
      </c>
      <c r="K1442">
        <v>0</v>
      </c>
      <c r="L1442" t="s">
        <v>2260</v>
      </c>
      <c r="M1442" t="s">
        <v>2677</v>
      </c>
      <c r="P1442" t="s">
        <v>3036</v>
      </c>
      <c r="Q1442" t="s">
        <v>2113</v>
      </c>
      <c r="R1442" t="s">
        <v>3259</v>
      </c>
      <c r="S1442" t="s">
        <v>3268</v>
      </c>
      <c r="T1442" t="s">
        <v>3294</v>
      </c>
      <c r="U1442" t="s">
        <v>2859</v>
      </c>
      <c r="X1442" t="s">
        <v>3354</v>
      </c>
      <c r="Y1442" t="s">
        <v>2677</v>
      </c>
      <c r="Z1442" t="s">
        <v>3368</v>
      </c>
      <c r="AA1442" t="s">
        <v>3406</v>
      </c>
      <c r="AB1442" t="s">
        <v>3416</v>
      </c>
      <c r="AC1442">
        <f>HYPERLINK("https://lsnyc.legalserver.org/matter/dynamic-profile/view/1870168","18-1870168")</f>
        <v>0</v>
      </c>
      <c r="AD1442" t="s">
        <v>3446</v>
      </c>
      <c r="AE1442" t="s">
        <v>3456</v>
      </c>
      <c r="AF1442" t="s">
        <v>4548</v>
      </c>
      <c r="AG1442" t="s">
        <v>3368</v>
      </c>
      <c r="AH1442" t="s">
        <v>4904</v>
      </c>
      <c r="AK1442" t="s">
        <v>4911</v>
      </c>
      <c r="AL1442" t="s">
        <v>2165</v>
      </c>
      <c r="AM1442" t="s">
        <v>3294</v>
      </c>
      <c r="AN1442" t="s">
        <v>3416</v>
      </c>
    </row>
    <row r="1443" spans="1:40">
      <c r="A1443" s="1" t="s">
        <v>1479</v>
      </c>
      <c r="B1443" t="s">
        <v>1998</v>
      </c>
      <c r="C1443" t="s">
        <v>2000</v>
      </c>
      <c r="D1443" t="s">
        <v>2084</v>
      </c>
      <c r="E1443" t="s">
        <v>2112</v>
      </c>
      <c r="F1443" t="s">
        <v>2122</v>
      </c>
      <c r="G1443" t="s">
        <v>2213</v>
      </c>
      <c r="H1443">
        <v>10467</v>
      </c>
      <c r="I1443" t="s">
        <v>2230</v>
      </c>
      <c r="J1443">
        <v>2</v>
      </c>
      <c r="K1443">
        <v>1</v>
      </c>
      <c r="L1443" t="s">
        <v>2558</v>
      </c>
      <c r="M1443" t="s">
        <v>2677</v>
      </c>
      <c r="P1443" t="s">
        <v>3037</v>
      </c>
      <c r="Q1443" t="s">
        <v>2113</v>
      </c>
      <c r="R1443" t="s">
        <v>3259</v>
      </c>
      <c r="S1443" t="s">
        <v>3270</v>
      </c>
      <c r="X1443" t="s">
        <v>3354</v>
      </c>
      <c r="Y1443" t="s">
        <v>2677</v>
      </c>
      <c r="Z1443" t="s">
        <v>3362</v>
      </c>
      <c r="AA1443" t="s">
        <v>3406</v>
      </c>
      <c r="AB1443" t="s">
        <v>3418</v>
      </c>
      <c r="AC1443">
        <f>HYPERLINK("https://lsnyc.legalserver.org/matter/dynamic-profile/view/1867281","18-1867281")</f>
        <v>0</v>
      </c>
      <c r="AD1443" t="s">
        <v>3445</v>
      </c>
      <c r="AE1443" t="s">
        <v>3455</v>
      </c>
      <c r="AF1443" t="s">
        <v>4549</v>
      </c>
      <c r="AG1443" t="s">
        <v>3362</v>
      </c>
      <c r="AH1443" t="s">
        <v>4904</v>
      </c>
      <c r="AK1443" t="s">
        <v>4911</v>
      </c>
      <c r="AL1443" t="s">
        <v>2122</v>
      </c>
      <c r="AN1443" t="s">
        <v>3418</v>
      </c>
    </row>
    <row r="1444" spans="1:40">
      <c r="A1444" s="1" t="s">
        <v>1480</v>
      </c>
      <c r="B1444" t="s">
        <v>2001</v>
      </c>
      <c r="C1444" t="s">
        <v>2001</v>
      </c>
      <c r="D1444" t="s">
        <v>2047</v>
      </c>
      <c r="E1444" t="s">
        <v>2112</v>
      </c>
      <c r="F1444" t="s">
        <v>2121</v>
      </c>
      <c r="G1444" t="s">
        <v>2214</v>
      </c>
      <c r="H1444">
        <v>11221</v>
      </c>
      <c r="I1444" t="s">
        <v>2230</v>
      </c>
      <c r="J1444">
        <v>2</v>
      </c>
      <c r="K1444">
        <v>0</v>
      </c>
      <c r="L1444" t="s">
        <v>2559</v>
      </c>
      <c r="M1444" t="s">
        <v>2677</v>
      </c>
      <c r="P1444" t="s">
        <v>3023</v>
      </c>
      <c r="Q1444" t="s">
        <v>2113</v>
      </c>
      <c r="R1444" t="s">
        <v>3259</v>
      </c>
      <c r="S1444" t="s">
        <v>3270</v>
      </c>
      <c r="X1444" t="s">
        <v>3354</v>
      </c>
      <c r="Y1444" t="s">
        <v>2677</v>
      </c>
      <c r="Z1444" t="s">
        <v>3362</v>
      </c>
      <c r="AA1444" t="s">
        <v>3406</v>
      </c>
      <c r="AB1444" t="s">
        <v>3418</v>
      </c>
      <c r="AC1444">
        <f>HYPERLINK("https://lsnyc.legalserver.org/matter/dynamic-profile/view/1869892","18-1869892")</f>
        <v>0</v>
      </c>
      <c r="AD1444" t="s">
        <v>3445</v>
      </c>
      <c r="AE1444" t="s">
        <v>3455</v>
      </c>
      <c r="AF1444" t="s">
        <v>4550</v>
      </c>
      <c r="AG1444" t="s">
        <v>3362</v>
      </c>
      <c r="AH1444" t="s">
        <v>4904</v>
      </c>
      <c r="AK1444" t="s">
        <v>4911</v>
      </c>
      <c r="AL1444" t="s">
        <v>2121</v>
      </c>
      <c r="AN1444" t="s">
        <v>3418</v>
      </c>
    </row>
    <row r="1445" spans="1:40">
      <c r="A1445" s="1" t="s">
        <v>1481</v>
      </c>
      <c r="B1445" t="s">
        <v>1998</v>
      </c>
      <c r="C1445" t="s">
        <v>2001</v>
      </c>
      <c r="D1445" t="s">
        <v>2056</v>
      </c>
      <c r="E1445" t="s">
        <v>2112</v>
      </c>
      <c r="F1445" t="s">
        <v>2160</v>
      </c>
      <c r="G1445" t="s">
        <v>2212</v>
      </c>
      <c r="H1445">
        <v>11421</v>
      </c>
      <c r="I1445" t="s">
        <v>2229</v>
      </c>
      <c r="J1445">
        <v>3</v>
      </c>
      <c r="K1445">
        <v>1</v>
      </c>
      <c r="L1445" t="s">
        <v>2560</v>
      </c>
      <c r="M1445" t="s">
        <v>2678</v>
      </c>
      <c r="P1445" t="s">
        <v>3038</v>
      </c>
      <c r="Q1445" t="s">
        <v>2113</v>
      </c>
      <c r="R1445" t="s">
        <v>3258</v>
      </c>
      <c r="S1445" t="s">
        <v>3271</v>
      </c>
      <c r="X1445" t="s">
        <v>3354</v>
      </c>
      <c r="Y1445" t="s">
        <v>2678</v>
      </c>
      <c r="Z1445" t="s">
        <v>3362</v>
      </c>
      <c r="AA1445" t="s">
        <v>3406</v>
      </c>
      <c r="AB1445" t="s">
        <v>3419</v>
      </c>
      <c r="AC1445">
        <f>HYPERLINK("https://lsnyc.legalserver.org/matter/dynamic-profile/view/1869440","18-1869440")</f>
        <v>0</v>
      </c>
      <c r="AD1445" t="s">
        <v>3443</v>
      </c>
      <c r="AE1445" t="s">
        <v>3477</v>
      </c>
      <c r="AF1445" t="s">
        <v>4551</v>
      </c>
      <c r="AG1445" t="s">
        <v>3362</v>
      </c>
      <c r="AH1445" t="s">
        <v>4904</v>
      </c>
      <c r="AJ1445" t="s">
        <v>4910</v>
      </c>
      <c r="AL1445" t="s">
        <v>2160</v>
      </c>
      <c r="AN1445" t="s">
        <v>3419</v>
      </c>
    </row>
    <row r="1446" spans="1:40">
      <c r="A1446" s="1" t="s">
        <v>1482</v>
      </c>
      <c r="B1446" t="s">
        <v>2009</v>
      </c>
      <c r="C1446" t="s">
        <v>2001</v>
      </c>
      <c r="D1446" t="s">
        <v>2096</v>
      </c>
      <c r="E1446" t="s">
        <v>2111</v>
      </c>
      <c r="F1446" t="s">
        <v>2120</v>
      </c>
      <c r="G1446" t="s">
        <v>2211</v>
      </c>
      <c r="H1446">
        <v>10026</v>
      </c>
      <c r="I1446" t="s">
        <v>2230</v>
      </c>
      <c r="J1446">
        <v>5</v>
      </c>
      <c r="K1446">
        <v>2</v>
      </c>
      <c r="L1446" t="s">
        <v>2509</v>
      </c>
      <c r="M1446" t="s">
        <v>2677</v>
      </c>
      <c r="P1446" t="s">
        <v>3023</v>
      </c>
      <c r="Q1446" t="s">
        <v>2113</v>
      </c>
      <c r="R1446" t="s">
        <v>3258</v>
      </c>
      <c r="S1446" t="s">
        <v>3271</v>
      </c>
      <c r="X1446" t="s">
        <v>3354</v>
      </c>
      <c r="Y1446" t="s">
        <v>2677</v>
      </c>
      <c r="Z1446" t="s">
        <v>3362</v>
      </c>
      <c r="AA1446" t="s">
        <v>3406</v>
      </c>
      <c r="AB1446" t="s">
        <v>3419</v>
      </c>
      <c r="AC1446">
        <f>HYPERLINK("https://lsnyc.legalserver.org/matter/dynamic-profile/view/1869514","18-1869514")</f>
        <v>0</v>
      </c>
      <c r="AD1446" t="s">
        <v>3445</v>
      </c>
      <c r="AE1446" t="s">
        <v>3455</v>
      </c>
      <c r="AF1446" t="s">
        <v>4364</v>
      </c>
      <c r="AG1446" t="s">
        <v>3362</v>
      </c>
      <c r="AH1446" t="s">
        <v>4904</v>
      </c>
      <c r="AK1446" t="s">
        <v>4911</v>
      </c>
      <c r="AL1446" t="s">
        <v>2120</v>
      </c>
      <c r="AN1446" t="s">
        <v>3419</v>
      </c>
    </row>
    <row r="1447" spans="1:40">
      <c r="A1447" s="1" t="s">
        <v>1483</v>
      </c>
      <c r="B1447" t="s">
        <v>2000</v>
      </c>
      <c r="C1447" t="s">
        <v>2003</v>
      </c>
      <c r="D1447" t="s">
        <v>2031</v>
      </c>
      <c r="E1447" t="s">
        <v>2112</v>
      </c>
      <c r="F1447" t="s">
        <v>2117</v>
      </c>
      <c r="G1447" t="s">
        <v>2213</v>
      </c>
      <c r="H1447">
        <v>10452</v>
      </c>
      <c r="I1447" t="s">
        <v>2229</v>
      </c>
      <c r="J1447">
        <v>3</v>
      </c>
      <c r="K1447">
        <v>2</v>
      </c>
      <c r="L1447" t="s">
        <v>2260</v>
      </c>
      <c r="M1447" t="s">
        <v>2677</v>
      </c>
      <c r="P1447" t="s">
        <v>3039</v>
      </c>
      <c r="Q1447" t="s">
        <v>2113</v>
      </c>
      <c r="R1447" t="s">
        <v>3259</v>
      </c>
      <c r="S1447" t="s">
        <v>3267</v>
      </c>
      <c r="T1447" t="s">
        <v>3294</v>
      </c>
      <c r="U1447" t="s">
        <v>2942</v>
      </c>
      <c r="X1447" t="s">
        <v>3354</v>
      </c>
      <c r="Y1447" t="s">
        <v>2678</v>
      </c>
      <c r="Z1447" t="s">
        <v>3359</v>
      </c>
      <c r="AA1447" t="s">
        <v>3406</v>
      </c>
      <c r="AB1447" t="s">
        <v>3415</v>
      </c>
      <c r="AC1447">
        <f>HYPERLINK("https://lsnyc.legalserver.org/matter/dynamic-profile/view/1869338","18-1869338")</f>
        <v>0</v>
      </c>
      <c r="AD1447" t="s">
        <v>3444</v>
      </c>
      <c r="AE1447" t="s">
        <v>3451</v>
      </c>
      <c r="AF1447" t="s">
        <v>4552</v>
      </c>
      <c r="AG1447" t="s">
        <v>3359</v>
      </c>
      <c r="AH1447" t="s">
        <v>4906</v>
      </c>
      <c r="AK1447" t="s">
        <v>4911</v>
      </c>
      <c r="AL1447" t="s">
        <v>2117</v>
      </c>
      <c r="AM1447" t="s">
        <v>3294</v>
      </c>
      <c r="AN1447" t="s">
        <v>3415</v>
      </c>
    </row>
    <row r="1448" spans="1:40">
      <c r="A1448" s="1" t="s">
        <v>1484</v>
      </c>
      <c r="B1448" t="s">
        <v>1998</v>
      </c>
      <c r="C1448" t="s">
        <v>2016</v>
      </c>
      <c r="D1448" t="s">
        <v>2063</v>
      </c>
      <c r="E1448" t="s">
        <v>2112</v>
      </c>
      <c r="F1448" t="s">
        <v>2120</v>
      </c>
      <c r="G1448" t="s">
        <v>2211</v>
      </c>
      <c r="H1448">
        <v>10026</v>
      </c>
      <c r="I1448" t="s">
        <v>2230</v>
      </c>
      <c r="J1448">
        <v>3</v>
      </c>
      <c r="K1448">
        <v>1</v>
      </c>
      <c r="L1448" t="s">
        <v>2508</v>
      </c>
      <c r="M1448" t="s">
        <v>2677</v>
      </c>
      <c r="P1448" t="s">
        <v>3023</v>
      </c>
      <c r="Q1448" t="s">
        <v>2113</v>
      </c>
      <c r="R1448" t="s">
        <v>3258</v>
      </c>
      <c r="S1448" t="s">
        <v>3271</v>
      </c>
      <c r="X1448" t="s">
        <v>3354</v>
      </c>
      <c r="Y1448" t="s">
        <v>2677</v>
      </c>
      <c r="Z1448" t="s">
        <v>3362</v>
      </c>
      <c r="AA1448" t="s">
        <v>3406</v>
      </c>
      <c r="AB1448" t="s">
        <v>3419</v>
      </c>
      <c r="AC1448">
        <f>HYPERLINK("https://lsnyc.legalserver.org/matter/dynamic-profile/view/1869396","18-1869396")</f>
        <v>0</v>
      </c>
      <c r="AD1448" t="s">
        <v>3445</v>
      </c>
      <c r="AE1448" t="s">
        <v>3455</v>
      </c>
      <c r="AF1448" t="s">
        <v>4553</v>
      </c>
      <c r="AG1448" t="s">
        <v>3362</v>
      </c>
      <c r="AH1448" t="s">
        <v>4904</v>
      </c>
      <c r="AK1448" t="s">
        <v>4911</v>
      </c>
      <c r="AL1448" t="s">
        <v>2120</v>
      </c>
      <c r="AN1448" t="s">
        <v>3419</v>
      </c>
    </row>
    <row r="1449" spans="1:40">
      <c r="A1449" s="1" t="s">
        <v>1485</v>
      </c>
      <c r="B1449" t="s">
        <v>2000</v>
      </c>
      <c r="C1449" t="s">
        <v>2009</v>
      </c>
      <c r="D1449" t="s">
        <v>2078</v>
      </c>
      <c r="E1449" t="s">
        <v>2111</v>
      </c>
      <c r="F1449" t="s">
        <v>2162</v>
      </c>
      <c r="G1449" t="s">
        <v>2213</v>
      </c>
      <c r="H1449">
        <v>10456</v>
      </c>
      <c r="I1449" t="s">
        <v>2234</v>
      </c>
      <c r="J1449">
        <v>1</v>
      </c>
      <c r="K1449">
        <v>0</v>
      </c>
      <c r="L1449" t="s">
        <v>2260</v>
      </c>
      <c r="M1449" t="s">
        <v>2677</v>
      </c>
      <c r="P1449" t="s">
        <v>2754</v>
      </c>
      <c r="Q1449" t="s">
        <v>3255</v>
      </c>
      <c r="R1449" t="s">
        <v>3259</v>
      </c>
      <c r="S1449" t="s">
        <v>3267</v>
      </c>
      <c r="T1449" t="s">
        <v>3294</v>
      </c>
      <c r="U1449" t="s">
        <v>2996</v>
      </c>
      <c r="X1449" t="s">
        <v>3354</v>
      </c>
      <c r="Y1449" t="s">
        <v>2678</v>
      </c>
      <c r="Z1449" t="s">
        <v>3380</v>
      </c>
      <c r="AA1449" t="s">
        <v>3406</v>
      </c>
      <c r="AB1449" t="s">
        <v>3415</v>
      </c>
      <c r="AC1449">
        <f>HYPERLINK("https://lsnyc.legalserver.org/matter/dynamic-profile/view/1869419","18-1869419")</f>
        <v>0</v>
      </c>
      <c r="AD1449" t="s">
        <v>3444</v>
      </c>
      <c r="AE1449" t="s">
        <v>3451</v>
      </c>
      <c r="AF1449" t="s">
        <v>4554</v>
      </c>
      <c r="AG1449" t="s">
        <v>3380</v>
      </c>
      <c r="AH1449" t="s">
        <v>4904</v>
      </c>
      <c r="AL1449" t="s">
        <v>2162</v>
      </c>
      <c r="AM1449" t="s">
        <v>3294</v>
      </c>
      <c r="AN1449" t="s">
        <v>3415</v>
      </c>
    </row>
    <row r="1450" spans="1:40">
      <c r="A1450" s="1" t="s">
        <v>1486</v>
      </c>
      <c r="B1450" t="s">
        <v>2001</v>
      </c>
      <c r="C1450" t="s">
        <v>2000</v>
      </c>
      <c r="D1450" t="s">
        <v>2049</v>
      </c>
      <c r="E1450" t="s">
        <v>2111</v>
      </c>
      <c r="F1450" t="s">
        <v>2120</v>
      </c>
      <c r="G1450" t="s">
        <v>2214</v>
      </c>
      <c r="H1450">
        <v>11216</v>
      </c>
      <c r="I1450" t="s">
        <v>2230</v>
      </c>
      <c r="J1450">
        <v>1</v>
      </c>
      <c r="K1450">
        <v>0</v>
      </c>
      <c r="L1450" t="s">
        <v>2260</v>
      </c>
      <c r="M1450" t="s">
        <v>2677</v>
      </c>
      <c r="P1450" t="s">
        <v>3040</v>
      </c>
      <c r="Q1450" t="s">
        <v>2113</v>
      </c>
      <c r="R1450" t="s">
        <v>3259</v>
      </c>
      <c r="S1450" t="s">
        <v>3268</v>
      </c>
      <c r="X1450" t="s">
        <v>3354</v>
      </c>
      <c r="Y1450" t="s">
        <v>2677</v>
      </c>
      <c r="Z1450" t="s">
        <v>3368</v>
      </c>
      <c r="AA1450" t="s">
        <v>3406</v>
      </c>
      <c r="AB1450" t="s">
        <v>3416</v>
      </c>
      <c r="AC1450">
        <f>HYPERLINK("https://lsnyc.legalserver.org/matter/dynamic-profile/view/1869218","18-1869218")</f>
        <v>0</v>
      </c>
      <c r="AD1450" t="s">
        <v>3445</v>
      </c>
      <c r="AE1450" t="s">
        <v>3455</v>
      </c>
      <c r="AF1450" t="s">
        <v>3534</v>
      </c>
      <c r="AG1450" t="s">
        <v>3368</v>
      </c>
      <c r="AH1450" t="s">
        <v>4904</v>
      </c>
      <c r="AK1450" t="s">
        <v>4911</v>
      </c>
      <c r="AL1450" t="s">
        <v>2120</v>
      </c>
      <c r="AN1450" t="s">
        <v>3416</v>
      </c>
    </row>
    <row r="1451" spans="1:40">
      <c r="A1451" s="1" t="s">
        <v>1487</v>
      </c>
      <c r="B1451" t="s">
        <v>2000</v>
      </c>
      <c r="C1451" t="s">
        <v>1998</v>
      </c>
      <c r="D1451" t="s">
        <v>2036</v>
      </c>
      <c r="E1451" t="s">
        <v>2111</v>
      </c>
      <c r="F1451" t="s">
        <v>2120</v>
      </c>
      <c r="G1451" t="s">
        <v>2214</v>
      </c>
      <c r="H1451">
        <v>11212</v>
      </c>
      <c r="I1451" t="s">
        <v>2230</v>
      </c>
      <c r="J1451">
        <v>5</v>
      </c>
      <c r="K1451">
        <v>3</v>
      </c>
      <c r="L1451" t="s">
        <v>2561</v>
      </c>
      <c r="M1451" t="s">
        <v>2677</v>
      </c>
      <c r="P1451" t="s">
        <v>3040</v>
      </c>
      <c r="Q1451" t="s">
        <v>2113</v>
      </c>
      <c r="R1451" t="s">
        <v>3258</v>
      </c>
      <c r="S1451" t="s">
        <v>3271</v>
      </c>
      <c r="X1451" t="s">
        <v>3354</v>
      </c>
      <c r="Y1451" t="s">
        <v>2677</v>
      </c>
      <c r="Z1451" t="s">
        <v>3362</v>
      </c>
      <c r="AA1451" t="s">
        <v>3406</v>
      </c>
      <c r="AB1451" t="s">
        <v>3419</v>
      </c>
      <c r="AC1451">
        <f>HYPERLINK("https://lsnyc.legalserver.org/matter/dynamic-profile/view/1869233","18-1869233")</f>
        <v>0</v>
      </c>
      <c r="AD1451" t="s">
        <v>3445</v>
      </c>
      <c r="AE1451" t="s">
        <v>3452</v>
      </c>
      <c r="AF1451" t="s">
        <v>4555</v>
      </c>
      <c r="AG1451" t="s">
        <v>3362</v>
      </c>
      <c r="AH1451" t="s">
        <v>4904</v>
      </c>
      <c r="AK1451" t="s">
        <v>4911</v>
      </c>
      <c r="AL1451" t="s">
        <v>2120</v>
      </c>
      <c r="AN1451" t="s">
        <v>3419</v>
      </c>
    </row>
    <row r="1452" spans="1:40">
      <c r="A1452" s="1" t="s">
        <v>1488</v>
      </c>
      <c r="B1452" t="s">
        <v>2016</v>
      </c>
      <c r="C1452" t="s">
        <v>1998</v>
      </c>
      <c r="D1452" t="s">
        <v>2040</v>
      </c>
      <c r="E1452" t="s">
        <v>2111</v>
      </c>
      <c r="F1452" t="s">
        <v>2120</v>
      </c>
      <c r="G1452" t="s">
        <v>2214</v>
      </c>
      <c r="H1452">
        <v>11212</v>
      </c>
      <c r="I1452" t="s">
        <v>2230</v>
      </c>
      <c r="J1452">
        <v>5</v>
      </c>
      <c r="K1452">
        <v>4</v>
      </c>
      <c r="L1452" t="s">
        <v>2562</v>
      </c>
      <c r="M1452" t="s">
        <v>2677</v>
      </c>
      <c r="P1452" t="s">
        <v>3023</v>
      </c>
      <c r="Q1452" t="s">
        <v>2113</v>
      </c>
      <c r="R1452" t="s">
        <v>3258</v>
      </c>
      <c r="S1452" t="s">
        <v>3271</v>
      </c>
      <c r="X1452" t="s">
        <v>3354</v>
      </c>
      <c r="Y1452" t="s">
        <v>2677</v>
      </c>
      <c r="Z1452" t="s">
        <v>3362</v>
      </c>
      <c r="AA1452" t="s">
        <v>3406</v>
      </c>
      <c r="AB1452" t="s">
        <v>3419</v>
      </c>
      <c r="AC1452">
        <f>HYPERLINK("https://lsnyc.legalserver.org/matter/dynamic-profile/view/1869234","18-1869234")</f>
        <v>0</v>
      </c>
      <c r="AD1452" t="s">
        <v>3445</v>
      </c>
      <c r="AE1452" t="s">
        <v>3455</v>
      </c>
      <c r="AF1452" t="s">
        <v>4556</v>
      </c>
      <c r="AG1452" t="s">
        <v>3362</v>
      </c>
      <c r="AH1452" t="s">
        <v>4904</v>
      </c>
      <c r="AK1452" t="s">
        <v>4911</v>
      </c>
      <c r="AL1452" t="s">
        <v>2120</v>
      </c>
      <c r="AN1452" t="s">
        <v>3419</v>
      </c>
    </row>
    <row r="1453" spans="1:40">
      <c r="A1453" s="1" t="s">
        <v>1489</v>
      </c>
      <c r="B1453" t="s">
        <v>2010</v>
      </c>
      <c r="C1453" t="s">
        <v>2001</v>
      </c>
      <c r="D1453" t="s">
        <v>2063</v>
      </c>
      <c r="E1453" t="s">
        <v>2112</v>
      </c>
      <c r="F1453" t="s">
        <v>2120</v>
      </c>
      <c r="G1453" t="s">
        <v>2213</v>
      </c>
      <c r="H1453">
        <v>10471</v>
      </c>
      <c r="I1453" t="s">
        <v>2230</v>
      </c>
      <c r="J1453">
        <v>1</v>
      </c>
      <c r="K1453">
        <v>0</v>
      </c>
      <c r="L1453" t="s">
        <v>2260</v>
      </c>
      <c r="M1453" t="s">
        <v>2677</v>
      </c>
      <c r="P1453" t="s">
        <v>3040</v>
      </c>
      <c r="Q1453" t="s">
        <v>3255</v>
      </c>
      <c r="R1453" t="s">
        <v>3258</v>
      </c>
      <c r="S1453" t="s">
        <v>3271</v>
      </c>
      <c r="X1453" t="s">
        <v>3354</v>
      </c>
      <c r="Y1453" t="s">
        <v>2678</v>
      </c>
      <c r="Z1453" t="s">
        <v>3362</v>
      </c>
      <c r="AA1453" t="s">
        <v>3406</v>
      </c>
      <c r="AB1453" t="s">
        <v>3419</v>
      </c>
      <c r="AC1453">
        <f>HYPERLINK("https://lsnyc.legalserver.org/matter/dynamic-profile/view/1869261","18-1869261")</f>
        <v>0</v>
      </c>
      <c r="AD1453" t="s">
        <v>3444</v>
      </c>
      <c r="AE1453" t="s">
        <v>3492</v>
      </c>
      <c r="AF1453" t="s">
        <v>4557</v>
      </c>
      <c r="AG1453" t="s">
        <v>3362</v>
      </c>
      <c r="AH1453" t="s">
        <v>4904</v>
      </c>
      <c r="AK1453" t="s">
        <v>4911</v>
      </c>
      <c r="AL1453" t="s">
        <v>2120</v>
      </c>
      <c r="AN1453" t="s">
        <v>3419</v>
      </c>
    </row>
    <row r="1454" spans="1:40">
      <c r="A1454" s="1" t="s">
        <v>1490</v>
      </c>
      <c r="B1454" t="s">
        <v>2001</v>
      </c>
      <c r="C1454" t="s">
        <v>2017</v>
      </c>
      <c r="D1454" t="s">
        <v>2080</v>
      </c>
      <c r="E1454" t="s">
        <v>2112</v>
      </c>
      <c r="F1454" t="s">
        <v>2114</v>
      </c>
      <c r="G1454" t="s">
        <v>2211</v>
      </c>
      <c r="H1454">
        <v>10031</v>
      </c>
      <c r="I1454" t="s">
        <v>2230</v>
      </c>
      <c r="J1454">
        <v>2</v>
      </c>
      <c r="K1454">
        <v>1</v>
      </c>
      <c r="L1454" t="s">
        <v>2260</v>
      </c>
      <c r="M1454" t="s">
        <v>2677</v>
      </c>
      <c r="P1454" t="s">
        <v>2801</v>
      </c>
      <c r="Q1454" t="s">
        <v>2113</v>
      </c>
      <c r="R1454" t="s">
        <v>3259</v>
      </c>
      <c r="S1454" t="s">
        <v>3267</v>
      </c>
      <c r="T1454" t="s">
        <v>3294</v>
      </c>
      <c r="U1454" t="s">
        <v>2801</v>
      </c>
      <c r="X1454" t="s">
        <v>3354</v>
      </c>
      <c r="Y1454" t="s">
        <v>2678</v>
      </c>
      <c r="Z1454" t="s">
        <v>3380</v>
      </c>
      <c r="AA1454" t="s">
        <v>3406</v>
      </c>
      <c r="AB1454" t="s">
        <v>3415</v>
      </c>
      <c r="AC1454">
        <f>HYPERLINK("https://lsnyc.legalserver.org/matter/dynamic-profile/view/1878918","18-1878918")</f>
        <v>0</v>
      </c>
      <c r="AD1454" t="s">
        <v>3442</v>
      </c>
      <c r="AE1454" t="s">
        <v>3460</v>
      </c>
      <c r="AF1454" t="s">
        <v>4558</v>
      </c>
      <c r="AG1454" t="s">
        <v>3380</v>
      </c>
      <c r="AH1454" t="s">
        <v>4906</v>
      </c>
      <c r="AL1454" t="s">
        <v>2114</v>
      </c>
      <c r="AM1454" t="s">
        <v>3294</v>
      </c>
      <c r="AN1454" t="s">
        <v>3415</v>
      </c>
    </row>
    <row r="1455" spans="1:40">
      <c r="A1455" s="1" t="s">
        <v>1491</v>
      </c>
      <c r="B1455" t="s">
        <v>2001</v>
      </c>
      <c r="C1455" t="s">
        <v>1998</v>
      </c>
      <c r="D1455" t="s">
        <v>2054</v>
      </c>
      <c r="E1455" t="s">
        <v>2112</v>
      </c>
      <c r="F1455" t="s">
        <v>2114</v>
      </c>
      <c r="G1455" t="s">
        <v>2211</v>
      </c>
      <c r="H1455">
        <v>10031</v>
      </c>
      <c r="I1455" t="s">
        <v>2229</v>
      </c>
      <c r="J1455">
        <v>2</v>
      </c>
      <c r="K1455">
        <v>1</v>
      </c>
      <c r="L1455" t="s">
        <v>2260</v>
      </c>
      <c r="M1455" t="s">
        <v>2677</v>
      </c>
      <c r="P1455" t="s">
        <v>2801</v>
      </c>
      <c r="Q1455" t="s">
        <v>2113</v>
      </c>
      <c r="R1455" t="s">
        <v>3259</v>
      </c>
      <c r="S1455" t="s">
        <v>3268</v>
      </c>
      <c r="X1455" t="s">
        <v>3354</v>
      </c>
      <c r="Y1455" t="s">
        <v>2678</v>
      </c>
      <c r="Z1455" t="s">
        <v>3368</v>
      </c>
      <c r="AA1455" t="s">
        <v>3406</v>
      </c>
      <c r="AB1455" t="s">
        <v>3416</v>
      </c>
      <c r="AC1455">
        <f>HYPERLINK("https://lsnyc.legalserver.org/matter/dynamic-profile/view/1878967","18-1878967")</f>
        <v>0</v>
      </c>
      <c r="AD1455" t="s">
        <v>3442</v>
      </c>
      <c r="AE1455" t="s">
        <v>3460</v>
      </c>
      <c r="AF1455" t="s">
        <v>3863</v>
      </c>
      <c r="AG1455" t="s">
        <v>3368</v>
      </c>
      <c r="AH1455" t="s">
        <v>4906</v>
      </c>
      <c r="AL1455" t="s">
        <v>2114</v>
      </c>
      <c r="AN1455" t="s">
        <v>3416</v>
      </c>
    </row>
    <row r="1456" spans="1:40">
      <c r="A1456" s="1" t="s">
        <v>1492</v>
      </c>
      <c r="B1456" t="s">
        <v>2002</v>
      </c>
      <c r="C1456" t="s">
        <v>2016</v>
      </c>
      <c r="D1456" t="s">
        <v>2040</v>
      </c>
      <c r="E1456" t="s">
        <v>2111</v>
      </c>
      <c r="F1456" t="s">
        <v>2115</v>
      </c>
      <c r="G1456" t="s">
        <v>2214</v>
      </c>
      <c r="H1456">
        <v>11211</v>
      </c>
      <c r="I1456" t="s">
        <v>2229</v>
      </c>
      <c r="J1456">
        <v>4</v>
      </c>
      <c r="K1456">
        <v>2</v>
      </c>
      <c r="L1456" t="s">
        <v>2260</v>
      </c>
      <c r="M1456" t="s">
        <v>2677</v>
      </c>
      <c r="P1456" t="s">
        <v>3041</v>
      </c>
      <c r="Q1456" t="s">
        <v>2113</v>
      </c>
      <c r="R1456" t="s">
        <v>3259</v>
      </c>
      <c r="S1456" t="s">
        <v>3267</v>
      </c>
      <c r="T1456" t="s">
        <v>3294</v>
      </c>
      <c r="X1456" t="s">
        <v>3354</v>
      </c>
      <c r="Y1456" t="s">
        <v>2678</v>
      </c>
      <c r="Z1456" t="s">
        <v>3359</v>
      </c>
      <c r="AA1456" t="s">
        <v>3406</v>
      </c>
      <c r="AB1456" t="s">
        <v>3415</v>
      </c>
      <c r="AC1456">
        <f>HYPERLINK("https://lsnyc.legalserver.org/matter/dynamic-profile/view/1869092","18-1869092")</f>
        <v>0</v>
      </c>
      <c r="AD1456" t="s">
        <v>3446</v>
      </c>
      <c r="AE1456" t="s">
        <v>3481</v>
      </c>
      <c r="AF1456" t="s">
        <v>4462</v>
      </c>
      <c r="AG1456" t="s">
        <v>3359</v>
      </c>
      <c r="AH1456" t="s">
        <v>4906</v>
      </c>
      <c r="AK1456" t="s">
        <v>4911</v>
      </c>
      <c r="AL1456" t="s">
        <v>2115</v>
      </c>
      <c r="AM1456" t="s">
        <v>3294</v>
      </c>
      <c r="AN1456" t="s">
        <v>3415</v>
      </c>
    </row>
    <row r="1457" spans="1:40">
      <c r="A1457" s="1" t="s">
        <v>1493</v>
      </c>
      <c r="B1457" t="s">
        <v>1998</v>
      </c>
      <c r="C1457" t="s">
        <v>2001</v>
      </c>
      <c r="D1457" t="s">
        <v>2067</v>
      </c>
      <c r="E1457" t="s">
        <v>2111</v>
      </c>
      <c r="F1457" t="s">
        <v>2115</v>
      </c>
      <c r="G1457" t="s">
        <v>2214</v>
      </c>
      <c r="H1457">
        <v>11211</v>
      </c>
      <c r="I1457" t="s">
        <v>2229</v>
      </c>
      <c r="J1457">
        <v>4</v>
      </c>
      <c r="K1457">
        <v>2</v>
      </c>
      <c r="L1457" t="s">
        <v>2260</v>
      </c>
      <c r="M1457" t="s">
        <v>2677</v>
      </c>
      <c r="P1457" t="s">
        <v>3041</v>
      </c>
      <c r="Q1457" t="s">
        <v>2113</v>
      </c>
      <c r="R1457" t="s">
        <v>3259</v>
      </c>
      <c r="S1457" t="s">
        <v>3272</v>
      </c>
      <c r="T1457" t="s">
        <v>3294</v>
      </c>
      <c r="X1457" t="s">
        <v>3354</v>
      </c>
      <c r="Y1457" t="s">
        <v>2678</v>
      </c>
      <c r="Z1457" t="s">
        <v>3364</v>
      </c>
      <c r="AA1457" t="s">
        <v>3406</v>
      </c>
      <c r="AB1457" t="s">
        <v>3420</v>
      </c>
      <c r="AC1457">
        <f>HYPERLINK("https://lsnyc.legalserver.org/matter/dynamic-profile/view/1869104","18-1869104")</f>
        <v>0</v>
      </c>
      <c r="AD1457" t="s">
        <v>3446</v>
      </c>
      <c r="AE1457" t="s">
        <v>3481</v>
      </c>
      <c r="AF1457" t="s">
        <v>4152</v>
      </c>
      <c r="AG1457" t="s">
        <v>3364</v>
      </c>
      <c r="AH1457" t="s">
        <v>4906</v>
      </c>
      <c r="AK1457" t="s">
        <v>4911</v>
      </c>
      <c r="AL1457" t="s">
        <v>2115</v>
      </c>
      <c r="AM1457" t="s">
        <v>3294</v>
      </c>
      <c r="AN1457" t="s">
        <v>3420</v>
      </c>
    </row>
    <row r="1458" spans="1:40">
      <c r="A1458" s="1" t="s">
        <v>1494</v>
      </c>
      <c r="B1458" t="s">
        <v>2000</v>
      </c>
      <c r="C1458" t="s">
        <v>2004</v>
      </c>
      <c r="D1458" t="s">
        <v>2048</v>
      </c>
      <c r="E1458" t="s">
        <v>2111</v>
      </c>
      <c r="F1458" t="s">
        <v>2132</v>
      </c>
      <c r="G1458" t="s">
        <v>2214</v>
      </c>
      <c r="H1458">
        <v>11214</v>
      </c>
      <c r="I1458" t="s">
        <v>2230</v>
      </c>
      <c r="J1458">
        <v>3</v>
      </c>
      <c r="K1458">
        <v>1</v>
      </c>
      <c r="L1458" t="s">
        <v>2510</v>
      </c>
      <c r="M1458" t="s">
        <v>2677</v>
      </c>
      <c r="P1458" t="s">
        <v>3020</v>
      </c>
      <c r="Q1458" t="s">
        <v>2113</v>
      </c>
      <c r="R1458" t="s">
        <v>3259</v>
      </c>
      <c r="S1458" t="s">
        <v>3287</v>
      </c>
      <c r="X1458" t="s">
        <v>3354</v>
      </c>
      <c r="Y1458" t="s">
        <v>2677</v>
      </c>
      <c r="Z1458" t="s">
        <v>3378</v>
      </c>
      <c r="AA1458" t="s">
        <v>3406</v>
      </c>
      <c r="AB1458" t="s">
        <v>3435</v>
      </c>
      <c r="AC1458">
        <f>HYPERLINK("https://lsnyc.legalserver.org/matter/dynamic-profile/view/1869169","18-1869169")</f>
        <v>0</v>
      </c>
      <c r="AD1458" t="s">
        <v>3445</v>
      </c>
      <c r="AE1458" t="s">
        <v>3455</v>
      </c>
      <c r="AF1458" t="s">
        <v>4559</v>
      </c>
      <c r="AG1458" t="s">
        <v>3378</v>
      </c>
      <c r="AH1458" t="s">
        <v>4904</v>
      </c>
      <c r="AI1458" t="s">
        <v>4909</v>
      </c>
      <c r="AK1458" t="s">
        <v>4911</v>
      </c>
      <c r="AL1458" t="s">
        <v>2132</v>
      </c>
      <c r="AN1458" t="s">
        <v>3435</v>
      </c>
    </row>
    <row r="1459" spans="1:40">
      <c r="A1459" s="1" t="s">
        <v>1495</v>
      </c>
      <c r="B1459" t="s">
        <v>2001</v>
      </c>
      <c r="C1459" t="s">
        <v>2001</v>
      </c>
      <c r="D1459" t="s">
        <v>2099</v>
      </c>
      <c r="E1459" t="s">
        <v>2112</v>
      </c>
      <c r="F1459" t="s">
        <v>2123</v>
      </c>
      <c r="G1459" t="s">
        <v>2211</v>
      </c>
      <c r="H1459">
        <v>10040</v>
      </c>
      <c r="J1459">
        <v>1</v>
      </c>
      <c r="K1459">
        <v>0</v>
      </c>
      <c r="L1459" t="s">
        <v>2563</v>
      </c>
      <c r="M1459" t="s">
        <v>2677</v>
      </c>
      <c r="P1459" t="s">
        <v>3042</v>
      </c>
      <c r="Q1459" t="s">
        <v>2113</v>
      </c>
      <c r="R1459" t="s">
        <v>3259</v>
      </c>
      <c r="S1459" t="s">
        <v>3270</v>
      </c>
      <c r="X1459" t="s">
        <v>3354</v>
      </c>
      <c r="Y1459" t="s">
        <v>2677</v>
      </c>
      <c r="Z1459" t="s">
        <v>3362</v>
      </c>
      <c r="AA1459" t="s">
        <v>3406</v>
      </c>
      <c r="AB1459" t="s">
        <v>3418</v>
      </c>
      <c r="AC1459">
        <f>HYPERLINK("https://lsnyc.legalserver.org/matter/dynamic-profile/view/1868931","18-1868931")</f>
        <v>0</v>
      </c>
      <c r="AD1459" t="s">
        <v>3445</v>
      </c>
      <c r="AE1459" t="s">
        <v>3455</v>
      </c>
      <c r="AF1459" t="s">
        <v>4560</v>
      </c>
      <c r="AG1459" t="s">
        <v>3362</v>
      </c>
      <c r="AH1459" t="s">
        <v>4904</v>
      </c>
      <c r="AK1459" t="s">
        <v>4911</v>
      </c>
      <c r="AL1459" t="s">
        <v>2123</v>
      </c>
      <c r="AN1459" t="s">
        <v>3418</v>
      </c>
    </row>
    <row r="1460" spans="1:40">
      <c r="A1460" s="1" t="s">
        <v>1496</v>
      </c>
      <c r="B1460" t="s">
        <v>1998</v>
      </c>
      <c r="C1460" t="s">
        <v>1998</v>
      </c>
      <c r="D1460" t="s">
        <v>2084</v>
      </c>
      <c r="E1460" t="s">
        <v>2112</v>
      </c>
      <c r="F1460" t="s">
        <v>2135</v>
      </c>
      <c r="G1460" t="s">
        <v>2212</v>
      </c>
      <c r="H1460">
        <v>11368</v>
      </c>
      <c r="I1460" t="s">
        <v>2229</v>
      </c>
      <c r="J1460">
        <v>3</v>
      </c>
      <c r="K1460">
        <v>2</v>
      </c>
      <c r="L1460" t="s">
        <v>2304</v>
      </c>
      <c r="M1460" t="s">
        <v>2677</v>
      </c>
      <c r="P1460" t="s">
        <v>3042</v>
      </c>
      <c r="Q1460" t="s">
        <v>2113</v>
      </c>
      <c r="R1460" t="s">
        <v>3259</v>
      </c>
      <c r="S1460" t="s">
        <v>3264</v>
      </c>
      <c r="X1460" t="s">
        <v>3354</v>
      </c>
      <c r="Y1460" t="s">
        <v>2677</v>
      </c>
      <c r="Z1460" t="s">
        <v>3357</v>
      </c>
      <c r="AA1460" t="s">
        <v>3406</v>
      </c>
      <c r="AB1460" t="s">
        <v>3412</v>
      </c>
      <c r="AC1460">
        <f>HYPERLINK("https://lsnyc.legalserver.org/matter/dynamic-profile/view/1868972","18-1868972")</f>
        <v>0</v>
      </c>
      <c r="AD1460" t="s">
        <v>3445</v>
      </c>
      <c r="AE1460" t="s">
        <v>3455</v>
      </c>
      <c r="AF1460" t="s">
        <v>4561</v>
      </c>
      <c r="AG1460" t="s">
        <v>3357</v>
      </c>
      <c r="AH1460" t="s">
        <v>4904</v>
      </c>
      <c r="AK1460" t="s">
        <v>4911</v>
      </c>
      <c r="AL1460" t="s">
        <v>2135</v>
      </c>
      <c r="AN1460" t="s">
        <v>3412</v>
      </c>
    </row>
    <row r="1461" spans="1:40">
      <c r="A1461" s="1" t="s">
        <v>1497</v>
      </c>
      <c r="B1461" t="s">
        <v>1998</v>
      </c>
      <c r="C1461" t="s">
        <v>2012</v>
      </c>
      <c r="D1461" t="s">
        <v>2051</v>
      </c>
      <c r="E1461" t="s">
        <v>2111</v>
      </c>
      <c r="F1461" t="s">
        <v>2123</v>
      </c>
      <c r="G1461" t="s">
        <v>2213</v>
      </c>
      <c r="H1461">
        <v>10467</v>
      </c>
      <c r="I1461" t="s">
        <v>2229</v>
      </c>
      <c r="J1461">
        <v>3</v>
      </c>
      <c r="K1461">
        <v>1</v>
      </c>
      <c r="L1461" t="s">
        <v>2564</v>
      </c>
      <c r="M1461" t="s">
        <v>2677</v>
      </c>
      <c r="P1461" t="s">
        <v>3023</v>
      </c>
      <c r="Q1461" t="s">
        <v>2113</v>
      </c>
      <c r="R1461" t="s">
        <v>3258</v>
      </c>
      <c r="S1461" t="s">
        <v>3271</v>
      </c>
      <c r="X1461" t="s">
        <v>3354</v>
      </c>
      <c r="Y1461" t="s">
        <v>2677</v>
      </c>
      <c r="Z1461" t="s">
        <v>3362</v>
      </c>
      <c r="AA1461" t="s">
        <v>3406</v>
      </c>
      <c r="AB1461" t="s">
        <v>3419</v>
      </c>
      <c r="AC1461">
        <f>HYPERLINK("https://lsnyc.legalserver.org/matter/dynamic-profile/view/1868976","18-1868976")</f>
        <v>0</v>
      </c>
      <c r="AD1461" t="s">
        <v>3445</v>
      </c>
      <c r="AE1461" t="s">
        <v>3455</v>
      </c>
      <c r="AF1461" t="s">
        <v>4562</v>
      </c>
      <c r="AG1461" t="s">
        <v>3362</v>
      </c>
      <c r="AH1461" t="s">
        <v>4904</v>
      </c>
      <c r="AK1461" t="s">
        <v>4911</v>
      </c>
      <c r="AL1461" t="s">
        <v>2123</v>
      </c>
      <c r="AN1461" t="s">
        <v>3419</v>
      </c>
    </row>
    <row r="1462" spans="1:40">
      <c r="A1462" s="1" t="s">
        <v>1498</v>
      </c>
      <c r="B1462" t="s">
        <v>2012</v>
      </c>
      <c r="C1462" t="s">
        <v>1998</v>
      </c>
      <c r="D1462" t="s">
        <v>2047</v>
      </c>
      <c r="E1462" t="s">
        <v>2112</v>
      </c>
      <c r="F1462" t="s">
        <v>2121</v>
      </c>
      <c r="G1462" t="s">
        <v>2216</v>
      </c>
      <c r="H1462">
        <v>10306</v>
      </c>
      <c r="I1462" t="s">
        <v>2229</v>
      </c>
      <c r="J1462">
        <v>4</v>
      </c>
      <c r="K1462">
        <v>0</v>
      </c>
      <c r="L1462" t="s">
        <v>2565</v>
      </c>
      <c r="M1462" t="s">
        <v>2677</v>
      </c>
      <c r="P1462" t="s">
        <v>3042</v>
      </c>
      <c r="Q1462" t="s">
        <v>2113</v>
      </c>
      <c r="R1462" t="s">
        <v>3258</v>
      </c>
      <c r="S1462" t="s">
        <v>3271</v>
      </c>
      <c r="X1462" t="s">
        <v>3354</v>
      </c>
      <c r="Y1462" t="s">
        <v>2677</v>
      </c>
      <c r="Z1462" t="s">
        <v>3362</v>
      </c>
      <c r="AA1462" t="s">
        <v>3406</v>
      </c>
      <c r="AB1462" t="s">
        <v>3419</v>
      </c>
      <c r="AC1462">
        <f>HYPERLINK("https://lsnyc.legalserver.org/matter/dynamic-profile/view/1869035","18-1869035")</f>
        <v>0</v>
      </c>
      <c r="AD1462" t="s">
        <v>3445</v>
      </c>
      <c r="AE1462" t="s">
        <v>3455</v>
      </c>
      <c r="AF1462" t="s">
        <v>4563</v>
      </c>
      <c r="AG1462" t="s">
        <v>3362</v>
      </c>
      <c r="AH1462" t="s">
        <v>4904</v>
      </c>
      <c r="AK1462" t="s">
        <v>4911</v>
      </c>
      <c r="AL1462" t="s">
        <v>2121</v>
      </c>
      <c r="AN1462" t="s">
        <v>3419</v>
      </c>
    </row>
    <row r="1463" spans="1:40">
      <c r="A1463" s="1" t="s">
        <v>1499</v>
      </c>
      <c r="B1463" t="s">
        <v>1998</v>
      </c>
      <c r="C1463" t="s">
        <v>2016</v>
      </c>
      <c r="D1463" t="s">
        <v>2079</v>
      </c>
      <c r="E1463" t="s">
        <v>2111</v>
      </c>
      <c r="F1463" t="s">
        <v>2114</v>
      </c>
      <c r="G1463" t="s">
        <v>2213</v>
      </c>
      <c r="H1463">
        <v>10474</v>
      </c>
      <c r="I1463" t="s">
        <v>2229</v>
      </c>
      <c r="J1463">
        <v>2</v>
      </c>
      <c r="K1463">
        <v>0</v>
      </c>
      <c r="L1463" t="s">
        <v>2286</v>
      </c>
      <c r="M1463" t="s">
        <v>2677</v>
      </c>
      <c r="P1463" t="s">
        <v>3042</v>
      </c>
      <c r="Q1463" t="s">
        <v>2113</v>
      </c>
      <c r="R1463" t="s">
        <v>3258</v>
      </c>
      <c r="S1463" t="s">
        <v>3271</v>
      </c>
      <c r="X1463" t="s">
        <v>3354</v>
      </c>
      <c r="Y1463" t="s">
        <v>2677</v>
      </c>
      <c r="Z1463" t="s">
        <v>3362</v>
      </c>
      <c r="AA1463" t="s">
        <v>3406</v>
      </c>
      <c r="AB1463" t="s">
        <v>3419</v>
      </c>
      <c r="AC1463">
        <f>HYPERLINK("https://lsnyc.legalserver.org/matter/dynamic-profile/view/1869041","18-1869041")</f>
        <v>0</v>
      </c>
      <c r="AD1463" t="s">
        <v>3445</v>
      </c>
      <c r="AE1463" t="s">
        <v>3455</v>
      </c>
      <c r="AF1463" t="s">
        <v>4043</v>
      </c>
      <c r="AG1463" t="s">
        <v>3362</v>
      </c>
      <c r="AH1463" t="s">
        <v>4904</v>
      </c>
      <c r="AK1463" t="s">
        <v>4911</v>
      </c>
      <c r="AL1463" t="s">
        <v>2114</v>
      </c>
      <c r="AN1463" t="s">
        <v>3419</v>
      </c>
    </row>
    <row r="1464" spans="1:40">
      <c r="A1464" s="1" t="s">
        <v>1500</v>
      </c>
      <c r="B1464" t="s">
        <v>1998</v>
      </c>
      <c r="C1464" t="s">
        <v>2000</v>
      </c>
      <c r="D1464" t="s">
        <v>2107</v>
      </c>
      <c r="E1464" t="s">
        <v>2111</v>
      </c>
      <c r="F1464" t="s">
        <v>2135</v>
      </c>
      <c r="G1464" t="s">
        <v>2213</v>
      </c>
      <c r="H1464">
        <v>10452</v>
      </c>
      <c r="I1464" t="s">
        <v>2229</v>
      </c>
      <c r="J1464">
        <v>1</v>
      </c>
      <c r="K1464">
        <v>0</v>
      </c>
      <c r="L1464" t="s">
        <v>2265</v>
      </c>
      <c r="M1464" t="s">
        <v>2677</v>
      </c>
      <c r="P1464" t="s">
        <v>3042</v>
      </c>
      <c r="Q1464" t="s">
        <v>2113</v>
      </c>
      <c r="R1464" t="s">
        <v>3258</v>
      </c>
      <c r="S1464" t="s">
        <v>3271</v>
      </c>
      <c r="X1464" t="s">
        <v>3354</v>
      </c>
      <c r="Y1464" t="s">
        <v>2677</v>
      </c>
      <c r="Z1464" t="s">
        <v>3362</v>
      </c>
      <c r="AA1464" t="s">
        <v>3406</v>
      </c>
      <c r="AB1464" t="s">
        <v>3419</v>
      </c>
      <c r="AC1464">
        <f>HYPERLINK("https://lsnyc.legalserver.org/matter/dynamic-profile/view/1869044","18-1869044")</f>
        <v>0</v>
      </c>
      <c r="AD1464" t="s">
        <v>3445</v>
      </c>
      <c r="AE1464" t="s">
        <v>3455</v>
      </c>
      <c r="AF1464" t="s">
        <v>4564</v>
      </c>
      <c r="AG1464" t="s">
        <v>3362</v>
      </c>
      <c r="AH1464" t="s">
        <v>4904</v>
      </c>
      <c r="AK1464" t="s">
        <v>4911</v>
      </c>
      <c r="AL1464" t="s">
        <v>2135</v>
      </c>
      <c r="AN1464" t="s">
        <v>3419</v>
      </c>
    </row>
    <row r="1465" spans="1:40">
      <c r="A1465" s="1" t="s">
        <v>1501</v>
      </c>
      <c r="B1465" t="s">
        <v>2016</v>
      </c>
      <c r="C1465" t="s">
        <v>2000</v>
      </c>
      <c r="D1465" t="s">
        <v>2071</v>
      </c>
      <c r="E1465" t="s">
        <v>2111</v>
      </c>
      <c r="F1465" t="s">
        <v>2116</v>
      </c>
      <c r="G1465" t="s">
        <v>2211</v>
      </c>
      <c r="H1465">
        <v>10027</v>
      </c>
      <c r="I1465" t="s">
        <v>2229</v>
      </c>
      <c r="J1465">
        <v>2</v>
      </c>
      <c r="K1465">
        <v>0</v>
      </c>
      <c r="L1465" t="s">
        <v>2377</v>
      </c>
      <c r="M1465" t="s">
        <v>2677</v>
      </c>
      <c r="P1465" t="s">
        <v>3042</v>
      </c>
      <c r="Q1465" t="s">
        <v>2113</v>
      </c>
      <c r="R1465" t="s">
        <v>3258</v>
      </c>
      <c r="S1465" t="s">
        <v>3286</v>
      </c>
      <c r="X1465" t="s">
        <v>3354</v>
      </c>
      <c r="Y1465" t="s">
        <v>2677</v>
      </c>
      <c r="Z1465" t="s">
        <v>3388</v>
      </c>
      <c r="AA1465" t="s">
        <v>3406</v>
      </c>
      <c r="AB1465" t="s">
        <v>3434</v>
      </c>
      <c r="AC1465">
        <f>HYPERLINK("https://lsnyc.legalserver.org/matter/dynamic-profile/view/1869048","18-1869048")</f>
        <v>0</v>
      </c>
      <c r="AD1465" t="s">
        <v>3445</v>
      </c>
      <c r="AE1465" t="s">
        <v>3455</v>
      </c>
      <c r="AF1465" t="s">
        <v>4565</v>
      </c>
      <c r="AG1465" t="s">
        <v>3388</v>
      </c>
      <c r="AH1465" t="s">
        <v>4904</v>
      </c>
      <c r="AK1465" t="s">
        <v>4911</v>
      </c>
      <c r="AL1465" t="s">
        <v>2116</v>
      </c>
      <c r="AN1465" t="s">
        <v>3434</v>
      </c>
    </row>
    <row r="1466" spans="1:40">
      <c r="A1466" s="1" t="s">
        <v>1502</v>
      </c>
      <c r="B1466" t="s">
        <v>1998</v>
      </c>
      <c r="C1466" t="s">
        <v>2000</v>
      </c>
      <c r="D1466" t="s">
        <v>2074</v>
      </c>
      <c r="E1466" t="s">
        <v>2111</v>
      </c>
      <c r="F1466" t="s">
        <v>2116</v>
      </c>
      <c r="G1466" t="s">
        <v>2213</v>
      </c>
      <c r="H1466">
        <v>10456</v>
      </c>
      <c r="I1466" t="s">
        <v>2229</v>
      </c>
      <c r="J1466">
        <v>4</v>
      </c>
      <c r="K1466">
        <v>0</v>
      </c>
      <c r="L1466" t="s">
        <v>2394</v>
      </c>
      <c r="M1466" t="s">
        <v>2677</v>
      </c>
      <c r="P1466" t="s">
        <v>3042</v>
      </c>
      <c r="Q1466" t="s">
        <v>2113</v>
      </c>
      <c r="R1466" t="s">
        <v>3259</v>
      </c>
      <c r="S1466" t="s">
        <v>3270</v>
      </c>
      <c r="T1466" t="s">
        <v>3294</v>
      </c>
      <c r="U1466" t="s">
        <v>3048</v>
      </c>
      <c r="X1466" t="s">
        <v>3354</v>
      </c>
      <c r="Y1466" t="s">
        <v>2677</v>
      </c>
      <c r="Z1466" t="s">
        <v>3388</v>
      </c>
      <c r="AA1466" t="s">
        <v>3406</v>
      </c>
      <c r="AB1466" t="s">
        <v>3418</v>
      </c>
      <c r="AC1466">
        <f>HYPERLINK("https://lsnyc.legalserver.org/matter/dynamic-profile/view/1869050","18-1869050")</f>
        <v>0</v>
      </c>
      <c r="AD1466" t="s">
        <v>3445</v>
      </c>
      <c r="AE1466" t="s">
        <v>3455</v>
      </c>
      <c r="AF1466" t="s">
        <v>4566</v>
      </c>
      <c r="AG1466" t="s">
        <v>3388</v>
      </c>
      <c r="AH1466" t="s">
        <v>4904</v>
      </c>
      <c r="AK1466" t="s">
        <v>4911</v>
      </c>
      <c r="AL1466" t="s">
        <v>2116</v>
      </c>
      <c r="AM1466" t="s">
        <v>3294</v>
      </c>
      <c r="AN1466" t="s">
        <v>3418</v>
      </c>
    </row>
    <row r="1467" spans="1:40">
      <c r="A1467" s="1" t="s">
        <v>1503</v>
      </c>
      <c r="B1467" t="s">
        <v>2001</v>
      </c>
      <c r="C1467" t="s">
        <v>2002</v>
      </c>
      <c r="D1467" t="s">
        <v>2085</v>
      </c>
      <c r="E1467" t="s">
        <v>2111</v>
      </c>
      <c r="F1467" t="s">
        <v>2123</v>
      </c>
      <c r="G1467" t="s">
        <v>2211</v>
      </c>
      <c r="H1467">
        <v>10034</v>
      </c>
      <c r="J1467">
        <v>2</v>
      </c>
      <c r="K1467">
        <v>0</v>
      </c>
      <c r="L1467" t="s">
        <v>2566</v>
      </c>
      <c r="M1467" t="s">
        <v>2677</v>
      </c>
      <c r="P1467" t="s">
        <v>3042</v>
      </c>
      <c r="Q1467" t="s">
        <v>2113</v>
      </c>
      <c r="R1467" t="s">
        <v>3259</v>
      </c>
      <c r="S1467" t="s">
        <v>3270</v>
      </c>
      <c r="X1467" t="s">
        <v>3354</v>
      </c>
      <c r="Y1467" t="s">
        <v>2677</v>
      </c>
      <c r="Z1467" t="s">
        <v>3362</v>
      </c>
      <c r="AA1467" t="s">
        <v>3406</v>
      </c>
      <c r="AB1467" t="s">
        <v>3418</v>
      </c>
      <c r="AC1467">
        <f>HYPERLINK("https://lsnyc.legalserver.org/matter/dynamic-profile/view/1869058","18-1869058")</f>
        <v>0</v>
      </c>
      <c r="AD1467" t="s">
        <v>3445</v>
      </c>
      <c r="AE1467" t="s">
        <v>3455</v>
      </c>
      <c r="AF1467" t="s">
        <v>4567</v>
      </c>
      <c r="AG1467" t="s">
        <v>3362</v>
      </c>
      <c r="AH1467" t="s">
        <v>4904</v>
      </c>
      <c r="AK1467" t="s">
        <v>4911</v>
      </c>
      <c r="AL1467" t="s">
        <v>2123</v>
      </c>
      <c r="AN1467" t="s">
        <v>3418</v>
      </c>
    </row>
    <row r="1468" spans="1:40">
      <c r="A1468" s="1" t="s">
        <v>1504</v>
      </c>
      <c r="B1468" t="s">
        <v>2000</v>
      </c>
      <c r="C1468" t="s">
        <v>1998</v>
      </c>
      <c r="D1468" t="s">
        <v>2084</v>
      </c>
      <c r="E1468" t="s">
        <v>2112</v>
      </c>
      <c r="F1468" t="s">
        <v>2123</v>
      </c>
      <c r="G1468" t="s">
        <v>2213</v>
      </c>
      <c r="H1468">
        <v>10456</v>
      </c>
      <c r="I1468" t="s">
        <v>2229</v>
      </c>
      <c r="J1468">
        <v>4</v>
      </c>
      <c r="K1468">
        <v>3</v>
      </c>
      <c r="L1468" t="s">
        <v>2567</v>
      </c>
      <c r="M1468" t="s">
        <v>2677</v>
      </c>
      <c r="P1468" t="s">
        <v>3042</v>
      </c>
      <c r="Q1468" t="s">
        <v>2113</v>
      </c>
      <c r="R1468" t="s">
        <v>3258</v>
      </c>
      <c r="S1468" t="s">
        <v>3271</v>
      </c>
      <c r="X1468" t="s">
        <v>3354</v>
      </c>
      <c r="Y1468" t="s">
        <v>2677</v>
      </c>
      <c r="Z1468" t="s">
        <v>3362</v>
      </c>
      <c r="AA1468" t="s">
        <v>3406</v>
      </c>
      <c r="AB1468" t="s">
        <v>3419</v>
      </c>
      <c r="AC1468">
        <f>HYPERLINK("https://lsnyc.legalserver.org/matter/dynamic-profile/view/1869061","18-1869061")</f>
        <v>0</v>
      </c>
      <c r="AD1468" t="s">
        <v>3445</v>
      </c>
      <c r="AE1468" t="s">
        <v>3455</v>
      </c>
      <c r="AF1468" t="s">
        <v>4568</v>
      </c>
      <c r="AG1468" t="s">
        <v>3362</v>
      </c>
      <c r="AH1468" t="s">
        <v>4904</v>
      </c>
      <c r="AK1468" t="s">
        <v>4911</v>
      </c>
      <c r="AL1468" t="s">
        <v>2123</v>
      </c>
      <c r="AN1468" t="s">
        <v>3419</v>
      </c>
    </row>
    <row r="1469" spans="1:40">
      <c r="A1469" s="1" t="s">
        <v>1505</v>
      </c>
      <c r="B1469" t="s">
        <v>2000</v>
      </c>
      <c r="C1469" t="s">
        <v>2009</v>
      </c>
      <c r="D1469" t="s">
        <v>2081</v>
      </c>
      <c r="E1469" t="s">
        <v>2112</v>
      </c>
      <c r="F1469" t="s">
        <v>2116</v>
      </c>
      <c r="G1469" t="s">
        <v>2212</v>
      </c>
      <c r="H1469">
        <v>11368</v>
      </c>
      <c r="I1469" t="s">
        <v>2229</v>
      </c>
      <c r="J1469">
        <v>3</v>
      </c>
      <c r="K1469">
        <v>2</v>
      </c>
      <c r="L1469" t="s">
        <v>2283</v>
      </c>
      <c r="M1469" t="s">
        <v>2677</v>
      </c>
      <c r="P1469" t="s">
        <v>3042</v>
      </c>
      <c r="Q1469" t="s">
        <v>2113</v>
      </c>
      <c r="R1469" t="s">
        <v>3259</v>
      </c>
      <c r="S1469" t="s">
        <v>3276</v>
      </c>
      <c r="X1469" t="s">
        <v>3354</v>
      </c>
      <c r="Y1469" t="s">
        <v>2677</v>
      </c>
      <c r="Z1469" t="s">
        <v>3373</v>
      </c>
      <c r="AA1469" t="s">
        <v>3406</v>
      </c>
      <c r="AB1469" t="s">
        <v>3424</v>
      </c>
      <c r="AC1469">
        <f>HYPERLINK("https://lsnyc.legalserver.org/matter/dynamic-profile/view/1869065","18-1869065")</f>
        <v>0</v>
      </c>
      <c r="AD1469" t="s">
        <v>3445</v>
      </c>
      <c r="AE1469" t="s">
        <v>3455</v>
      </c>
      <c r="AF1469" t="s">
        <v>4167</v>
      </c>
      <c r="AG1469" t="s">
        <v>3373</v>
      </c>
      <c r="AH1469" t="s">
        <v>4904</v>
      </c>
      <c r="AK1469" t="s">
        <v>4911</v>
      </c>
      <c r="AL1469" t="s">
        <v>2116</v>
      </c>
      <c r="AN1469" t="s">
        <v>3424</v>
      </c>
    </row>
    <row r="1470" spans="1:40">
      <c r="A1470" s="1" t="s">
        <v>1506</v>
      </c>
      <c r="B1470" t="s">
        <v>2001</v>
      </c>
      <c r="C1470" t="s">
        <v>1998</v>
      </c>
      <c r="D1470" t="s">
        <v>2028</v>
      </c>
      <c r="E1470" t="s">
        <v>2112</v>
      </c>
      <c r="F1470" t="s">
        <v>2116</v>
      </c>
      <c r="G1470" t="s">
        <v>2212</v>
      </c>
      <c r="H1470">
        <v>11372</v>
      </c>
      <c r="I1470" t="s">
        <v>2229</v>
      </c>
      <c r="J1470">
        <v>2</v>
      </c>
      <c r="K1470">
        <v>1</v>
      </c>
      <c r="L1470" t="s">
        <v>2304</v>
      </c>
      <c r="M1470" t="s">
        <v>2677</v>
      </c>
      <c r="P1470" t="s">
        <v>3043</v>
      </c>
      <c r="Q1470" t="s">
        <v>2113</v>
      </c>
      <c r="R1470" t="s">
        <v>3259</v>
      </c>
      <c r="S1470" t="s">
        <v>3264</v>
      </c>
      <c r="T1470" t="s">
        <v>3294</v>
      </c>
      <c r="U1470" t="s">
        <v>3049</v>
      </c>
      <c r="X1470" t="s">
        <v>3354</v>
      </c>
      <c r="Y1470" t="s">
        <v>2677</v>
      </c>
      <c r="Z1470" t="s">
        <v>3357</v>
      </c>
      <c r="AA1470" t="s">
        <v>3406</v>
      </c>
      <c r="AB1470" t="s">
        <v>3412</v>
      </c>
      <c r="AC1470">
        <f>HYPERLINK("https://lsnyc.legalserver.org/matter/dynamic-profile/view/1868930","18-1868930")</f>
        <v>0</v>
      </c>
      <c r="AD1470" t="s">
        <v>3445</v>
      </c>
      <c r="AE1470" t="s">
        <v>3455</v>
      </c>
      <c r="AF1470" t="s">
        <v>4569</v>
      </c>
      <c r="AG1470" t="s">
        <v>3357</v>
      </c>
      <c r="AH1470" t="s">
        <v>4904</v>
      </c>
      <c r="AK1470" t="s">
        <v>4911</v>
      </c>
      <c r="AL1470" t="s">
        <v>2116</v>
      </c>
      <c r="AM1470" t="s">
        <v>3294</v>
      </c>
      <c r="AN1470" t="s">
        <v>3412</v>
      </c>
    </row>
    <row r="1471" spans="1:40">
      <c r="A1471" s="1" t="s">
        <v>1507</v>
      </c>
      <c r="B1471" t="s">
        <v>2009</v>
      </c>
      <c r="C1471" t="s">
        <v>2012</v>
      </c>
      <c r="D1471" t="s">
        <v>2070</v>
      </c>
      <c r="E1471" t="s">
        <v>2111</v>
      </c>
      <c r="F1471" t="s">
        <v>2117</v>
      </c>
      <c r="G1471" t="s">
        <v>2213</v>
      </c>
      <c r="H1471">
        <v>10475</v>
      </c>
      <c r="I1471" t="s">
        <v>2229</v>
      </c>
      <c r="J1471">
        <v>3</v>
      </c>
      <c r="K1471">
        <v>0</v>
      </c>
      <c r="L1471" t="s">
        <v>2281</v>
      </c>
      <c r="M1471" t="s">
        <v>2677</v>
      </c>
      <c r="P1471" t="s">
        <v>3044</v>
      </c>
      <c r="Q1471" t="s">
        <v>2113</v>
      </c>
      <c r="R1471" t="s">
        <v>3258</v>
      </c>
      <c r="S1471" t="s">
        <v>3273</v>
      </c>
      <c r="T1471" t="s">
        <v>3294</v>
      </c>
      <c r="U1471" t="s">
        <v>3319</v>
      </c>
      <c r="X1471" t="s">
        <v>3354</v>
      </c>
      <c r="Y1471" t="s">
        <v>2678</v>
      </c>
      <c r="Z1471" t="s">
        <v>3370</v>
      </c>
      <c r="AA1471" t="s">
        <v>3406</v>
      </c>
      <c r="AB1471" t="s">
        <v>3421</v>
      </c>
      <c r="AC1471">
        <f>HYPERLINK("https://lsnyc.legalserver.org/matter/dynamic-profile/view/1868771","18-1868771")</f>
        <v>0</v>
      </c>
      <c r="AD1471" t="s">
        <v>3444</v>
      </c>
      <c r="AE1471" t="s">
        <v>3451</v>
      </c>
      <c r="AF1471" t="s">
        <v>4570</v>
      </c>
      <c r="AG1471" t="s">
        <v>3370</v>
      </c>
      <c r="AH1471" t="s">
        <v>4904</v>
      </c>
      <c r="AK1471" t="s">
        <v>4911</v>
      </c>
      <c r="AL1471" t="s">
        <v>2117</v>
      </c>
      <c r="AM1471" t="s">
        <v>3294</v>
      </c>
      <c r="AN1471" t="s">
        <v>3421</v>
      </c>
    </row>
    <row r="1472" spans="1:40">
      <c r="A1472" s="1" t="s">
        <v>1508</v>
      </c>
      <c r="B1472" t="s">
        <v>2001</v>
      </c>
      <c r="C1472" t="s">
        <v>2016</v>
      </c>
      <c r="D1472" t="s">
        <v>2029</v>
      </c>
      <c r="E1472" t="s">
        <v>2112</v>
      </c>
      <c r="F1472" t="s">
        <v>2123</v>
      </c>
      <c r="G1472" t="s">
        <v>2213</v>
      </c>
      <c r="H1472">
        <v>10453</v>
      </c>
      <c r="I1472" t="s">
        <v>2229</v>
      </c>
      <c r="J1472">
        <v>4</v>
      </c>
      <c r="K1472">
        <v>2</v>
      </c>
      <c r="L1472" t="s">
        <v>2441</v>
      </c>
      <c r="M1472" t="s">
        <v>2677</v>
      </c>
      <c r="P1472" t="s">
        <v>3023</v>
      </c>
      <c r="Q1472" t="s">
        <v>2113</v>
      </c>
      <c r="R1472" t="s">
        <v>3258</v>
      </c>
      <c r="S1472" t="s">
        <v>3271</v>
      </c>
      <c r="X1472" t="s">
        <v>3354</v>
      </c>
      <c r="Y1472" t="s">
        <v>2677</v>
      </c>
      <c r="Z1472" t="s">
        <v>3362</v>
      </c>
      <c r="AA1472" t="s">
        <v>3406</v>
      </c>
      <c r="AB1472" t="s">
        <v>3419</v>
      </c>
      <c r="AC1472">
        <f>HYPERLINK("https://lsnyc.legalserver.org/matter/dynamic-profile/view/1868782","18-1868782")</f>
        <v>0</v>
      </c>
      <c r="AD1472" t="s">
        <v>3445</v>
      </c>
      <c r="AE1472" t="s">
        <v>3455</v>
      </c>
      <c r="AF1472" t="s">
        <v>4041</v>
      </c>
      <c r="AG1472" t="s">
        <v>3362</v>
      </c>
      <c r="AH1472" t="s">
        <v>4904</v>
      </c>
      <c r="AK1472" t="s">
        <v>4911</v>
      </c>
      <c r="AL1472" t="s">
        <v>2123</v>
      </c>
      <c r="AN1472" t="s">
        <v>3419</v>
      </c>
    </row>
    <row r="1473" spans="1:40">
      <c r="A1473" s="1" t="s">
        <v>1509</v>
      </c>
      <c r="B1473" t="s">
        <v>2000</v>
      </c>
      <c r="C1473" t="s">
        <v>2011</v>
      </c>
      <c r="D1473" t="s">
        <v>2101</v>
      </c>
      <c r="E1473" t="s">
        <v>2111</v>
      </c>
      <c r="F1473" t="s">
        <v>2123</v>
      </c>
      <c r="G1473" t="s">
        <v>2213</v>
      </c>
      <c r="H1473">
        <v>10457</v>
      </c>
      <c r="I1473" t="s">
        <v>2229</v>
      </c>
      <c r="J1473">
        <v>2</v>
      </c>
      <c r="K1473">
        <v>0</v>
      </c>
      <c r="L1473" t="s">
        <v>2568</v>
      </c>
      <c r="M1473" t="s">
        <v>2677</v>
      </c>
      <c r="P1473" t="s">
        <v>3023</v>
      </c>
      <c r="Q1473" t="s">
        <v>2113</v>
      </c>
      <c r="R1473" t="s">
        <v>3258</v>
      </c>
      <c r="S1473" t="s">
        <v>3271</v>
      </c>
      <c r="X1473" t="s">
        <v>3354</v>
      </c>
      <c r="Y1473" t="s">
        <v>2677</v>
      </c>
      <c r="Z1473" t="s">
        <v>3362</v>
      </c>
      <c r="AA1473" t="s">
        <v>3406</v>
      </c>
      <c r="AB1473" t="s">
        <v>3419</v>
      </c>
      <c r="AC1473">
        <f>HYPERLINK("https://lsnyc.legalserver.org/matter/dynamic-profile/view/1868810","18-1868810")</f>
        <v>0</v>
      </c>
      <c r="AD1473" t="s">
        <v>3445</v>
      </c>
      <c r="AE1473" t="s">
        <v>3455</v>
      </c>
      <c r="AF1473" t="s">
        <v>4571</v>
      </c>
      <c r="AG1473" t="s">
        <v>3362</v>
      </c>
      <c r="AH1473" t="s">
        <v>4904</v>
      </c>
      <c r="AK1473" t="s">
        <v>4911</v>
      </c>
      <c r="AL1473" t="s">
        <v>2123</v>
      </c>
      <c r="AN1473" t="s">
        <v>3419</v>
      </c>
    </row>
    <row r="1474" spans="1:40">
      <c r="A1474" s="1" t="s">
        <v>1510</v>
      </c>
      <c r="B1474" t="s">
        <v>2009</v>
      </c>
      <c r="C1474" t="s">
        <v>1998</v>
      </c>
      <c r="D1474" t="s">
        <v>2086</v>
      </c>
      <c r="E1474" t="s">
        <v>2112</v>
      </c>
      <c r="F1474" t="s">
        <v>2123</v>
      </c>
      <c r="G1474" t="s">
        <v>2213</v>
      </c>
      <c r="H1474">
        <v>10456</v>
      </c>
      <c r="I1474" t="s">
        <v>2229</v>
      </c>
      <c r="J1474">
        <v>1</v>
      </c>
      <c r="K1474">
        <v>0</v>
      </c>
      <c r="L1474" t="s">
        <v>2262</v>
      </c>
      <c r="M1474" t="s">
        <v>2677</v>
      </c>
      <c r="P1474" t="s">
        <v>3023</v>
      </c>
      <c r="Q1474" t="s">
        <v>2113</v>
      </c>
      <c r="R1474" t="s">
        <v>3258</v>
      </c>
      <c r="S1474" t="s">
        <v>3271</v>
      </c>
      <c r="X1474" t="s">
        <v>3354</v>
      </c>
      <c r="Y1474" t="s">
        <v>2677</v>
      </c>
      <c r="Z1474" t="s">
        <v>3362</v>
      </c>
      <c r="AA1474" t="s">
        <v>3406</v>
      </c>
      <c r="AB1474" t="s">
        <v>3419</v>
      </c>
      <c r="AC1474">
        <f>HYPERLINK("https://lsnyc.legalserver.org/matter/dynamic-profile/view/1868814","18-1868814")</f>
        <v>0</v>
      </c>
      <c r="AD1474" t="s">
        <v>3445</v>
      </c>
      <c r="AE1474" t="s">
        <v>3455</v>
      </c>
      <c r="AF1474" t="s">
        <v>4572</v>
      </c>
      <c r="AG1474" t="s">
        <v>3362</v>
      </c>
      <c r="AH1474" t="s">
        <v>4904</v>
      </c>
      <c r="AK1474" t="s">
        <v>4911</v>
      </c>
      <c r="AL1474" t="s">
        <v>2123</v>
      </c>
      <c r="AN1474" t="s">
        <v>3419</v>
      </c>
    </row>
    <row r="1475" spans="1:40">
      <c r="A1475" s="1" t="s">
        <v>1511</v>
      </c>
      <c r="B1475" t="s">
        <v>2001</v>
      </c>
      <c r="C1475" t="s">
        <v>2001</v>
      </c>
      <c r="D1475" t="s">
        <v>2083</v>
      </c>
      <c r="E1475" t="s">
        <v>2112</v>
      </c>
      <c r="F1475" t="s">
        <v>2123</v>
      </c>
      <c r="G1475" t="s">
        <v>2213</v>
      </c>
      <c r="H1475">
        <v>10455</v>
      </c>
      <c r="I1475" t="s">
        <v>2229</v>
      </c>
      <c r="J1475">
        <v>3</v>
      </c>
      <c r="K1475">
        <v>2</v>
      </c>
      <c r="L1475" t="s">
        <v>2569</v>
      </c>
      <c r="M1475" t="s">
        <v>2677</v>
      </c>
      <c r="P1475" t="s">
        <v>3023</v>
      </c>
      <c r="Q1475" t="s">
        <v>2113</v>
      </c>
      <c r="R1475" t="s">
        <v>3258</v>
      </c>
      <c r="S1475" t="s">
        <v>3271</v>
      </c>
      <c r="X1475" t="s">
        <v>3354</v>
      </c>
      <c r="Y1475" t="s">
        <v>2677</v>
      </c>
      <c r="Z1475" t="s">
        <v>3362</v>
      </c>
      <c r="AA1475" t="s">
        <v>3406</v>
      </c>
      <c r="AB1475" t="s">
        <v>3419</v>
      </c>
      <c r="AC1475">
        <f>HYPERLINK("https://lsnyc.legalserver.org/matter/dynamic-profile/view/1868859","18-1868859")</f>
        <v>0</v>
      </c>
      <c r="AD1475" t="s">
        <v>3445</v>
      </c>
      <c r="AE1475" t="s">
        <v>3455</v>
      </c>
      <c r="AF1475" t="s">
        <v>4573</v>
      </c>
      <c r="AG1475" t="s">
        <v>3362</v>
      </c>
      <c r="AH1475" t="s">
        <v>4904</v>
      </c>
      <c r="AK1475" t="s">
        <v>4911</v>
      </c>
      <c r="AL1475" t="s">
        <v>2123</v>
      </c>
      <c r="AN1475" t="s">
        <v>3419</v>
      </c>
    </row>
    <row r="1476" spans="1:40">
      <c r="A1476" s="1" t="s">
        <v>1512</v>
      </c>
      <c r="B1476" t="s">
        <v>1998</v>
      </c>
      <c r="C1476" t="s">
        <v>2000</v>
      </c>
      <c r="D1476" t="s">
        <v>2074</v>
      </c>
      <c r="E1476" t="s">
        <v>2112</v>
      </c>
      <c r="F1476" t="s">
        <v>2116</v>
      </c>
      <c r="G1476" t="s">
        <v>2213</v>
      </c>
      <c r="H1476">
        <v>10462</v>
      </c>
      <c r="I1476" t="s">
        <v>2229</v>
      </c>
      <c r="J1476">
        <v>4</v>
      </c>
      <c r="K1476">
        <v>0</v>
      </c>
      <c r="L1476" t="s">
        <v>2261</v>
      </c>
      <c r="M1476" t="s">
        <v>2677</v>
      </c>
      <c r="P1476" t="s">
        <v>3044</v>
      </c>
      <c r="Q1476" t="s">
        <v>2113</v>
      </c>
      <c r="R1476" t="s">
        <v>3258</v>
      </c>
      <c r="S1476" t="s">
        <v>3271</v>
      </c>
      <c r="X1476" t="s">
        <v>3354</v>
      </c>
      <c r="Y1476" t="s">
        <v>2677</v>
      </c>
      <c r="Z1476" t="s">
        <v>3362</v>
      </c>
      <c r="AA1476" t="s">
        <v>3406</v>
      </c>
      <c r="AB1476" t="s">
        <v>3419</v>
      </c>
      <c r="AC1476">
        <f>HYPERLINK("https://lsnyc.legalserver.org/matter/dynamic-profile/view/1868862","18-1868862")</f>
        <v>0</v>
      </c>
      <c r="AD1476" t="s">
        <v>3445</v>
      </c>
      <c r="AE1476" t="s">
        <v>3452</v>
      </c>
      <c r="AF1476" t="s">
        <v>4574</v>
      </c>
      <c r="AG1476" t="s">
        <v>3362</v>
      </c>
      <c r="AH1476" t="s">
        <v>4904</v>
      </c>
      <c r="AK1476" t="s">
        <v>4911</v>
      </c>
      <c r="AL1476" t="s">
        <v>2116</v>
      </c>
      <c r="AN1476" t="s">
        <v>3419</v>
      </c>
    </row>
    <row r="1477" spans="1:40">
      <c r="A1477" s="1" t="s">
        <v>1513</v>
      </c>
      <c r="B1477" t="s">
        <v>1998</v>
      </c>
      <c r="C1477" t="s">
        <v>1998</v>
      </c>
      <c r="D1477" t="s">
        <v>2045</v>
      </c>
      <c r="E1477" t="s">
        <v>2112</v>
      </c>
      <c r="F1477" t="s">
        <v>2134</v>
      </c>
      <c r="G1477" t="s">
        <v>2214</v>
      </c>
      <c r="H1477">
        <v>11204</v>
      </c>
      <c r="I1477" t="s">
        <v>2232</v>
      </c>
      <c r="J1477">
        <v>2</v>
      </c>
      <c r="K1477">
        <v>0</v>
      </c>
      <c r="L1477" t="s">
        <v>2402</v>
      </c>
      <c r="M1477" t="s">
        <v>2678</v>
      </c>
      <c r="P1477" t="s">
        <v>3044</v>
      </c>
      <c r="Q1477" t="s">
        <v>2113</v>
      </c>
      <c r="R1477" t="s">
        <v>3259</v>
      </c>
      <c r="S1477" t="s">
        <v>3268</v>
      </c>
      <c r="X1477" t="s">
        <v>3354</v>
      </c>
      <c r="Y1477" t="s">
        <v>2677</v>
      </c>
      <c r="Z1477" t="s">
        <v>3368</v>
      </c>
      <c r="AA1477" t="s">
        <v>3406</v>
      </c>
      <c r="AB1477" t="s">
        <v>3416</v>
      </c>
      <c r="AC1477">
        <f>HYPERLINK("https://lsnyc.legalserver.org/matter/dynamic-profile/view/1868907","18-1868907")</f>
        <v>0</v>
      </c>
      <c r="AD1477" t="s">
        <v>3445</v>
      </c>
      <c r="AE1477" t="s">
        <v>3455</v>
      </c>
      <c r="AF1477" t="s">
        <v>4575</v>
      </c>
      <c r="AG1477" t="s">
        <v>3368</v>
      </c>
      <c r="AH1477" t="s">
        <v>4904</v>
      </c>
      <c r="AJ1477" t="s">
        <v>4910</v>
      </c>
      <c r="AL1477" t="s">
        <v>2134</v>
      </c>
      <c r="AN1477" t="s">
        <v>3416</v>
      </c>
    </row>
    <row r="1478" spans="1:40">
      <c r="A1478" s="1" t="s">
        <v>1514</v>
      </c>
      <c r="B1478" t="s">
        <v>2000</v>
      </c>
      <c r="C1478" t="s">
        <v>1998</v>
      </c>
      <c r="D1478" t="s">
        <v>2059</v>
      </c>
      <c r="E1478" t="s">
        <v>2112</v>
      </c>
      <c r="F1478" t="s">
        <v>2121</v>
      </c>
      <c r="G1478" t="s">
        <v>2212</v>
      </c>
      <c r="H1478">
        <v>11354</v>
      </c>
      <c r="I1478" t="s">
        <v>2229</v>
      </c>
      <c r="J1478">
        <v>2</v>
      </c>
      <c r="K1478">
        <v>0</v>
      </c>
      <c r="L1478" t="s">
        <v>2570</v>
      </c>
      <c r="M1478" t="s">
        <v>2678</v>
      </c>
      <c r="P1478" t="s">
        <v>3045</v>
      </c>
      <c r="Q1478" t="s">
        <v>2113</v>
      </c>
      <c r="X1478" t="s">
        <v>3354</v>
      </c>
      <c r="Y1478" t="s">
        <v>2678</v>
      </c>
      <c r="Z1478" t="s">
        <v>3362</v>
      </c>
      <c r="AA1478" t="s">
        <v>3407</v>
      </c>
      <c r="AB1478" t="s">
        <v>3407</v>
      </c>
      <c r="AC1478">
        <f>HYPERLINK("https://lsnyc.legalserver.org/matter/dynamic-profile/view/1868648","18-1868648")</f>
        <v>0</v>
      </c>
      <c r="AD1478" t="s">
        <v>3443</v>
      </c>
      <c r="AE1478" t="s">
        <v>3477</v>
      </c>
      <c r="AF1478" t="s">
        <v>4576</v>
      </c>
      <c r="AG1478" t="s">
        <v>3362</v>
      </c>
      <c r="AH1478" t="s">
        <v>3407</v>
      </c>
      <c r="AJ1478" t="s">
        <v>4910</v>
      </c>
      <c r="AL1478" t="s">
        <v>2121</v>
      </c>
      <c r="AN1478" t="s">
        <v>3407</v>
      </c>
    </row>
    <row r="1479" spans="1:40">
      <c r="A1479" s="1" t="s">
        <v>1515</v>
      </c>
      <c r="B1479" t="s">
        <v>2010</v>
      </c>
      <c r="C1479" t="s">
        <v>2021</v>
      </c>
      <c r="D1479" t="s">
        <v>2107</v>
      </c>
      <c r="E1479" t="s">
        <v>2111</v>
      </c>
      <c r="F1479" t="s">
        <v>2120</v>
      </c>
      <c r="G1479" t="s">
        <v>2212</v>
      </c>
      <c r="H1479">
        <v>11412</v>
      </c>
      <c r="I1479" t="s">
        <v>2230</v>
      </c>
      <c r="J1479">
        <v>4</v>
      </c>
      <c r="K1479">
        <v>0</v>
      </c>
      <c r="L1479" t="s">
        <v>2260</v>
      </c>
      <c r="M1479" t="s">
        <v>2677</v>
      </c>
      <c r="P1479" t="s">
        <v>3020</v>
      </c>
      <c r="Q1479" t="s">
        <v>2113</v>
      </c>
      <c r="R1479" t="s">
        <v>3259</v>
      </c>
      <c r="S1479" t="s">
        <v>3287</v>
      </c>
      <c r="X1479" t="s">
        <v>3354</v>
      </c>
      <c r="Y1479" t="s">
        <v>2677</v>
      </c>
      <c r="Z1479" t="s">
        <v>3378</v>
      </c>
      <c r="AA1479" t="s">
        <v>3406</v>
      </c>
      <c r="AB1479" t="s">
        <v>3435</v>
      </c>
      <c r="AC1479">
        <f>HYPERLINK("https://lsnyc.legalserver.org/matter/dynamic-profile/view/1868665","18-1868665")</f>
        <v>0</v>
      </c>
      <c r="AD1479" t="s">
        <v>3445</v>
      </c>
      <c r="AE1479" t="s">
        <v>3455</v>
      </c>
      <c r="AF1479" t="s">
        <v>4577</v>
      </c>
      <c r="AG1479" t="s">
        <v>3378</v>
      </c>
      <c r="AH1479" t="s">
        <v>4904</v>
      </c>
      <c r="AK1479" t="s">
        <v>4911</v>
      </c>
      <c r="AL1479" t="s">
        <v>2120</v>
      </c>
      <c r="AN1479" t="s">
        <v>3435</v>
      </c>
    </row>
    <row r="1480" spans="1:40">
      <c r="A1480" s="1" t="s">
        <v>1516</v>
      </c>
      <c r="B1480" t="s">
        <v>2012</v>
      </c>
      <c r="C1480" t="s">
        <v>1998</v>
      </c>
      <c r="D1480" t="s">
        <v>2084</v>
      </c>
      <c r="E1480" t="s">
        <v>2111</v>
      </c>
      <c r="F1480" t="s">
        <v>2120</v>
      </c>
      <c r="G1480" t="s">
        <v>2212</v>
      </c>
      <c r="H1480">
        <v>11434</v>
      </c>
      <c r="I1480" t="s">
        <v>2230</v>
      </c>
      <c r="J1480">
        <v>1</v>
      </c>
      <c r="K1480">
        <v>0</v>
      </c>
      <c r="L1480" t="s">
        <v>2260</v>
      </c>
      <c r="M1480" t="s">
        <v>2677</v>
      </c>
      <c r="P1480" t="s">
        <v>3045</v>
      </c>
      <c r="Q1480" t="s">
        <v>2113</v>
      </c>
      <c r="R1480" t="s">
        <v>3259</v>
      </c>
      <c r="S1480" t="s">
        <v>3268</v>
      </c>
      <c r="X1480" t="s">
        <v>3354</v>
      </c>
      <c r="Y1480" t="s">
        <v>2677</v>
      </c>
      <c r="Z1480" t="s">
        <v>3368</v>
      </c>
      <c r="AA1480" t="s">
        <v>3406</v>
      </c>
      <c r="AB1480" t="s">
        <v>3416</v>
      </c>
      <c r="AC1480">
        <f>HYPERLINK("https://lsnyc.legalserver.org/matter/dynamic-profile/view/1868678","18-1868678")</f>
        <v>0</v>
      </c>
      <c r="AD1480" t="s">
        <v>3445</v>
      </c>
      <c r="AE1480" t="s">
        <v>3455</v>
      </c>
      <c r="AF1480" t="s">
        <v>4578</v>
      </c>
      <c r="AG1480" t="s">
        <v>3368</v>
      </c>
      <c r="AH1480" t="s">
        <v>4904</v>
      </c>
      <c r="AK1480" t="s">
        <v>4911</v>
      </c>
      <c r="AL1480" t="s">
        <v>2120</v>
      </c>
      <c r="AN1480" t="s">
        <v>3416</v>
      </c>
    </row>
    <row r="1481" spans="1:40">
      <c r="A1481" s="1" t="s">
        <v>1517</v>
      </c>
      <c r="B1481" t="s">
        <v>1998</v>
      </c>
      <c r="C1481" t="s">
        <v>2002</v>
      </c>
      <c r="D1481" t="s">
        <v>2060</v>
      </c>
      <c r="E1481" t="s">
        <v>2112</v>
      </c>
      <c r="F1481" t="s">
        <v>2146</v>
      </c>
      <c r="G1481" t="s">
        <v>2212</v>
      </c>
      <c r="H1481">
        <v>11378</v>
      </c>
      <c r="I1481" t="s">
        <v>2230</v>
      </c>
      <c r="J1481">
        <v>2</v>
      </c>
      <c r="K1481">
        <v>1</v>
      </c>
      <c r="L1481" t="s">
        <v>2256</v>
      </c>
      <c r="M1481" t="s">
        <v>2677</v>
      </c>
      <c r="P1481" t="s">
        <v>3045</v>
      </c>
      <c r="Q1481" t="s">
        <v>2113</v>
      </c>
      <c r="R1481" t="s">
        <v>3259</v>
      </c>
      <c r="S1481" t="s">
        <v>3264</v>
      </c>
      <c r="X1481" t="s">
        <v>3354</v>
      </c>
      <c r="Y1481" t="s">
        <v>2677</v>
      </c>
      <c r="Z1481" t="s">
        <v>3357</v>
      </c>
      <c r="AA1481" t="s">
        <v>3406</v>
      </c>
      <c r="AB1481" t="s">
        <v>3412</v>
      </c>
      <c r="AC1481">
        <f>HYPERLINK("https://lsnyc.legalserver.org/matter/dynamic-profile/view/1868697","18-1868697")</f>
        <v>0</v>
      </c>
      <c r="AD1481" t="s">
        <v>3445</v>
      </c>
      <c r="AE1481" t="s">
        <v>3455</v>
      </c>
      <c r="AF1481" t="s">
        <v>4579</v>
      </c>
      <c r="AG1481" t="s">
        <v>3357</v>
      </c>
      <c r="AH1481" t="s">
        <v>4904</v>
      </c>
      <c r="AK1481" t="s">
        <v>4911</v>
      </c>
      <c r="AL1481" t="s">
        <v>2146</v>
      </c>
      <c r="AN1481" t="s">
        <v>3412</v>
      </c>
    </row>
    <row r="1482" spans="1:40">
      <c r="A1482" s="1" t="s">
        <v>1518</v>
      </c>
      <c r="B1482" t="s">
        <v>2014</v>
      </c>
      <c r="C1482" t="s">
        <v>2001</v>
      </c>
      <c r="D1482" t="s">
        <v>2039</v>
      </c>
      <c r="E1482" t="s">
        <v>2112</v>
      </c>
      <c r="F1482" t="s">
        <v>2123</v>
      </c>
      <c r="G1482" t="s">
        <v>2214</v>
      </c>
      <c r="H1482">
        <v>11212</v>
      </c>
      <c r="I1482" t="s">
        <v>2229</v>
      </c>
      <c r="J1482">
        <v>3</v>
      </c>
      <c r="K1482">
        <v>0</v>
      </c>
      <c r="L1482" t="s">
        <v>2571</v>
      </c>
      <c r="M1482" t="s">
        <v>2677</v>
      </c>
      <c r="P1482" t="s">
        <v>3023</v>
      </c>
      <c r="Q1482" t="s">
        <v>2113</v>
      </c>
      <c r="R1482" t="s">
        <v>3259</v>
      </c>
      <c r="S1482" t="s">
        <v>3270</v>
      </c>
      <c r="X1482" t="s">
        <v>3354</v>
      </c>
      <c r="Y1482" t="s">
        <v>2677</v>
      </c>
      <c r="Z1482" t="s">
        <v>3362</v>
      </c>
      <c r="AA1482" t="s">
        <v>3406</v>
      </c>
      <c r="AB1482" t="s">
        <v>3418</v>
      </c>
      <c r="AC1482">
        <f>HYPERLINK("https://lsnyc.legalserver.org/matter/dynamic-profile/view/1868717","18-1868717")</f>
        <v>0</v>
      </c>
      <c r="AD1482" t="s">
        <v>3445</v>
      </c>
      <c r="AE1482" t="s">
        <v>3455</v>
      </c>
      <c r="AF1482" t="s">
        <v>4580</v>
      </c>
      <c r="AG1482" t="s">
        <v>3362</v>
      </c>
      <c r="AH1482" t="s">
        <v>4904</v>
      </c>
      <c r="AK1482" t="s">
        <v>4911</v>
      </c>
      <c r="AL1482" t="s">
        <v>2123</v>
      </c>
      <c r="AN1482" t="s">
        <v>3418</v>
      </c>
    </row>
    <row r="1483" spans="1:40">
      <c r="A1483" s="1" t="s">
        <v>1519</v>
      </c>
      <c r="B1483" t="s">
        <v>1998</v>
      </c>
      <c r="C1483" t="s">
        <v>2000</v>
      </c>
      <c r="D1483" t="s">
        <v>2081</v>
      </c>
      <c r="E1483" t="s">
        <v>2112</v>
      </c>
      <c r="F1483" t="s">
        <v>2151</v>
      </c>
      <c r="G1483" t="s">
        <v>2213</v>
      </c>
      <c r="H1483">
        <v>10455</v>
      </c>
      <c r="J1483">
        <v>1</v>
      </c>
      <c r="K1483">
        <v>0</v>
      </c>
      <c r="L1483" t="s">
        <v>2572</v>
      </c>
      <c r="M1483" t="s">
        <v>2677</v>
      </c>
      <c r="P1483" t="s">
        <v>3045</v>
      </c>
      <c r="Q1483" t="s">
        <v>2113</v>
      </c>
      <c r="R1483" t="s">
        <v>3259</v>
      </c>
      <c r="S1483" t="s">
        <v>3270</v>
      </c>
      <c r="T1483" t="s">
        <v>3294</v>
      </c>
      <c r="U1483" t="s">
        <v>3088</v>
      </c>
      <c r="X1483" t="s">
        <v>3354</v>
      </c>
      <c r="Y1483" t="s">
        <v>2677</v>
      </c>
      <c r="Z1483" t="s">
        <v>3388</v>
      </c>
      <c r="AA1483" t="s">
        <v>3406</v>
      </c>
      <c r="AB1483" t="s">
        <v>3418</v>
      </c>
      <c r="AC1483">
        <f>HYPERLINK("https://lsnyc.legalserver.org/matter/dynamic-profile/view/1868720","18-1868720")</f>
        <v>0</v>
      </c>
      <c r="AD1483" t="s">
        <v>3445</v>
      </c>
      <c r="AE1483" t="s">
        <v>3455</v>
      </c>
      <c r="AF1483" t="s">
        <v>4581</v>
      </c>
      <c r="AG1483" t="s">
        <v>3388</v>
      </c>
      <c r="AH1483" t="s">
        <v>4904</v>
      </c>
      <c r="AK1483" t="s">
        <v>4911</v>
      </c>
      <c r="AL1483" t="s">
        <v>2151</v>
      </c>
      <c r="AM1483" t="s">
        <v>3294</v>
      </c>
      <c r="AN1483" t="s">
        <v>3418</v>
      </c>
    </row>
    <row r="1484" spans="1:40">
      <c r="A1484" s="1" t="s">
        <v>1520</v>
      </c>
      <c r="B1484" t="s">
        <v>2001</v>
      </c>
      <c r="C1484" t="s">
        <v>2001</v>
      </c>
      <c r="D1484" t="s">
        <v>2029</v>
      </c>
      <c r="E1484" t="s">
        <v>2112</v>
      </c>
      <c r="F1484" t="s">
        <v>2120</v>
      </c>
      <c r="G1484" t="s">
        <v>2213</v>
      </c>
      <c r="H1484">
        <v>10451</v>
      </c>
      <c r="J1484">
        <v>2</v>
      </c>
      <c r="K1484">
        <v>1</v>
      </c>
      <c r="L1484" t="s">
        <v>2573</v>
      </c>
      <c r="M1484" t="s">
        <v>2677</v>
      </c>
      <c r="P1484" t="s">
        <v>3045</v>
      </c>
      <c r="Q1484" t="s">
        <v>2113</v>
      </c>
      <c r="R1484" t="s">
        <v>3259</v>
      </c>
      <c r="S1484" t="s">
        <v>3264</v>
      </c>
      <c r="X1484" t="s">
        <v>3354</v>
      </c>
      <c r="Y1484" t="s">
        <v>2677</v>
      </c>
      <c r="Z1484" t="s">
        <v>3357</v>
      </c>
      <c r="AA1484" t="s">
        <v>3406</v>
      </c>
      <c r="AB1484" t="s">
        <v>3412</v>
      </c>
      <c r="AC1484">
        <f>HYPERLINK("https://lsnyc.legalserver.org/matter/dynamic-profile/view/1868736","18-1868736")</f>
        <v>0</v>
      </c>
      <c r="AD1484" t="s">
        <v>3445</v>
      </c>
      <c r="AE1484" t="s">
        <v>3455</v>
      </c>
      <c r="AF1484" t="s">
        <v>4582</v>
      </c>
      <c r="AG1484" t="s">
        <v>3357</v>
      </c>
      <c r="AH1484" t="s">
        <v>4904</v>
      </c>
      <c r="AK1484" t="s">
        <v>4911</v>
      </c>
      <c r="AL1484" t="s">
        <v>2120</v>
      </c>
      <c r="AN1484" t="s">
        <v>3412</v>
      </c>
    </row>
    <row r="1485" spans="1:40">
      <c r="A1485" s="1" t="s">
        <v>1521</v>
      </c>
      <c r="B1485" t="s">
        <v>2001</v>
      </c>
      <c r="C1485" t="s">
        <v>2001</v>
      </c>
      <c r="D1485" t="s">
        <v>2029</v>
      </c>
      <c r="E1485" t="s">
        <v>2112</v>
      </c>
      <c r="F1485" t="s">
        <v>2120</v>
      </c>
      <c r="G1485" t="s">
        <v>2213</v>
      </c>
      <c r="H1485">
        <v>10451</v>
      </c>
      <c r="J1485">
        <v>2</v>
      </c>
      <c r="K1485">
        <v>1</v>
      </c>
      <c r="L1485" t="s">
        <v>2573</v>
      </c>
      <c r="M1485" t="s">
        <v>2677</v>
      </c>
      <c r="P1485" t="s">
        <v>3045</v>
      </c>
      <c r="Q1485" t="s">
        <v>2113</v>
      </c>
      <c r="R1485" t="s">
        <v>3258</v>
      </c>
      <c r="S1485" t="s">
        <v>3286</v>
      </c>
      <c r="X1485" t="s">
        <v>3354</v>
      </c>
      <c r="Y1485" t="s">
        <v>2677</v>
      </c>
      <c r="Z1485" t="s">
        <v>3388</v>
      </c>
      <c r="AA1485" t="s">
        <v>3406</v>
      </c>
      <c r="AB1485" t="s">
        <v>3434</v>
      </c>
      <c r="AC1485">
        <f>HYPERLINK("https://lsnyc.legalserver.org/matter/dynamic-profile/view/1868741","18-1868741")</f>
        <v>0</v>
      </c>
      <c r="AD1485" t="s">
        <v>3445</v>
      </c>
      <c r="AE1485" t="s">
        <v>3455</v>
      </c>
      <c r="AF1485" t="s">
        <v>4582</v>
      </c>
      <c r="AG1485" t="s">
        <v>3388</v>
      </c>
      <c r="AH1485" t="s">
        <v>4904</v>
      </c>
      <c r="AK1485" t="s">
        <v>4911</v>
      </c>
      <c r="AL1485" t="s">
        <v>2120</v>
      </c>
      <c r="AN1485" t="s">
        <v>3434</v>
      </c>
    </row>
    <row r="1486" spans="1:40">
      <c r="A1486" s="1" t="s">
        <v>1522</v>
      </c>
      <c r="B1486" t="s">
        <v>2002</v>
      </c>
      <c r="C1486" t="s">
        <v>2000</v>
      </c>
      <c r="D1486" t="s">
        <v>2041</v>
      </c>
      <c r="E1486" t="s">
        <v>2111</v>
      </c>
      <c r="F1486" t="s">
        <v>2120</v>
      </c>
      <c r="G1486" t="s">
        <v>2213</v>
      </c>
      <c r="H1486">
        <v>10469</v>
      </c>
      <c r="I1486" t="s">
        <v>2230</v>
      </c>
      <c r="J1486">
        <v>2</v>
      </c>
      <c r="K1486">
        <v>0</v>
      </c>
      <c r="L1486" t="s">
        <v>2442</v>
      </c>
      <c r="M1486" t="s">
        <v>2677</v>
      </c>
      <c r="P1486" t="s">
        <v>3045</v>
      </c>
      <c r="Q1486" t="s">
        <v>2113</v>
      </c>
      <c r="R1486" t="s">
        <v>3258</v>
      </c>
      <c r="S1486" t="s">
        <v>3271</v>
      </c>
      <c r="X1486" t="s">
        <v>3354</v>
      </c>
      <c r="Y1486" t="s">
        <v>2677</v>
      </c>
      <c r="Z1486" t="s">
        <v>3362</v>
      </c>
      <c r="AA1486" t="s">
        <v>3406</v>
      </c>
      <c r="AB1486" t="s">
        <v>3419</v>
      </c>
      <c r="AC1486">
        <f>HYPERLINK("https://lsnyc.legalserver.org/matter/dynamic-profile/view/1868755","18-1868755")</f>
        <v>0</v>
      </c>
      <c r="AD1486" t="s">
        <v>3445</v>
      </c>
      <c r="AE1486" t="s">
        <v>3455</v>
      </c>
      <c r="AF1486" t="s">
        <v>4048</v>
      </c>
      <c r="AG1486" t="s">
        <v>3362</v>
      </c>
      <c r="AH1486" t="s">
        <v>4904</v>
      </c>
      <c r="AK1486" t="s">
        <v>4911</v>
      </c>
      <c r="AL1486" t="s">
        <v>2120</v>
      </c>
      <c r="AN1486" t="s">
        <v>3419</v>
      </c>
    </row>
    <row r="1487" spans="1:40">
      <c r="A1487" s="1" t="s">
        <v>1523</v>
      </c>
      <c r="B1487" t="s">
        <v>2000</v>
      </c>
      <c r="C1487" t="s">
        <v>2016</v>
      </c>
      <c r="D1487" t="s">
        <v>2056</v>
      </c>
      <c r="E1487" t="s">
        <v>2112</v>
      </c>
      <c r="F1487" t="s">
        <v>2116</v>
      </c>
      <c r="G1487" t="s">
        <v>2214</v>
      </c>
      <c r="H1487">
        <v>11233</v>
      </c>
      <c r="I1487" t="s">
        <v>2229</v>
      </c>
      <c r="J1487">
        <v>1</v>
      </c>
      <c r="K1487">
        <v>0</v>
      </c>
      <c r="L1487" t="s">
        <v>2276</v>
      </c>
      <c r="M1487" t="s">
        <v>2677</v>
      </c>
      <c r="P1487" t="s">
        <v>3046</v>
      </c>
      <c r="Q1487" t="s">
        <v>2113</v>
      </c>
      <c r="R1487" t="s">
        <v>3259</v>
      </c>
      <c r="S1487" t="s">
        <v>3268</v>
      </c>
      <c r="X1487" t="s">
        <v>3354</v>
      </c>
      <c r="Y1487" t="s">
        <v>2677</v>
      </c>
      <c r="Z1487" t="s">
        <v>3368</v>
      </c>
      <c r="AA1487" t="s">
        <v>3406</v>
      </c>
      <c r="AB1487" t="s">
        <v>3416</v>
      </c>
      <c r="AC1487">
        <f>HYPERLINK("https://lsnyc.legalserver.org/matter/dynamic-profile/view/1868513","18-1868513")</f>
        <v>0</v>
      </c>
      <c r="AD1487" t="s">
        <v>3445</v>
      </c>
      <c r="AE1487" t="s">
        <v>3455</v>
      </c>
      <c r="AF1487" t="s">
        <v>4583</v>
      </c>
      <c r="AG1487" t="s">
        <v>3368</v>
      </c>
      <c r="AH1487" t="s">
        <v>4904</v>
      </c>
      <c r="AK1487" t="s">
        <v>4911</v>
      </c>
      <c r="AL1487" t="s">
        <v>2116</v>
      </c>
      <c r="AN1487" t="s">
        <v>3416</v>
      </c>
    </row>
    <row r="1488" spans="1:40">
      <c r="A1488" s="1" t="s">
        <v>1524</v>
      </c>
      <c r="B1488" t="s">
        <v>2001</v>
      </c>
      <c r="C1488" t="s">
        <v>2012</v>
      </c>
      <c r="D1488" t="s">
        <v>2040</v>
      </c>
      <c r="E1488" t="s">
        <v>2111</v>
      </c>
      <c r="F1488" t="s">
        <v>2115</v>
      </c>
      <c r="G1488" t="s">
        <v>2211</v>
      </c>
      <c r="H1488">
        <v>11207</v>
      </c>
      <c r="I1488" t="s">
        <v>2229</v>
      </c>
      <c r="J1488">
        <v>3</v>
      </c>
      <c r="K1488">
        <v>2</v>
      </c>
      <c r="L1488" t="s">
        <v>2260</v>
      </c>
      <c r="M1488" t="s">
        <v>2677</v>
      </c>
      <c r="P1488" t="s">
        <v>3046</v>
      </c>
      <c r="Q1488" t="s">
        <v>2113</v>
      </c>
      <c r="R1488" t="s">
        <v>3259</v>
      </c>
      <c r="S1488" t="s">
        <v>3272</v>
      </c>
      <c r="T1488" t="s">
        <v>3294</v>
      </c>
      <c r="X1488" t="s">
        <v>3354</v>
      </c>
      <c r="Y1488" t="s">
        <v>2678</v>
      </c>
      <c r="Z1488" t="s">
        <v>3364</v>
      </c>
      <c r="AA1488" t="s">
        <v>3406</v>
      </c>
      <c r="AB1488" t="s">
        <v>3420</v>
      </c>
      <c r="AC1488">
        <f>HYPERLINK("https://lsnyc.legalserver.org/matter/dynamic-profile/view/1868597","18-1868597")</f>
        <v>0</v>
      </c>
      <c r="AD1488" t="s">
        <v>3446</v>
      </c>
      <c r="AE1488" t="s">
        <v>3481</v>
      </c>
      <c r="AF1488" t="s">
        <v>4584</v>
      </c>
      <c r="AG1488" t="s">
        <v>3364</v>
      </c>
      <c r="AH1488" t="s">
        <v>4906</v>
      </c>
      <c r="AK1488" t="s">
        <v>4911</v>
      </c>
      <c r="AL1488" t="s">
        <v>2115</v>
      </c>
      <c r="AM1488" t="s">
        <v>3294</v>
      </c>
      <c r="AN1488" t="s">
        <v>3420</v>
      </c>
    </row>
    <row r="1489" spans="1:41">
      <c r="A1489" s="1" t="s">
        <v>1525</v>
      </c>
      <c r="B1489" t="s">
        <v>2001</v>
      </c>
      <c r="C1489" t="s">
        <v>2002</v>
      </c>
      <c r="D1489" t="s">
        <v>2036</v>
      </c>
      <c r="E1489" t="s">
        <v>2111</v>
      </c>
      <c r="F1489" t="s">
        <v>2115</v>
      </c>
      <c r="G1489" t="s">
        <v>2214</v>
      </c>
      <c r="H1489">
        <v>11207</v>
      </c>
      <c r="I1489" t="s">
        <v>2229</v>
      </c>
      <c r="J1489">
        <v>3</v>
      </c>
      <c r="K1489">
        <v>2</v>
      </c>
      <c r="L1489" t="s">
        <v>2260</v>
      </c>
      <c r="M1489" t="s">
        <v>2677</v>
      </c>
      <c r="P1489" t="s">
        <v>3046</v>
      </c>
      <c r="Q1489" t="s">
        <v>2113</v>
      </c>
      <c r="R1489" t="s">
        <v>3259</v>
      </c>
      <c r="S1489" t="s">
        <v>3272</v>
      </c>
      <c r="T1489" t="s">
        <v>3294</v>
      </c>
      <c r="X1489" t="s">
        <v>3354</v>
      </c>
      <c r="Y1489" t="s">
        <v>2678</v>
      </c>
      <c r="Z1489" t="s">
        <v>3364</v>
      </c>
      <c r="AA1489" t="s">
        <v>3406</v>
      </c>
      <c r="AB1489" t="s">
        <v>3420</v>
      </c>
      <c r="AC1489">
        <f>HYPERLINK("https://lsnyc.legalserver.org/matter/dynamic-profile/view/1868601","18-1868601")</f>
        <v>0</v>
      </c>
      <c r="AD1489" t="s">
        <v>3446</v>
      </c>
      <c r="AE1489" t="s">
        <v>3481</v>
      </c>
      <c r="AF1489" t="s">
        <v>4585</v>
      </c>
      <c r="AG1489" t="s">
        <v>3364</v>
      </c>
      <c r="AH1489" t="s">
        <v>4905</v>
      </c>
      <c r="AK1489" t="s">
        <v>4911</v>
      </c>
      <c r="AL1489" t="s">
        <v>2115</v>
      </c>
      <c r="AM1489" t="s">
        <v>3294</v>
      </c>
      <c r="AN1489" t="s">
        <v>3420</v>
      </c>
    </row>
    <row r="1490" spans="1:41">
      <c r="A1490" s="1" t="s">
        <v>1526</v>
      </c>
      <c r="B1490" t="s">
        <v>2000</v>
      </c>
      <c r="C1490" t="s">
        <v>1998</v>
      </c>
      <c r="D1490" t="s">
        <v>2028</v>
      </c>
      <c r="E1490" t="s">
        <v>2112</v>
      </c>
      <c r="F1490" t="s">
        <v>2179</v>
      </c>
      <c r="G1490" t="s">
        <v>2214</v>
      </c>
      <c r="H1490">
        <v>11233</v>
      </c>
      <c r="I1490" t="s">
        <v>2230</v>
      </c>
      <c r="J1490">
        <v>3</v>
      </c>
      <c r="K1490">
        <v>0</v>
      </c>
      <c r="L1490" t="s">
        <v>2555</v>
      </c>
      <c r="M1490" t="s">
        <v>2677</v>
      </c>
      <c r="P1490" t="s">
        <v>3046</v>
      </c>
      <c r="Q1490" t="s">
        <v>2113</v>
      </c>
      <c r="R1490" t="s">
        <v>3259</v>
      </c>
      <c r="S1490" t="s">
        <v>3267</v>
      </c>
      <c r="X1490" t="s">
        <v>3354</v>
      </c>
      <c r="Y1490" t="s">
        <v>2678</v>
      </c>
      <c r="Z1490" t="s">
        <v>3359</v>
      </c>
      <c r="AA1490" t="s">
        <v>3406</v>
      </c>
      <c r="AB1490" t="s">
        <v>3415</v>
      </c>
      <c r="AC1490">
        <f>HYPERLINK("https://lsnyc.legalserver.org/matter/dynamic-profile/view/1868609","18-1868609")</f>
        <v>0</v>
      </c>
      <c r="AD1490" t="s">
        <v>3446</v>
      </c>
      <c r="AE1490" t="s">
        <v>3481</v>
      </c>
      <c r="AF1490" t="s">
        <v>4586</v>
      </c>
      <c r="AG1490" t="s">
        <v>3359</v>
      </c>
      <c r="AH1490" t="s">
        <v>4906</v>
      </c>
      <c r="AK1490" t="s">
        <v>4911</v>
      </c>
      <c r="AL1490" t="s">
        <v>2179</v>
      </c>
      <c r="AN1490" t="s">
        <v>3415</v>
      </c>
    </row>
    <row r="1491" spans="1:41">
      <c r="A1491" s="1" t="s">
        <v>1527</v>
      </c>
      <c r="B1491" t="s">
        <v>2004</v>
      </c>
      <c r="C1491" t="s">
        <v>2016</v>
      </c>
      <c r="D1491" t="s">
        <v>2031</v>
      </c>
      <c r="E1491" t="s">
        <v>2112</v>
      </c>
      <c r="F1491" t="s">
        <v>2200</v>
      </c>
      <c r="G1491" t="s">
        <v>2214</v>
      </c>
      <c r="H1491">
        <v>11213</v>
      </c>
      <c r="I1491" t="s">
        <v>2230</v>
      </c>
      <c r="J1491">
        <v>4</v>
      </c>
      <c r="K1491">
        <v>2</v>
      </c>
      <c r="L1491" t="s">
        <v>2574</v>
      </c>
      <c r="M1491" t="s">
        <v>2677</v>
      </c>
      <c r="P1491" t="s">
        <v>3046</v>
      </c>
      <c r="Q1491" t="s">
        <v>2113</v>
      </c>
      <c r="R1491" t="s">
        <v>3258</v>
      </c>
      <c r="S1491" t="s">
        <v>3262</v>
      </c>
      <c r="T1491" t="s">
        <v>3294</v>
      </c>
      <c r="X1491" t="s">
        <v>3354</v>
      </c>
      <c r="Y1491" t="s">
        <v>2678</v>
      </c>
      <c r="Z1491" t="s">
        <v>3355</v>
      </c>
      <c r="AA1491" t="s">
        <v>3406</v>
      </c>
      <c r="AB1491" t="s">
        <v>3410</v>
      </c>
      <c r="AC1491">
        <f>HYPERLINK("https://lsnyc.legalserver.org/matter/dynamic-profile/view/1868621","18-1868621")</f>
        <v>0</v>
      </c>
      <c r="AD1491" t="s">
        <v>3446</v>
      </c>
      <c r="AE1491" t="s">
        <v>3481</v>
      </c>
      <c r="AF1491" t="s">
        <v>4587</v>
      </c>
      <c r="AG1491" t="s">
        <v>3355</v>
      </c>
      <c r="AH1491" t="s">
        <v>4904</v>
      </c>
      <c r="AK1491" t="s">
        <v>4911</v>
      </c>
      <c r="AL1491" t="s">
        <v>2200</v>
      </c>
      <c r="AM1491" t="s">
        <v>3294</v>
      </c>
      <c r="AN1491" t="s">
        <v>3410</v>
      </c>
    </row>
    <row r="1492" spans="1:41">
      <c r="A1492" s="1" t="s">
        <v>1528</v>
      </c>
      <c r="B1492" t="s">
        <v>2001</v>
      </c>
      <c r="C1492" t="s">
        <v>1998</v>
      </c>
      <c r="D1492" t="s">
        <v>2036</v>
      </c>
      <c r="E1492" t="s">
        <v>2112</v>
      </c>
      <c r="F1492" t="s">
        <v>2123</v>
      </c>
      <c r="G1492" t="s">
        <v>2213</v>
      </c>
      <c r="H1492">
        <v>10453</v>
      </c>
      <c r="I1492" t="s">
        <v>2229</v>
      </c>
      <c r="J1492">
        <v>5</v>
      </c>
      <c r="K1492">
        <v>2</v>
      </c>
      <c r="L1492" t="s">
        <v>2298</v>
      </c>
      <c r="M1492" t="s">
        <v>2677</v>
      </c>
      <c r="P1492" t="s">
        <v>3046</v>
      </c>
      <c r="Q1492" t="s">
        <v>2113</v>
      </c>
      <c r="R1492" t="s">
        <v>3258</v>
      </c>
      <c r="S1492" t="s">
        <v>3269</v>
      </c>
      <c r="T1492" t="s">
        <v>3294</v>
      </c>
      <c r="U1492" t="s">
        <v>3031</v>
      </c>
      <c r="V1492" t="s">
        <v>3352</v>
      </c>
      <c r="X1492" t="s">
        <v>3354</v>
      </c>
      <c r="Y1492" t="s">
        <v>2678</v>
      </c>
      <c r="Z1492" t="s">
        <v>3361</v>
      </c>
      <c r="AA1492" t="s">
        <v>3406</v>
      </c>
      <c r="AB1492" t="s">
        <v>3417</v>
      </c>
      <c r="AC1492">
        <f>HYPERLINK("https://lsnyc.legalserver.org/matter/dynamic-profile/view/1868637","18-1868637")</f>
        <v>0</v>
      </c>
      <c r="AD1492" t="s">
        <v>3444</v>
      </c>
      <c r="AE1492" t="s">
        <v>3468</v>
      </c>
      <c r="AF1492" t="s">
        <v>3567</v>
      </c>
      <c r="AG1492" t="s">
        <v>3361</v>
      </c>
      <c r="AH1492" t="s">
        <v>4904</v>
      </c>
      <c r="AK1492" t="s">
        <v>4911</v>
      </c>
      <c r="AL1492" t="s">
        <v>2123</v>
      </c>
      <c r="AM1492" t="s">
        <v>3294</v>
      </c>
      <c r="AN1492" t="s">
        <v>3417</v>
      </c>
      <c r="AO1492" t="s">
        <v>3352</v>
      </c>
    </row>
    <row r="1493" spans="1:41">
      <c r="A1493" s="1" t="s">
        <v>1529</v>
      </c>
      <c r="B1493" t="s">
        <v>1998</v>
      </c>
      <c r="C1493" t="s">
        <v>2001</v>
      </c>
      <c r="D1493" t="s">
        <v>2037</v>
      </c>
      <c r="E1493" t="s">
        <v>2111</v>
      </c>
      <c r="F1493" t="s">
        <v>2117</v>
      </c>
      <c r="G1493" t="s">
        <v>2213</v>
      </c>
      <c r="H1493">
        <v>10451</v>
      </c>
      <c r="I1493" t="s">
        <v>2229</v>
      </c>
      <c r="J1493">
        <v>4</v>
      </c>
      <c r="K1493">
        <v>2</v>
      </c>
      <c r="L1493" t="s">
        <v>2300</v>
      </c>
      <c r="M1493" t="s">
        <v>2677</v>
      </c>
      <c r="P1493" t="s">
        <v>2824</v>
      </c>
      <c r="Q1493" t="s">
        <v>2113</v>
      </c>
      <c r="R1493" t="s">
        <v>3259</v>
      </c>
      <c r="S1493" t="s">
        <v>3267</v>
      </c>
      <c r="V1493" t="s">
        <v>3353</v>
      </c>
      <c r="X1493" t="s">
        <v>3354</v>
      </c>
      <c r="Y1493" t="s">
        <v>2678</v>
      </c>
      <c r="Z1493" t="s">
        <v>3359</v>
      </c>
      <c r="AA1493" t="s">
        <v>3406</v>
      </c>
      <c r="AB1493" t="s">
        <v>3415</v>
      </c>
      <c r="AC1493">
        <f>HYPERLINK("https://lsnyc.legalserver.org/matter/dynamic-profile/view/1868639","18-1868639")</f>
        <v>0</v>
      </c>
      <c r="AD1493" t="s">
        <v>3444</v>
      </c>
      <c r="AE1493" t="s">
        <v>3468</v>
      </c>
      <c r="AF1493" t="s">
        <v>4330</v>
      </c>
      <c r="AG1493" t="s">
        <v>3359</v>
      </c>
      <c r="AH1493" t="s">
        <v>4906</v>
      </c>
      <c r="AL1493" t="s">
        <v>2117</v>
      </c>
      <c r="AN1493" t="s">
        <v>3415</v>
      </c>
      <c r="AO1493" t="s">
        <v>3353</v>
      </c>
    </row>
    <row r="1494" spans="1:41">
      <c r="A1494" s="1" t="s">
        <v>1530</v>
      </c>
      <c r="B1494" t="s">
        <v>2001</v>
      </c>
      <c r="C1494" t="s">
        <v>1998</v>
      </c>
      <c r="D1494" t="s">
        <v>2069</v>
      </c>
      <c r="E1494" t="s">
        <v>2111</v>
      </c>
      <c r="F1494" t="s">
        <v>2117</v>
      </c>
      <c r="G1494" t="s">
        <v>2213</v>
      </c>
      <c r="H1494">
        <v>10474</v>
      </c>
      <c r="I1494" t="s">
        <v>2229</v>
      </c>
      <c r="J1494">
        <v>1</v>
      </c>
      <c r="K1494">
        <v>0</v>
      </c>
      <c r="L1494" t="s">
        <v>2260</v>
      </c>
      <c r="M1494" t="s">
        <v>2677</v>
      </c>
      <c r="P1494" t="s">
        <v>3047</v>
      </c>
      <c r="Q1494" t="s">
        <v>2113</v>
      </c>
      <c r="R1494" t="s">
        <v>3259</v>
      </c>
      <c r="S1494" t="s">
        <v>3267</v>
      </c>
      <c r="X1494" t="s">
        <v>3354</v>
      </c>
      <c r="Y1494" t="s">
        <v>2677</v>
      </c>
      <c r="Z1494" t="s">
        <v>3359</v>
      </c>
      <c r="AA1494" t="s">
        <v>3406</v>
      </c>
      <c r="AB1494" t="s">
        <v>3415</v>
      </c>
      <c r="AC1494">
        <f>HYPERLINK("https://lsnyc.legalserver.org/matter/dynamic-profile/view/1868390","18-1868390")</f>
        <v>0</v>
      </c>
      <c r="AD1494" t="s">
        <v>3445</v>
      </c>
      <c r="AE1494" t="s">
        <v>3455</v>
      </c>
      <c r="AF1494" t="s">
        <v>3910</v>
      </c>
      <c r="AG1494" t="s">
        <v>3359</v>
      </c>
      <c r="AH1494" t="s">
        <v>4904</v>
      </c>
      <c r="AK1494" t="s">
        <v>4911</v>
      </c>
      <c r="AL1494" t="s">
        <v>2117</v>
      </c>
      <c r="AN1494" t="s">
        <v>3415</v>
      </c>
    </row>
    <row r="1495" spans="1:41">
      <c r="A1495" s="1" t="s">
        <v>1531</v>
      </c>
      <c r="B1495" t="s">
        <v>1998</v>
      </c>
      <c r="C1495" t="s">
        <v>2001</v>
      </c>
      <c r="D1495" t="s">
        <v>2074</v>
      </c>
      <c r="E1495" t="s">
        <v>2112</v>
      </c>
      <c r="F1495" t="s">
        <v>2122</v>
      </c>
      <c r="G1495" t="s">
        <v>2213</v>
      </c>
      <c r="H1495">
        <v>10467</v>
      </c>
      <c r="I1495" t="s">
        <v>2230</v>
      </c>
      <c r="J1495">
        <v>4</v>
      </c>
      <c r="K1495">
        <v>0</v>
      </c>
      <c r="L1495" t="s">
        <v>2394</v>
      </c>
      <c r="M1495" t="s">
        <v>2677</v>
      </c>
      <c r="P1495" t="s">
        <v>3023</v>
      </c>
      <c r="Q1495" t="s">
        <v>2113</v>
      </c>
      <c r="R1495" t="s">
        <v>3259</v>
      </c>
      <c r="S1495" t="s">
        <v>3270</v>
      </c>
      <c r="X1495" t="s">
        <v>3354</v>
      </c>
      <c r="Y1495" t="s">
        <v>2677</v>
      </c>
      <c r="Z1495" t="s">
        <v>3362</v>
      </c>
      <c r="AA1495" t="s">
        <v>3406</v>
      </c>
      <c r="AB1495" t="s">
        <v>3418</v>
      </c>
      <c r="AC1495">
        <f>HYPERLINK("https://lsnyc.legalserver.org/matter/dynamic-profile/view/1868443","18-1868443")</f>
        <v>0</v>
      </c>
      <c r="AD1495" t="s">
        <v>3445</v>
      </c>
      <c r="AE1495" t="s">
        <v>3455</v>
      </c>
      <c r="AF1495" t="s">
        <v>4213</v>
      </c>
      <c r="AG1495" t="s">
        <v>3362</v>
      </c>
      <c r="AH1495" t="s">
        <v>4904</v>
      </c>
      <c r="AK1495" t="s">
        <v>4911</v>
      </c>
      <c r="AL1495" t="s">
        <v>2122</v>
      </c>
      <c r="AN1495" t="s">
        <v>3418</v>
      </c>
    </row>
    <row r="1496" spans="1:41">
      <c r="A1496" s="1" t="s">
        <v>1532</v>
      </c>
      <c r="B1496" t="s">
        <v>2001</v>
      </c>
      <c r="C1496" t="s">
        <v>2000</v>
      </c>
      <c r="D1496" t="s">
        <v>2089</v>
      </c>
      <c r="E1496" t="s">
        <v>2112</v>
      </c>
      <c r="F1496" t="s">
        <v>2123</v>
      </c>
      <c r="G1496" t="s">
        <v>2211</v>
      </c>
      <c r="H1496">
        <v>10032</v>
      </c>
      <c r="I1496" t="s">
        <v>2229</v>
      </c>
      <c r="J1496">
        <v>2</v>
      </c>
      <c r="K1496">
        <v>0</v>
      </c>
      <c r="L1496" t="s">
        <v>2438</v>
      </c>
      <c r="M1496" t="s">
        <v>2677</v>
      </c>
      <c r="P1496" t="s">
        <v>3047</v>
      </c>
      <c r="Q1496" t="s">
        <v>2113</v>
      </c>
      <c r="R1496" t="s">
        <v>3258</v>
      </c>
      <c r="S1496" t="s">
        <v>3271</v>
      </c>
      <c r="X1496" t="s">
        <v>3354</v>
      </c>
      <c r="Y1496" t="s">
        <v>2677</v>
      </c>
      <c r="Z1496" t="s">
        <v>3362</v>
      </c>
      <c r="AA1496" t="s">
        <v>3406</v>
      </c>
      <c r="AB1496" t="s">
        <v>3419</v>
      </c>
      <c r="AC1496">
        <f>HYPERLINK("https://lsnyc.legalserver.org/matter/dynamic-profile/view/1868479","18-1868479")</f>
        <v>0</v>
      </c>
      <c r="AD1496" t="s">
        <v>3445</v>
      </c>
      <c r="AE1496" t="s">
        <v>3452</v>
      </c>
      <c r="AF1496" t="s">
        <v>4036</v>
      </c>
      <c r="AG1496" t="s">
        <v>3362</v>
      </c>
      <c r="AH1496" t="s">
        <v>4904</v>
      </c>
      <c r="AK1496" t="s">
        <v>4911</v>
      </c>
      <c r="AL1496" t="s">
        <v>2123</v>
      </c>
      <c r="AN1496" t="s">
        <v>3419</v>
      </c>
    </row>
    <row r="1497" spans="1:41">
      <c r="A1497" s="1" t="s">
        <v>1533</v>
      </c>
      <c r="B1497" t="s">
        <v>1998</v>
      </c>
      <c r="C1497" t="s">
        <v>2002</v>
      </c>
      <c r="D1497" t="s">
        <v>2059</v>
      </c>
      <c r="E1497" t="s">
        <v>2112</v>
      </c>
      <c r="F1497" t="s">
        <v>2123</v>
      </c>
      <c r="G1497" t="s">
        <v>2213</v>
      </c>
      <c r="H1497">
        <v>10451</v>
      </c>
      <c r="I1497" t="s">
        <v>2229</v>
      </c>
      <c r="J1497">
        <v>1</v>
      </c>
      <c r="K1497">
        <v>0</v>
      </c>
      <c r="L1497" t="s">
        <v>2575</v>
      </c>
      <c r="M1497" t="s">
        <v>2677</v>
      </c>
      <c r="P1497" t="s">
        <v>3023</v>
      </c>
      <c r="Q1497" t="s">
        <v>2113</v>
      </c>
      <c r="R1497" t="s">
        <v>3258</v>
      </c>
      <c r="S1497" t="s">
        <v>3271</v>
      </c>
      <c r="X1497" t="s">
        <v>3354</v>
      </c>
      <c r="Y1497" t="s">
        <v>2677</v>
      </c>
      <c r="Z1497" t="s">
        <v>3362</v>
      </c>
      <c r="AA1497" t="s">
        <v>3406</v>
      </c>
      <c r="AB1497" t="s">
        <v>3419</v>
      </c>
      <c r="AC1497">
        <f>HYPERLINK("https://lsnyc.legalserver.org/matter/dynamic-profile/view/1868157","18-1868157")</f>
        <v>0</v>
      </c>
      <c r="AD1497" t="s">
        <v>3445</v>
      </c>
      <c r="AE1497" t="s">
        <v>3455</v>
      </c>
      <c r="AF1497" t="s">
        <v>4588</v>
      </c>
      <c r="AG1497" t="s">
        <v>3362</v>
      </c>
      <c r="AH1497" t="s">
        <v>4904</v>
      </c>
      <c r="AK1497" t="s">
        <v>4911</v>
      </c>
      <c r="AL1497" t="s">
        <v>2123</v>
      </c>
      <c r="AN1497" t="s">
        <v>3419</v>
      </c>
    </row>
    <row r="1498" spans="1:41">
      <c r="A1498" s="1" t="s">
        <v>1534</v>
      </c>
      <c r="B1498" t="s">
        <v>2016</v>
      </c>
      <c r="C1498" t="s">
        <v>2003</v>
      </c>
      <c r="D1498" t="s">
        <v>2083</v>
      </c>
      <c r="E1498" t="s">
        <v>2112</v>
      </c>
      <c r="F1498" t="s">
        <v>2123</v>
      </c>
      <c r="G1498" t="s">
        <v>2214</v>
      </c>
      <c r="H1498">
        <v>11212</v>
      </c>
      <c r="I1498" t="s">
        <v>2229</v>
      </c>
      <c r="J1498">
        <v>4</v>
      </c>
      <c r="K1498">
        <v>2</v>
      </c>
      <c r="L1498" t="s">
        <v>2497</v>
      </c>
      <c r="M1498" t="s">
        <v>2677</v>
      </c>
      <c r="P1498" t="s">
        <v>3023</v>
      </c>
      <c r="Q1498" t="s">
        <v>2113</v>
      </c>
      <c r="R1498" t="s">
        <v>3258</v>
      </c>
      <c r="S1498" t="s">
        <v>3271</v>
      </c>
      <c r="X1498" t="s">
        <v>3354</v>
      </c>
      <c r="Y1498" t="s">
        <v>2677</v>
      </c>
      <c r="Z1498" t="s">
        <v>3362</v>
      </c>
      <c r="AA1498" t="s">
        <v>3406</v>
      </c>
      <c r="AB1498" t="s">
        <v>3419</v>
      </c>
      <c r="AC1498">
        <f>HYPERLINK("https://lsnyc.legalserver.org/matter/dynamic-profile/view/1868164","18-1868164")</f>
        <v>0</v>
      </c>
      <c r="AD1498" t="s">
        <v>3445</v>
      </c>
      <c r="AE1498" t="s">
        <v>3455</v>
      </c>
      <c r="AF1498" t="s">
        <v>4329</v>
      </c>
      <c r="AG1498" t="s">
        <v>3362</v>
      </c>
      <c r="AH1498" t="s">
        <v>4904</v>
      </c>
      <c r="AK1498" t="s">
        <v>4911</v>
      </c>
      <c r="AL1498" t="s">
        <v>2123</v>
      </c>
      <c r="AN1498" t="s">
        <v>3419</v>
      </c>
    </row>
    <row r="1499" spans="1:41">
      <c r="A1499" s="1" t="s">
        <v>1535</v>
      </c>
      <c r="B1499" t="s">
        <v>2000</v>
      </c>
      <c r="C1499" t="s">
        <v>2000</v>
      </c>
      <c r="D1499" t="s">
        <v>2081</v>
      </c>
      <c r="E1499" t="s">
        <v>2112</v>
      </c>
      <c r="F1499" t="s">
        <v>2121</v>
      </c>
      <c r="G1499" t="s">
        <v>2212</v>
      </c>
      <c r="H1499">
        <v>11420</v>
      </c>
      <c r="I1499" t="s">
        <v>2229</v>
      </c>
      <c r="J1499">
        <v>2</v>
      </c>
      <c r="K1499">
        <v>1</v>
      </c>
      <c r="L1499" t="s">
        <v>2541</v>
      </c>
      <c r="M1499" t="s">
        <v>2677</v>
      </c>
      <c r="P1499" t="s">
        <v>3048</v>
      </c>
      <c r="Q1499" t="s">
        <v>2113</v>
      </c>
      <c r="R1499" t="s">
        <v>3259</v>
      </c>
      <c r="S1499" t="s">
        <v>3276</v>
      </c>
      <c r="X1499" t="s">
        <v>3354</v>
      </c>
      <c r="Y1499" t="s">
        <v>2677</v>
      </c>
      <c r="Z1499" t="s">
        <v>3373</v>
      </c>
      <c r="AA1499" t="s">
        <v>3406</v>
      </c>
      <c r="AB1499" t="s">
        <v>3424</v>
      </c>
      <c r="AC1499">
        <f>HYPERLINK("https://lsnyc.legalserver.org/matter/dynamic-profile/view/1868185","18-1868185")</f>
        <v>0</v>
      </c>
      <c r="AD1499" t="s">
        <v>3445</v>
      </c>
      <c r="AE1499" t="s">
        <v>3455</v>
      </c>
      <c r="AF1499" t="s">
        <v>4589</v>
      </c>
      <c r="AG1499" t="s">
        <v>3373</v>
      </c>
      <c r="AH1499" t="s">
        <v>4904</v>
      </c>
      <c r="AK1499" t="s">
        <v>4911</v>
      </c>
      <c r="AL1499" t="s">
        <v>2121</v>
      </c>
      <c r="AN1499" t="s">
        <v>3424</v>
      </c>
    </row>
    <row r="1500" spans="1:41">
      <c r="A1500" s="1" t="s">
        <v>1536</v>
      </c>
      <c r="B1500" t="s">
        <v>2001</v>
      </c>
      <c r="C1500" t="s">
        <v>1998</v>
      </c>
      <c r="D1500" t="s">
        <v>2032</v>
      </c>
      <c r="E1500" t="s">
        <v>2112</v>
      </c>
      <c r="F1500" t="s">
        <v>2117</v>
      </c>
      <c r="G1500" t="s">
        <v>2213</v>
      </c>
      <c r="H1500">
        <v>10453</v>
      </c>
      <c r="I1500" t="s">
        <v>2229</v>
      </c>
      <c r="J1500">
        <v>1</v>
      </c>
      <c r="K1500">
        <v>0</v>
      </c>
      <c r="L1500" t="s">
        <v>2305</v>
      </c>
      <c r="M1500" t="s">
        <v>2677</v>
      </c>
      <c r="P1500" t="s">
        <v>3048</v>
      </c>
      <c r="Q1500" t="s">
        <v>3255</v>
      </c>
      <c r="R1500" t="s">
        <v>3258</v>
      </c>
      <c r="S1500" t="s">
        <v>3271</v>
      </c>
      <c r="T1500" t="s">
        <v>3294</v>
      </c>
      <c r="U1500" t="s">
        <v>2851</v>
      </c>
      <c r="X1500" t="s">
        <v>3354</v>
      </c>
      <c r="Y1500" t="s">
        <v>2678</v>
      </c>
      <c r="Z1500" t="s">
        <v>3362</v>
      </c>
      <c r="AA1500" t="s">
        <v>3406</v>
      </c>
      <c r="AB1500" t="s">
        <v>3419</v>
      </c>
      <c r="AC1500">
        <f>HYPERLINK("https://lsnyc.legalserver.org/matter/dynamic-profile/view/1868266","18-1868266")</f>
        <v>0</v>
      </c>
      <c r="AD1500" t="s">
        <v>3444</v>
      </c>
      <c r="AE1500" t="s">
        <v>3475</v>
      </c>
      <c r="AF1500" t="s">
        <v>4590</v>
      </c>
      <c r="AG1500" t="s">
        <v>3362</v>
      </c>
      <c r="AH1500" t="s">
        <v>4904</v>
      </c>
      <c r="AK1500" t="s">
        <v>4911</v>
      </c>
      <c r="AL1500" t="s">
        <v>2117</v>
      </c>
      <c r="AM1500" t="s">
        <v>3294</v>
      </c>
      <c r="AN1500" t="s">
        <v>3419</v>
      </c>
    </row>
    <row r="1501" spans="1:41">
      <c r="A1501" s="1" t="s">
        <v>1537</v>
      </c>
      <c r="B1501" t="s">
        <v>2016</v>
      </c>
      <c r="C1501" t="s">
        <v>1998</v>
      </c>
      <c r="D1501" t="s">
        <v>2081</v>
      </c>
      <c r="E1501" t="s">
        <v>2112</v>
      </c>
      <c r="F1501" t="s">
        <v>2123</v>
      </c>
      <c r="G1501" t="s">
        <v>2214</v>
      </c>
      <c r="H1501">
        <v>11220</v>
      </c>
      <c r="I1501" t="s">
        <v>2229</v>
      </c>
      <c r="J1501">
        <v>3</v>
      </c>
      <c r="K1501">
        <v>2</v>
      </c>
      <c r="L1501" t="s">
        <v>2576</v>
      </c>
      <c r="M1501" t="s">
        <v>2677</v>
      </c>
      <c r="P1501" t="s">
        <v>3023</v>
      </c>
      <c r="Q1501" t="s">
        <v>2113</v>
      </c>
      <c r="R1501" t="s">
        <v>3259</v>
      </c>
      <c r="S1501" t="s">
        <v>3270</v>
      </c>
      <c r="X1501" t="s">
        <v>3354</v>
      </c>
      <c r="Y1501" t="s">
        <v>2677</v>
      </c>
      <c r="Z1501" t="s">
        <v>3362</v>
      </c>
      <c r="AA1501" t="s">
        <v>3406</v>
      </c>
      <c r="AB1501" t="s">
        <v>3418</v>
      </c>
      <c r="AC1501">
        <f>HYPERLINK("https://lsnyc.legalserver.org/matter/dynamic-profile/view/1868046","18-1868046")</f>
        <v>0</v>
      </c>
      <c r="AD1501" t="s">
        <v>3445</v>
      </c>
      <c r="AE1501" t="s">
        <v>3455</v>
      </c>
      <c r="AF1501" t="s">
        <v>4591</v>
      </c>
      <c r="AG1501" t="s">
        <v>3362</v>
      </c>
      <c r="AH1501" t="s">
        <v>4904</v>
      </c>
      <c r="AK1501" t="s">
        <v>4911</v>
      </c>
      <c r="AL1501" t="s">
        <v>2123</v>
      </c>
      <c r="AN1501" t="s">
        <v>3418</v>
      </c>
    </row>
    <row r="1502" spans="1:41">
      <c r="A1502" s="1" t="s">
        <v>1538</v>
      </c>
      <c r="B1502" t="s">
        <v>1998</v>
      </c>
      <c r="C1502" t="s">
        <v>2001</v>
      </c>
      <c r="D1502" t="s">
        <v>2071</v>
      </c>
      <c r="E1502" t="s">
        <v>2111</v>
      </c>
      <c r="F1502" t="s">
        <v>2123</v>
      </c>
      <c r="G1502" t="s">
        <v>2212</v>
      </c>
      <c r="H1502">
        <v>11432</v>
      </c>
      <c r="I1502" t="s">
        <v>2229</v>
      </c>
      <c r="J1502">
        <v>1</v>
      </c>
      <c r="K1502">
        <v>0</v>
      </c>
      <c r="L1502" t="s">
        <v>2577</v>
      </c>
      <c r="M1502" t="s">
        <v>2677</v>
      </c>
      <c r="P1502" t="s">
        <v>3049</v>
      </c>
      <c r="Q1502" t="s">
        <v>2113</v>
      </c>
      <c r="R1502" t="s">
        <v>3258</v>
      </c>
      <c r="S1502" t="s">
        <v>3271</v>
      </c>
      <c r="X1502" t="s">
        <v>3354</v>
      </c>
      <c r="Y1502" t="s">
        <v>2678</v>
      </c>
      <c r="Z1502" t="s">
        <v>3362</v>
      </c>
      <c r="AA1502" t="s">
        <v>3406</v>
      </c>
      <c r="AB1502" t="s">
        <v>3419</v>
      </c>
      <c r="AC1502">
        <f>HYPERLINK("https://lsnyc.legalserver.org/matter/dynamic-profile/view/1868135","18-1868135")</f>
        <v>0</v>
      </c>
      <c r="AD1502" t="s">
        <v>3443</v>
      </c>
      <c r="AE1502" t="s">
        <v>3477</v>
      </c>
      <c r="AF1502" t="s">
        <v>4592</v>
      </c>
      <c r="AG1502" t="s">
        <v>3362</v>
      </c>
      <c r="AH1502" t="s">
        <v>4904</v>
      </c>
      <c r="AK1502" t="s">
        <v>4911</v>
      </c>
      <c r="AL1502" t="s">
        <v>2123</v>
      </c>
      <c r="AN1502" t="s">
        <v>3419</v>
      </c>
    </row>
    <row r="1503" spans="1:41">
      <c r="A1503" s="1" t="s">
        <v>1539</v>
      </c>
      <c r="B1503" t="s">
        <v>2001</v>
      </c>
      <c r="C1503" t="s">
        <v>2005</v>
      </c>
      <c r="D1503" t="s">
        <v>2060</v>
      </c>
      <c r="E1503" t="s">
        <v>2112</v>
      </c>
      <c r="F1503" t="s">
        <v>2120</v>
      </c>
      <c r="G1503" t="s">
        <v>2213</v>
      </c>
      <c r="H1503">
        <v>10453</v>
      </c>
      <c r="I1503" t="s">
        <v>2230</v>
      </c>
      <c r="J1503">
        <v>3</v>
      </c>
      <c r="K1503">
        <v>1</v>
      </c>
      <c r="L1503" t="s">
        <v>2275</v>
      </c>
      <c r="M1503" t="s">
        <v>2677</v>
      </c>
      <c r="P1503" t="s">
        <v>3050</v>
      </c>
      <c r="Q1503" t="s">
        <v>2113</v>
      </c>
      <c r="R1503" t="s">
        <v>3259</v>
      </c>
      <c r="S1503" t="s">
        <v>3267</v>
      </c>
      <c r="X1503" t="s">
        <v>3354</v>
      </c>
      <c r="Y1503" t="s">
        <v>2678</v>
      </c>
      <c r="Z1503" t="s">
        <v>3359</v>
      </c>
      <c r="AA1503" t="s">
        <v>3406</v>
      </c>
      <c r="AB1503" t="s">
        <v>3415</v>
      </c>
      <c r="AC1503">
        <f>HYPERLINK("https://lsnyc.legalserver.org/matter/dynamic-profile/view/1867964","18-1867964")</f>
        <v>0</v>
      </c>
      <c r="AD1503" t="s">
        <v>3444</v>
      </c>
      <c r="AE1503" t="s">
        <v>3466</v>
      </c>
      <c r="AF1503" t="s">
        <v>4482</v>
      </c>
      <c r="AG1503" t="s">
        <v>3359</v>
      </c>
      <c r="AH1503" t="s">
        <v>4906</v>
      </c>
      <c r="AK1503" t="s">
        <v>4911</v>
      </c>
      <c r="AL1503" t="s">
        <v>2120</v>
      </c>
      <c r="AN1503" t="s">
        <v>3415</v>
      </c>
    </row>
    <row r="1504" spans="1:41">
      <c r="A1504" s="1" t="s">
        <v>1540</v>
      </c>
      <c r="B1504" t="s">
        <v>2001</v>
      </c>
      <c r="C1504" t="s">
        <v>2001</v>
      </c>
      <c r="D1504" t="s">
        <v>2055</v>
      </c>
      <c r="E1504" t="s">
        <v>2112</v>
      </c>
      <c r="F1504" t="s">
        <v>2123</v>
      </c>
      <c r="G1504" t="s">
        <v>2212</v>
      </c>
      <c r="H1504">
        <v>11435</v>
      </c>
      <c r="I1504" t="s">
        <v>2229</v>
      </c>
      <c r="J1504">
        <v>1</v>
      </c>
      <c r="K1504">
        <v>0</v>
      </c>
      <c r="L1504" t="s">
        <v>2266</v>
      </c>
      <c r="M1504" t="s">
        <v>2677</v>
      </c>
      <c r="P1504" t="s">
        <v>3050</v>
      </c>
      <c r="Q1504" t="s">
        <v>2113</v>
      </c>
      <c r="R1504" t="s">
        <v>3258</v>
      </c>
      <c r="S1504" t="s">
        <v>3271</v>
      </c>
      <c r="X1504" t="s">
        <v>3354</v>
      </c>
      <c r="Y1504" t="s">
        <v>2678</v>
      </c>
      <c r="Z1504" t="s">
        <v>3362</v>
      </c>
      <c r="AA1504" t="s">
        <v>3406</v>
      </c>
      <c r="AB1504" t="s">
        <v>3419</v>
      </c>
      <c r="AC1504">
        <f>HYPERLINK("https://lsnyc.legalserver.org/matter/dynamic-profile/view/1867993","18-1867993")</f>
        <v>0</v>
      </c>
      <c r="AD1504" t="s">
        <v>3443</v>
      </c>
      <c r="AE1504" t="s">
        <v>3477</v>
      </c>
      <c r="AF1504" t="s">
        <v>4593</v>
      </c>
      <c r="AG1504" t="s">
        <v>3362</v>
      </c>
      <c r="AH1504" t="s">
        <v>4904</v>
      </c>
      <c r="AK1504" t="s">
        <v>4911</v>
      </c>
      <c r="AL1504" t="s">
        <v>2123</v>
      </c>
      <c r="AN1504" t="s">
        <v>3419</v>
      </c>
    </row>
    <row r="1505" spans="1:40">
      <c r="A1505" s="1" t="s">
        <v>1541</v>
      </c>
      <c r="B1505" t="s">
        <v>2001</v>
      </c>
      <c r="C1505" t="s">
        <v>2002</v>
      </c>
      <c r="D1505" t="s">
        <v>2085</v>
      </c>
      <c r="E1505" t="s">
        <v>2111</v>
      </c>
      <c r="F1505" t="s">
        <v>2123</v>
      </c>
      <c r="G1505" t="s">
        <v>2211</v>
      </c>
      <c r="H1505">
        <v>10034</v>
      </c>
      <c r="J1505">
        <v>2</v>
      </c>
      <c r="K1505">
        <v>0</v>
      </c>
      <c r="L1505" t="s">
        <v>2566</v>
      </c>
      <c r="M1505" t="s">
        <v>2677</v>
      </c>
      <c r="P1505" t="s">
        <v>3051</v>
      </c>
      <c r="Q1505" t="s">
        <v>2113</v>
      </c>
      <c r="R1505" t="s">
        <v>3259</v>
      </c>
      <c r="S1505" t="s">
        <v>3270</v>
      </c>
      <c r="X1505" t="s">
        <v>3354</v>
      </c>
      <c r="Y1505" t="s">
        <v>2677</v>
      </c>
      <c r="Z1505" t="s">
        <v>3388</v>
      </c>
      <c r="AA1505" t="s">
        <v>3406</v>
      </c>
      <c r="AB1505" t="s">
        <v>3418</v>
      </c>
      <c r="AC1505">
        <f>HYPERLINK("https://lsnyc.legalserver.org/matter/dynamic-profile/view/1867875","18-1867875")</f>
        <v>0</v>
      </c>
      <c r="AD1505" t="s">
        <v>3445</v>
      </c>
      <c r="AE1505" t="s">
        <v>3455</v>
      </c>
      <c r="AF1505" t="s">
        <v>4567</v>
      </c>
      <c r="AG1505" t="s">
        <v>3388</v>
      </c>
      <c r="AH1505" t="s">
        <v>4904</v>
      </c>
      <c r="AK1505" t="s">
        <v>4911</v>
      </c>
      <c r="AL1505" t="s">
        <v>2123</v>
      </c>
      <c r="AN1505" t="s">
        <v>3418</v>
      </c>
    </row>
    <row r="1506" spans="1:40">
      <c r="A1506" s="1" t="s">
        <v>1542</v>
      </c>
      <c r="B1506" t="s">
        <v>2007</v>
      </c>
      <c r="C1506" t="s">
        <v>2001</v>
      </c>
      <c r="D1506" t="s">
        <v>2072</v>
      </c>
      <c r="E1506" t="s">
        <v>2111</v>
      </c>
      <c r="F1506" t="s">
        <v>2116</v>
      </c>
      <c r="G1506" t="s">
        <v>2212</v>
      </c>
      <c r="H1506">
        <v>7047</v>
      </c>
      <c r="J1506">
        <v>5</v>
      </c>
      <c r="K1506">
        <v>3</v>
      </c>
      <c r="L1506" t="s">
        <v>2294</v>
      </c>
      <c r="M1506" t="s">
        <v>2677</v>
      </c>
      <c r="P1506" t="s">
        <v>3051</v>
      </c>
      <c r="Q1506" t="s">
        <v>2113</v>
      </c>
      <c r="R1506" t="s">
        <v>3258</v>
      </c>
      <c r="S1506" t="s">
        <v>3265</v>
      </c>
      <c r="X1506" t="s">
        <v>3354</v>
      </c>
      <c r="Y1506" t="s">
        <v>2677</v>
      </c>
      <c r="Z1506" t="s">
        <v>3358</v>
      </c>
      <c r="AA1506" t="s">
        <v>3406</v>
      </c>
      <c r="AB1506" t="s">
        <v>3413</v>
      </c>
      <c r="AC1506">
        <f>HYPERLINK("https://lsnyc.legalserver.org/matter/dynamic-profile/view/1867918","18-1867918")</f>
        <v>0</v>
      </c>
      <c r="AD1506" t="s">
        <v>3445</v>
      </c>
      <c r="AE1506" t="s">
        <v>3455</v>
      </c>
      <c r="AF1506" t="s">
        <v>4594</v>
      </c>
      <c r="AG1506" t="s">
        <v>3358</v>
      </c>
      <c r="AH1506" t="s">
        <v>4904</v>
      </c>
      <c r="AK1506" t="s">
        <v>4911</v>
      </c>
      <c r="AL1506" t="s">
        <v>2116</v>
      </c>
      <c r="AN1506" t="s">
        <v>3413</v>
      </c>
    </row>
    <row r="1507" spans="1:40">
      <c r="A1507" s="1" t="s">
        <v>1543</v>
      </c>
      <c r="B1507" t="s">
        <v>2012</v>
      </c>
      <c r="C1507" t="s">
        <v>1998</v>
      </c>
      <c r="D1507" t="s">
        <v>2067</v>
      </c>
      <c r="E1507" t="s">
        <v>2112</v>
      </c>
      <c r="F1507" t="s">
        <v>2116</v>
      </c>
      <c r="G1507" t="s">
        <v>2212</v>
      </c>
      <c r="H1507">
        <v>7047</v>
      </c>
      <c r="J1507">
        <v>5</v>
      </c>
      <c r="K1507">
        <v>3</v>
      </c>
      <c r="L1507" t="s">
        <v>2294</v>
      </c>
      <c r="M1507" t="s">
        <v>2677</v>
      </c>
      <c r="P1507" t="s">
        <v>3051</v>
      </c>
      <c r="Q1507" t="s">
        <v>2113</v>
      </c>
      <c r="R1507" t="s">
        <v>3258</v>
      </c>
      <c r="S1507" t="s">
        <v>3265</v>
      </c>
      <c r="X1507" t="s">
        <v>3354</v>
      </c>
      <c r="Y1507" t="s">
        <v>2677</v>
      </c>
      <c r="Z1507" t="s">
        <v>3358</v>
      </c>
      <c r="AA1507" t="s">
        <v>3406</v>
      </c>
      <c r="AB1507" t="s">
        <v>3413</v>
      </c>
      <c r="AC1507">
        <f>HYPERLINK("https://lsnyc.legalserver.org/matter/dynamic-profile/view/1867930","18-1867930")</f>
        <v>0</v>
      </c>
      <c r="AD1507" t="s">
        <v>3445</v>
      </c>
      <c r="AE1507" t="s">
        <v>3455</v>
      </c>
      <c r="AF1507" t="s">
        <v>4595</v>
      </c>
      <c r="AG1507" t="s">
        <v>3358</v>
      </c>
      <c r="AH1507" t="s">
        <v>4904</v>
      </c>
      <c r="AK1507" t="s">
        <v>4911</v>
      </c>
      <c r="AL1507" t="s">
        <v>2116</v>
      </c>
      <c r="AN1507" t="s">
        <v>3413</v>
      </c>
    </row>
    <row r="1508" spans="1:40">
      <c r="A1508" s="1" t="s">
        <v>1544</v>
      </c>
      <c r="B1508" t="s">
        <v>1998</v>
      </c>
      <c r="C1508" t="s">
        <v>2002</v>
      </c>
      <c r="D1508" t="s">
        <v>2050</v>
      </c>
      <c r="E1508" t="s">
        <v>2111</v>
      </c>
      <c r="F1508" t="s">
        <v>2129</v>
      </c>
      <c r="G1508" t="s">
        <v>2214</v>
      </c>
      <c r="H1508">
        <v>11219</v>
      </c>
      <c r="I1508" t="s">
        <v>2230</v>
      </c>
      <c r="J1508">
        <v>1</v>
      </c>
      <c r="K1508">
        <v>0</v>
      </c>
      <c r="L1508" t="s">
        <v>2264</v>
      </c>
      <c r="M1508" t="s">
        <v>2677</v>
      </c>
      <c r="P1508" t="s">
        <v>3052</v>
      </c>
      <c r="Q1508" t="s">
        <v>2113</v>
      </c>
      <c r="R1508" t="s">
        <v>3259</v>
      </c>
      <c r="S1508" t="s">
        <v>3267</v>
      </c>
      <c r="X1508" t="s">
        <v>3354</v>
      </c>
      <c r="Y1508" t="s">
        <v>2678</v>
      </c>
      <c r="Z1508" t="s">
        <v>3380</v>
      </c>
      <c r="AA1508" t="s">
        <v>3406</v>
      </c>
      <c r="AB1508" t="s">
        <v>3415</v>
      </c>
      <c r="AC1508">
        <f>HYPERLINK("https://lsnyc.legalserver.org/matter/dynamic-profile/view/1865036","18-1865036")</f>
        <v>0</v>
      </c>
      <c r="AD1508" t="s">
        <v>3447</v>
      </c>
      <c r="AE1508" t="s">
        <v>3478</v>
      </c>
      <c r="AF1508" t="s">
        <v>4596</v>
      </c>
      <c r="AG1508" t="s">
        <v>3380</v>
      </c>
      <c r="AH1508" t="s">
        <v>4906</v>
      </c>
      <c r="AK1508" t="s">
        <v>4911</v>
      </c>
      <c r="AL1508" t="s">
        <v>2129</v>
      </c>
      <c r="AN1508" t="s">
        <v>3415</v>
      </c>
    </row>
    <row r="1509" spans="1:40">
      <c r="A1509" s="1" t="s">
        <v>1545</v>
      </c>
      <c r="B1509" t="s">
        <v>2000</v>
      </c>
      <c r="C1509" t="s">
        <v>1998</v>
      </c>
      <c r="D1509" t="s">
        <v>2038</v>
      </c>
      <c r="E1509" t="s">
        <v>2112</v>
      </c>
      <c r="F1509" t="s">
        <v>2116</v>
      </c>
      <c r="G1509" t="s">
        <v>2211</v>
      </c>
      <c r="H1509">
        <v>10033</v>
      </c>
      <c r="I1509" t="s">
        <v>2229</v>
      </c>
      <c r="J1509">
        <v>2</v>
      </c>
      <c r="K1509">
        <v>0</v>
      </c>
      <c r="L1509" t="s">
        <v>2286</v>
      </c>
      <c r="M1509" t="s">
        <v>2677</v>
      </c>
      <c r="P1509" t="s">
        <v>3052</v>
      </c>
      <c r="Q1509" t="s">
        <v>2113</v>
      </c>
      <c r="R1509" t="s">
        <v>3258</v>
      </c>
      <c r="S1509" t="s">
        <v>3273</v>
      </c>
      <c r="T1509" t="s">
        <v>3294</v>
      </c>
      <c r="U1509" t="s">
        <v>3320</v>
      </c>
      <c r="X1509" t="s">
        <v>3354</v>
      </c>
      <c r="Y1509" t="s">
        <v>2678</v>
      </c>
      <c r="Z1509" t="s">
        <v>3370</v>
      </c>
      <c r="AA1509" t="s">
        <v>3406</v>
      </c>
      <c r="AB1509" t="s">
        <v>3421</v>
      </c>
      <c r="AC1509">
        <f>HYPERLINK("https://lsnyc.legalserver.org/matter/dynamic-profile/view/1867716","18-1867716")</f>
        <v>0</v>
      </c>
      <c r="AD1509" t="s">
        <v>3442</v>
      </c>
      <c r="AE1509" t="s">
        <v>3448</v>
      </c>
      <c r="AF1509" t="s">
        <v>4597</v>
      </c>
      <c r="AG1509" t="s">
        <v>3370</v>
      </c>
      <c r="AH1509" t="s">
        <v>4904</v>
      </c>
      <c r="AK1509" t="s">
        <v>4911</v>
      </c>
      <c r="AL1509" t="s">
        <v>2116</v>
      </c>
      <c r="AM1509" t="s">
        <v>3294</v>
      </c>
      <c r="AN1509" t="s">
        <v>3421</v>
      </c>
    </row>
    <row r="1510" spans="1:40">
      <c r="A1510" s="1" t="s">
        <v>1546</v>
      </c>
      <c r="B1510" t="s">
        <v>1998</v>
      </c>
      <c r="C1510" t="s">
        <v>2005</v>
      </c>
      <c r="D1510" t="s">
        <v>2080</v>
      </c>
      <c r="E1510" t="s">
        <v>2112</v>
      </c>
      <c r="F1510" t="s">
        <v>2116</v>
      </c>
      <c r="G1510" t="s">
        <v>2211</v>
      </c>
      <c r="H1510">
        <v>10128</v>
      </c>
      <c r="I1510" t="s">
        <v>2229</v>
      </c>
      <c r="J1510">
        <v>5</v>
      </c>
      <c r="K1510">
        <v>4</v>
      </c>
      <c r="L1510" t="s">
        <v>2467</v>
      </c>
      <c r="M1510" t="s">
        <v>2677</v>
      </c>
      <c r="P1510" t="s">
        <v>2982</v>
      </c>
      <c r="Q1510" t="s">
        <v>2113</v>
      </c>
      <c r="R1510" t="s">
        <v>3258</v>
      </c>
      <c r="S1510" t="s">
        <v>3271</v>
      </c>
      <c r="X1510" t="s">
        <v>3354</v>
      </c>
      <c r="Y1510" t="s">
        <v>2677</v>
      </c>
      <c r="Z1510" t="s">
        <v>3362</v>
      </c>
      <c r="AA1510" t="s">
        <v>3406</v>
      </c>
      <c r="AB1510" t="s">
        <v>3419</v>
      </c>
      <c r="AC1510">
        <f>HYPERLINK("https://lsnyc.legalserver.org/matter/dynamic-profile/view/1867772","18-1867772")</f>
        <v>0</v>
      </c>
      <c r="AD1510" t="s">
        <v>3445</v>
      </c>
      <c r="AE1510" t="s">
        <v>3455</v>
      </c>
      <c r="AF1510" t="s">
        <v>4166</v>
      </c>
      <c r="AG1510" t="s">
        <v>3362</v>
      </c>
      <c r="AH1510" t="s">
        <v>4904</v>
      </c>
      <c r="AK1510" t="s">
        <v>4911</v>
      </c>
      <c r="AL1510" t="s">
        <v>2116</v>
      </c>
      <c r="AN1510" t="s">
        <v>3419</v>
      </c>
    </row>
    <row r="1511" spans="1:40">
      <c r="A1511" s="1" t="s">
        <v>1547</v>
      </c>
      <c r="B1511" t="s">
        <v>1998</v>
      </c>
      <c r="C1511" t="s">
        <v>2009</v>
      </c>
      <c r="D1511" t="s">
        <v>2096</v>
      </c>
      <c r="E1511" t="s">
        <v>2112</v>
      </c>
      <c r="F1511" t="s">
        <v>2120</v>
      </c>
      <c r="G1511" t="s">
        <v>2213</v>
      </c>
      <c r="H1511">
        <v>10466</v>
      </c>
      <c r="I1511" t="s">
        <v>2230</v>
      </c>
      <c r="J1511">
        <v>5</v>
      </c>
      <c r="K1511">
        <v>1</v>
      </c>
      <c r="L1511" t="s">
        <v>2260</v>
      </c>
      <c r="M1511" t="s">
        <v>2677</v>
      </c>
      <c r="P1511" t="s">
        <v>3053</v>
      </c>
      <c r="Q1511" t="s">
        <v>2113</v>
      </c>
      <c r="R1511" t="s">
        <v>3258</v>
      </c>
      <c r="S1511" t="s">
        <v>3262</v>
      </c>
      <c r="X1511" t="s">
        <v>3354</v>
      </c>
      <c r="Y1511" t="s">
        <v>2678</v>
      </c>
      <c r="Z1511" t="s">
        <v>3355</v>
      </c>
      <c r="AA1511" t="s">
        <v>3406</v>
      </c>
      <c r="AB1511" t="s">
        <v>3410</v>
      </c>
      <c r="AC1511">
        <f>HYPERLINK("https://lsnyc.legalserver.org/matter/dynamic-profile/view/1867546","18-1867546")</f>
        <v>0</v>
      </c>
      <c r="AD1511" t="s">
        <v>3444</v>
      </c>
      <c r="AE1511" t="s">
        <v>3464</v>
      </c>
      <c r="AF1511" t="s">
        <v>4598</v>
      </c>
      <c r="AG1511" t="s">
        <v>3355</v>
      </c>
      <c r="AH1511" t="s">
        <v>4904</v>
      </c>
      <c r="AK1511" t="s">
        <v>4911</v>
      </c>
      <c r="AL1511" t="s">
        <v>2120</v>
      </c>
      <c r="AN1511" t="s">
        <v>3410</v>
      </c>
    </row>
    <row r="1512" spans="1:40">
      <c r="A1512" s="1" t="s">
        <v>1548</v>
      </c>
      <c r="B1512" t="s">
        <v>1998</v>
      </c>
      <c r="C1512" t="s">
        <v>2009</v>
      </c>
      <c r="D1512" t="s">
        <v>2032</v>
      </c>
      <c r="E1512" t="s">
        <v>2112</v>
      </c>
      <c r="F1512" t="s">
        <v>2117</v>
      </c>
      <c r="G1512" t="s">
        <v>2213</v>
      </c>
      <c r="H1512">
        <v>10456</v>
      </c>
      <c r="I1512" t="s">
        <v>2229</v>
      </c>
      <c r="J1512">
        <v>5</v>
      </c>
      <c r="K1512">
        <v>4</v>
      </c>
      <c r="L1512" t="s">
        <v>2271</v>
      </c>
      <c r="M1512" t="s">
        <v>2677</v>
      </c>
      <c r="P1512" t="s">
        <v>3007</v>
      </c>
      <c r="Q1512" t="s">
        <v>2113</v>
      </c>
      <c r="R1512" t="s">
        <v>3259</v>
      </c>
      <c r="S1512" t="s">
        <v>3270</v>
      </c>
      <c r="X1512" t="s">
        <v>3354</v>
      </c>
      <c r="Y1512" t="s">
        <v>2677</v>
      </c>
      <c r="Z1512" t="s">
        <v>3362</v>
      </c>
      <c r="AA1512" t="s">
        <v>3406</v>
      </c>
      <c r="AB1512" t="s">
        <v>3418</v>
      </c>
      <c r="AC1512">
        <f>HYPERLINK("https://lsnyc.legalserver.org/matter/dynamic-profile/view/1867666","18-1867666")</f>
        <v>0</v>
      </c>
      <c r="AD1512" t="s">
        <v>3445</v>
      </c>
      <c r="AE1512" t="s">
        <v>3455</v>
      </c>
      <c r="AF1512" t="s">
        <v>4599</v>
      </c>
      <c r="AG1512" t="s">
        <v>3362</v>
      </c>
      <c r="AH1512" t="s">
        <v>4904</v>
      </c>
      <c r="AK1512" t="s">
        <v>4911</v>
      </c>
      <c r="AL1512" t="s">
        <v>2117</v>
      </c>
      <c r="AN1512" t="s">
        <v>3418</v>
      </c>
    </row>
    <row r="1513" spans="1:40">
      <c r="A1513" s="1" t="s">
        <v>1549</v>
      </c>
      <c r="B1513" t="s">
        <v>2000</v>
      </c>
      <c r="C1513" t="s">
        <v>2016</v>
      </c>
      <c r="D1513" t="s">
        <v>2049</v>
      </c>
      <c r="E1513" t="s">
        <v>2112</v>
      </c>
      <c r="F1513" t="s">
        <v>2123</v>
      </c>
      <c r="G1513" t="s">
        <v>2213</v>
      </c>
      <c r="H1513">
        <v>10473</v>
      </c>
      <c r="I1513" t="s">
        <v>2229</v>
      </c>
      <c r="J1513">
        <v>2</v>
      </c>
      <c r="K1513">
        <v>1</v>
      </c>
      <c r="L1513" t="s">
        <v>2305</v>
      </c>
      <c r="M1513" t="s">
        <v>2677</v>
      </c>
      <c r="P1513" t="s">
        <v>3053</v>
      </c>
      <c r="Q1513" t="s">
        <v>2113</v>
      </c>
      <c r="R1513" t="s">
        <v>3258</v>
      </c>
      <c r="S1513" t="s">
        <v>3271</v>
      </c>
      <c r="X1513" t="s">
        <v>3354</v>
      </c>
      <c r="Y1513" t="s">
        <v>2677</v>
      </c>
      <c r="Z1513" t="s">
        <v>3362</v>
      </c>
      <c r="AA1513" t="s">
        <v>3406</v>
      </c>
      <c r="AB1513" t="s">
        <v>3419</v>
      </c>
      <c r="AC1513">
        <f>HYPERLINK("https://lsnyc.legalserver.org/matter/dynamic-profile/view/1867674","18-1867674")</f>
        <v>0</v>
      </c>
      <c r="AD1513" t="s">
        <v>3445</v>
      </c>
      <c r="AE1513" t="s">
        <v>3455</v>
      </c>
      <c r="AF1513" t="s">
        <v>4600</v>
      </c>
      <c r="AG1513" t="s">
        <v>3362</v>
      </c>
      <c r="AH1513" t="s">
        <v>4904</v>
      </c>
      <c r="AK1513" t="s">
        <v>4911</v>
      </c>
      <c r="AL1513" t="s">
        <v>2123</v>
      </c>
      <c r="AN1513" t="s">
        <v>3419</v>
      </c>
    </row>
    <row r="1514" spans="1:40">
      <c r="A1514" s="1" t="s">
        <v>1550</v>
      </c>
      <c r="B1514" t="s">
        <v>2002</v>
      </c>
      <c r="C1514" t="s">
        <v>2009</v>
      </c>
      <c r="D1514" t="s">
        <v>2092</v>
      </c>
      <c r="E1514" t="s">
        <v>2112</v>
      </c>
      <c r="F1514" t="s">
        <v>2121</v>
      </c>
      <c r="G1514" t="s">
        <v>2212</v>
      </c>
      <c r="H1514">
        <v>11361</v>
      </c>
      <c r="J1514">
        <v>2</v>
      </c>
      <c r="K1514">
        <v>1</v>
      </c>
      <c r="L1514" t="s">
        <v>2266</v>
      </c>
      <c r="M1514" t="s">
        <v>2677</v>
      </c>
      <c r="P1514" t="s">
        <v>3053</v>
      </c>
      <c r="Q1514" t="s">
        <v>2113</v>
      </c>
      <c r="R1514" t="s">
        <v>3258</v>
      </c>
      <c r="S1514" t="s">
        <v>3269</v>
      </c>
      <c r="X1514" t="s">
        <v>3354</v>
      </c>
      <c r="Y1514" t="s">
        <v>2677</v>
      </c>
      <c r="Z1514" t="s">
        <v>3361</v>
      </c>
      <c r="AA1514" t="s">
        <v>3406</v>
      </c>
      <c r="AB1514" t="s">
        <v>3417</v>
      </c>
      <c r="AC1514">
        <f>HYPERLINK("https://lsnyc.legalserver.org/matter/dynamic-profile/view/1867707","18-1867707")</f>
        <v>0</v>
      </c>
      <c r="AD1514" t="s">
        <v>3445</v>
      </c>
      <c r="AE1514" t="s">
        <v>3455</v>
      </c>
      <c r="AF1514" t="s">
        <v>4601</v>
      </c>
      <c r="AG1514" t="s">
        <v>3361</v>
      </c>
      <c r="AH1514" t="s">
        <v>4904</v>
      </c>
      <c r="AK1514" t="s">
        <v>4911</v>
      </c>
      <c r="AL1514" t="s">
        <v>2121</v>
      </c>
      <c r="AN1514" t="s">
        <v>3417</v>
      </c>
    </row>
    <row r="1515" spans="1:40">
      <c r="A1515" s="1" t="s">
        <v>1551</v>
      </c>
      <c r="B1515" t="s">
        <v>2002</v>
      </c>
      <c r="C1515" t="s">
        <v>2009</v>
      </c>
      <c r="D1515" t="s">
        <v>2050</v>
      </c>
      <c r="E1515" t="s">
        <v>2112</v>
      </c>
      <c r="F1515" t="s">
        <v>2140</v>
      </c>
      <c r="G1515" t="s">
        <v>2211</v>
      </c>
      <c r="H1515">
        <v>10029</v>
      </c>
      <c r="I1515" t="s">
        <v>2245</v>
      </c>
      <c r="J1515">
        <v>1</v>
      </c>
      <c r="K1515">
        <v>0</v>
      </c>
      <c r="L1515" t="s">
        <v>2256</v>
      </c>
      <c r="M1515" t="s">
        <v>2677</v>
      </c>
      <c r="P1515" t="s">
        <v>3053</v>
      </c>
      <c r="Q1515" t="s">
        <v>2113</v>
      </c>
      <c r="R1515" t="s">
        <v>3258</v>
      </c>
      <c r="S1515" t="s">
        <v>3269</v>
      </c>
      <c r="X1515" t="s">
        <v>3354</v>
      </c>
      <c r="Y1515" t="s">
        <v>2677</v>
      </c>
      <c r="Z1515" t="s">
        <v>3361</v>
      </c>
      <c r="AA1515" t="s">
        <v>3406</v>
      </c>
      <c r="AB1515" t="s">
        <v>3417</v>
      </c>
      <c r="AC1515">
        <f>HYPERLINK("https://lsnyc.legalserver.org/matter/dynamic-profile/view/1867709","18-1867709")</f>
        <v>0</v>
      </c>
      <c r="AD1515" t="s">
        <v>3445</v>
      </c>
      <c r="AE1515" t="s">
        <v>3455</v>
      </c>
      <c r="AF1515" t="s">
        <v>4602</v>
      </c>
      <c r="AG1515" t="s">
        <v>3361</v>
      </c>
      <c r="AH1515" t="s">
        <v>4904</v>
      </c>
      <c r="AK1515" t="s">
        <v>4911</v>
      </c>
      <c r="AL1515" t="s">
        <v>2140</v>
      </c>
      <c r="AN1515" t="s">
        <v>3417</v>
      </c>
    </row>
    <row r="1516" spans="1:40">
      <c r="A1516" s="1" t="s">
        <v>1552</v>
      </c>
      <c r="B1516" t="s">
        <v>2001</v>
      </c>
      <c r="C1516" t="s">
        <v>2001</v>
      </c>
      <c r="D1516" t="s">
        <v>2027</v>
      </c>
      <c r="E1516" t="s">
        <v>2112</v>
      </c>
      <c r="F1516" t="s">
        <v>2120</v>
      </c>
      <c r="G1516" t="s">
        <v>2213</v>
      </c>
      <c r="H1516">
        <v>10451</v>
      </c>
      <c r="J1516">
        <v>2</v>
      </c>
      <c r="K1516">
        <v>1</v>
      </c>
      <c r="L1516" t="s">
        <v>2573</v>
      </c>
      <c r="M1516" t="s">
        <v>2677</v>
      </c>
      <c r="P1516" t="s">
        <v>3054</v>
      </c>
      <c r="Q1516" t="s">
        <v>2113</v>
      </c>
      <c r="R1516" t="s">
        <v>3259</v>
      </c>
      <c r="S1516" t="s">
        <v>3264</v>
      </c>
      <c r="X1516" t="s">
        <v>3354</v>
      </c>
      <c r="Y1516" t="s">
        <v>2677</v>
      </c>
      <c r="Z1516" t="s">
        <v>3397</v>
      </c>
      <c r="AA1516" t="s">
        <v>3406</v>
      </c>
      <c r="AB1516" t="s">
        <v>3412</v>
      </c>
      <c r="AC1516">
        <f>HYPERLINK("https://lsnyc.legalserver.org/matter/dynamic-profile/view/1867477","18-1867477")</f>
        <v>0</v>
      </c>
      <c r="AD1516" t="s">
        <v>3445</v>
      </c>
      <c r="AE1516" t="s">
        <v>3455</v>
      </c>
      <c r="AF1516" t="s">
        <v>4603</v>
      </c>
      <c r="AG1516" t="s">
        <v>3397</v>
      </c>
      <c r="AH1516" t="s">
        <v>4904</v>
      </c>
      <c r="AK1516" t="s">
        <v>4911</v>
      </c>
      <c r="AL1516" t="s">
        <v>2120</v>
      </c>
      <c r="AN1516" t="s">
        <v>3412</v>
      </c>
    </row>
    <row r="1517" spans="1:40">
      <c r="A1517" s="1" t="s">
        <v>1553</v>
      </c>
      <c r="B1517" t="s">
        <v>2015</v>
      </c>
      <c r="C1517" t="s">
        <v>1998</v>
      </c>
      <c r="D1517" t="s">
        <v>2088</v>
      </c>
      <c r="E1517" t="s">
        <v>2111</v>
      </c>
      <c r="F1517" t="s">
        <v>2120</v>
      </c>
      <c r="G1517" t="s">
        <v>2213</v>
      </c>
      <c r="H1517">
        <v>10451</v>
      </c>
      <c r="J1517">
        <v>2</v>
      </c>
      <c r="K1517">
        <v>1</v>
      </c>
      <c r="L1517" t="s">
        <v>2573</v>
      </c>
      <c r="M1517" t="s">
        <v>2677</v>
      </c>
      <c r="P1517" t="s">
        <v>3054</v>
      </c>
      <c r="Q1517" t="s">
        <v>2113</v>
      </c>
      <c r="R1517" t="s">
        <v>3259</v>
      </c>
      <c r="S1517" t="s">
        <v>3264</v>
      </c>
      <c r="X1517" t="s">
        <v>3354</v>
      </c>
      <c r="Y1517" t="s">
        <v>2677</v>
      </c>
      <c r="Z1517" t="s">
        <v>3397</v>
      </c>
      <c r="AA1517" t="s">
        <v>3406</v>
      </c>
      <c r="AB1517" t="s">
        <v>3412</v>
      </c>
      <c r="AC1517">
        <f>HYPERLINK("https://lsnyc.legalserver.org/matter/dynamic-profile/view/1867483","18-1867483")</f>
        <v>0</v>
      </c>
      <c r="AD1517" t="s">
        <v>3445</v>
      </c>
      <c r="AE1517" t="s">
        <v>3455</v>
      </c>
      <c r="AF1517" t="s">
        <v>4604</v>
      </c>
      <c r="AG1517" t="s">
        <v>3397</v>
      </c>
      <c r="AH1517" t="s">
        <v>4904</v>
      </c>
      <c r="AK1517" t="s">
        <v>4911</v>
      </c>
      <c r="AL1517" t="s">
        <v>2120</v>
      </c>
      <c r="AN1517" t="s">
        <v>3412</v>
      </c>
    </row>
    <row r="1518" spans="1:40">
      <c r="A1518" s="1" t="s">
        <v>1554</v>
      </c>
      <c r="B1518" t="s">
        <v>2004</v>
      </c>
      <c r="C1518" t="s">
        <v>1998</v>
      </c>
      <c r="D1518" t="s">
        <v>2065</v>
      </c>
      <c r="E1518" t="s">
        <v>2111</v>
      </c>
      <c r="F1518" t="s">
        <v>2120</v>
      </c>
      <c r="G1518" t="s">
        <v>2213</v>
      </c>
      <c r="H1518">
        <v>10451</v>
      </c>
      <c r="J1518">
        <v>2</v>
      </c>
      <c r="K1518">
        <v>1</v>
      </c>
      <c r="L1518" t="s">
        <v>2573</v>
      </c>
      <c r="M1518" t="s">
        <v>2677</v>
      </c>
      <c r="P1518" t="s">
        <v>3054</v>
      </c>
      <c r="Q1518" t="s">
        <v>2113</v>
      </c>
      <c r="R1518" t="s">
        <v>3259</v>
      </c>
      <c r="S1518" t="s">
        <v>3264</v>
      </c>
      <c r="X1518" t="s">
        <v>3354</v>
      </c>
      <c r="Y1518" t="s">
        <v>2677</v>
      </c>
      <c r="Z1518" t="s">
        <v>3397</v>
      </c>
      <c r="AA1518" t="s">
        <v>3406</v>
      </c>
      <c r="AB1518" t="s">
        <v>3412</v>
      </c>
      <c r="AC1518">
        <f>HYPERLINK("https://lsnyc.legalserver.org/matter/dynamic-profile/view/1867486","18-1867486")</f>
        <v>0</v>
      </c>
      <c r="AD1518" t="s">
        <v>3445</v>
      </c>
      <c r="AE1518" t="s">
        <v>3455</v>
      </c>
      <c r="AF1518" t="s">
        <v>4605</v>
      </c>
      <c r="AG1518" t="s">
        <v>3397</v>
      </c>
      <c r="AH1518" t="s">
        <v>4904</v>
      </c>
      <c r="AK1518" t="s">
        <v>4911</v>
      </c>
      <c r="AL1518" t="s">
        <v>2120</v>
      </c>
      <c r="AN1518" t="s">
        <v>3412</v>
      </c>
    </row>
    <row r="1519" spans="1:40">
      <c r="A1519" s="1" t="s">
        <v>1555</v>
      </c>
      <c r="B1519" t="s">
        <v>2001</v>
      </c>
      <c r="C1519" t="s">
        <v>2001</v>
      </c>
      <c r="D1519" t="s">
        <v>2029</v>
      </c>
      <c r="E1519" t="s">
        <v>2112</v>
      </c>
      <c r="F1519" t="s">
        <v>2120</v>
      </c>
      <c r="G1519" t="s">
        <v>2213</v>
      </c>
      <c r="H1519">
        <v>10451</v>
      </c>
      <c r="J1519">
        <v>2</v>
      </c>
      <c r="K1519">
        <v>1</v>
      </c>
      <c r="L1519" t="s">
        <v>2573</v>
      </c>
      <c r="M1519" t="s">
        <v>2677</v>
      </c>
      <c r="P1519" t="s">
        <v>3054</v>
      </c>
      <c r="Q1519" t="s">
        <v>3256</v>
      </c>
      <c r="R1519" t="s">
        <v>3259</v>
      </c>
      <c r="S1519" t="s">
        <v>3276</v>
      </c>
      <c r="X1519" t="s">
        <v>3354</v>
      </c>
      <c r="Y1519" t="s">
        <v>2677</v>
      </c>
      <c r="Z1519" t="s">
        <v>3373</v>
      </c>
      <c r="AA1519" t="s">
        <v>3406</v>
      </c>
      <c r="AB1519" t="s">
        <v>3424</v>
      </c>
      <c r="AC1519">
        <f>HYPERLINK("https://lsnyc.legalserver.org/matter/dynamic-profile/view/1867493","18-1867493")</f>
        <v>0</v>
      </c>
      <c r="AD1519" t="s">
        <v>3445</v>
      </c>
      <c r="AE1519" t="s">
        <v>3455</v>
      </c>
      <c r="AF1519" t="s">
        <v>4582</v>
      </c>
      <c r="AG1519" t="s">
        <v>3373</v>
      </c>
      <c r="AH1519" t="s">
        <v>4904</v>
      </c>
      <c r="AK1519" t="s">
        <v>4911</v>
      </c>
      <c r="AL1519" t="s">
        <v>2120</v>
      </c>
      <c r="AN1519" t="s">
        <v>3424</v>
      </c>
    </row>
    <row r="1520" spans="1:40">
      <c r="A1520" s="1" t="s">
        <v>1556</v>
      </c>
      <c r="B1520" t="s">
        <v>2007</v>
      </c>
      <c r="C1520" t="s">
        <v>2000</v>
      </c>
      <c r="D1520" t="s">
        <v>2084</v>
      </c>
      <c r="E1520" t="s">
        <v>2112</v>
      </c>
      <c r="F1520" t="s">
        <v>2116</v>
      </c>
      <c r="G1520" t="s">
        <v>2212</v>
      </c>
      <c r="H1520">
        <v>7047</v>
      </c>
      <c r="I1520" t="s">
        <v>2229</v>
      </c>
      <c r="J1520">
        <v>5</v>
      </c>
      <c r="K1520">
        <v>3</v>
      </c>
      <c r="L1520" t="s">
        <v>2294</v>
      </c>
      <c r="M1520" t="s">
        <v>2677</v>
      </c>
      <c r="P1520" t="s">
        <v>3054</v>
      </c>
      <c r="Q1520" t="s">
        <v>2113</v>
      </c>
      <c r="R1520" t="s">
        <v>3259</v>
      </c>
      <c r="S1520" t="s">
        <v>3276</v>
      </c>
      <c r="X1520" t="s">
        <v>3354</v>
      </c>
      <c r="Y1520" t="s">
        <v>2677</v>
      </c>
      <c r="Z1520" t="s">
        <v>3373</v>
      </c>
      <c r="AA1520" t="s">
        <v>3406</v>
      </c>
      <c r="AB1520" t="s">
        <v>3424</v>
      </c>
      <c r="AC1520">
        <f>HYPERLINK("https://lsnyc.legalserver.org/matter/dynamic-profile/view/1867496","18-1867496")</f>
        <v>0</v>
      </c>
      <c r="AD1520" t="s">
        <v>3445</v>
      </c>
      <c r="AE1520" t="s">
        <v>3455</v>
      </c>
      <c r="AF1520" t="s">
        <v>4606</v>
      </c>
      <c r="AG1520" t="s">
        <v>3373</v>
      </c>
      <c r="AH1520" t="s">
        <v>4904</v>
      </c>
      <c r="AK1520" t="s">
        <v>4911</v>
      </c>
      <c r="AL1520" t="s">
        <v>2116</v>
      </c>
      <c r="AN1520" t="s">
        <v>3424</v>
      </c>
    </row>
    <row r="1521" spans="1:41">
      <c r="A1521" s="1" t="s">
        <v>1557</v>
      </c>
      <c r="B1521" t="s">
        <v>1998</v>
      </c>
      <c r="C1521" t="s">
        <v>2005</v>
      </c>
      <c r="D1521" t="s">
        <v>2034</v>
      </c>
      <c r="E1521" t="s">
        <v>2112</v>
      </c>
      <c r="F1521" t="s">
        <v>2120</v>
      </c>
      <c r="G1521" t="s">
        <v>2213</v>
      </c>
      <c r="H1521">
        <v>10451</v>
      </c>
      <c r="J1521">
        <v>2</v>
      </c>
      <c r="K1521">
        <v>1</v>
      </c>
      <c r="L1521" t="s">
        <v>2573</v>
      </c>
      <c r="M1521" t="s">
        <v>2677</v>
      </c>
      <c r="P1521" t="s">
        <v>3054</v>
      </c>
      <c r="Q1521" t="s">
        <v>2113</v>
      </c>
      <c r="R1521" t="s">
        <v>3258</v>
      </c>
      <c r="S1521" t="s">
        <v>3265</v>
      </c>
      <c r="X1521" t="s">
        <v>3354</v>
      </c>
      <c r="Y1521" t="s">
        <v>2677</v>
      </c>
      <c r="Z1521" t="s">
        <v>3358</v>
      </c>
      <c r="AA1521" t="s">
        <v>3406</v>
      </c>
      <c r="AB1521" t="s">
        <v>3413</v>
      </c>
      <c r="AC1521">
        <f>HYPERLINK("https://lsnyc.legalserver.org/matter/dynamic-profile/view/1867502","18-1867502")</f>
        <v>0</v>
      </c>
      <c r="AD1521" t="s">
        <v>3445</v>
      </c>
      <c r="AE1521" t="s">
        <v>3455</v>
      </c>
      <c r="AF1521" t="s">
        <v>4607</v>
      </c>
      <c r="AG1521" t="s">
        <v>3358</v>
      </c>
      <c r="AH1521" t="s">
        <v>4904</v>
      </c>
      <c r="AK1521" t="s">
        <v>4911</v>
      </c>
      <c r="AL1521" t="s">
        <v>2120</v>
      </c>
      <c r="AN1521" t="s">
        <v>3413</v>
      </c>
    </row>
    <row r="1522" spans="1:41">
      <c r="A1522" s="1" t="s">
        <v>1558</v>
      </c>
      <c r="B1522" t="s">
        <v>2001</v>
      </c>
      <c r="C1522" t="s">
        <v>2001</v>
      </c>
      <c r="D1522" t="s">
        <v>2027</v>
      </c>
      <c r="E1522" t="s">
        <v>2112</v>
      </c>
      <c r="F1522" t="s">
        <v>2120</v>
      </c>
      <c r="G1522" t="s">
        <v>2213</v>
      </c>
      <c r="H1522">
        <v>10451</v>
      </c>
      <c r="J1522">
        <v>2</v>
      </c>
      <c r="K1522">
        <v>1</v>
      </c>
      <c r="L1522" t="s">
        <v>2573</v>
      </c>
      <c r="M1522" t="s">
        <v>2677</v>
      </c>
      <c r="P1522" t="s">
        <v>3054</v>
      </c>
      <c r="Q1522" t="s">
        <v>2113</v>
      </c>
      <c r="R1522" t="s">
        <v>3258</v>
      </c>
      <c r="S1522" t="s">
        <v>3265</v>
      </c>
      <c r="X1522" t="s">
        <v>3354</v>
      </c>
      <c r="Y1522" t="s">
        <v>2677</v>
      </c>
      <c r="Z1522" t="s">
        <v>3358</v>
      </c>
      <c r="AA1522" t="s">
        <v>3406</v>
      </c>
      <c r="AB1522" t="s">
        <v>3413</v>
      </c>
      <c r="AC1522">
        <f>HYPERLINK("https://lsnyc.legalserver.org/matter/dynamic-profile/view/1867507","18-1867507")</f>
        <v>0</v>
      </c>
      <c r="AD1522" t="s">
        <v>3445</v>
      </c>
      <c r="AE1522" t="s">
        <v>3455</v>
      </c>
      <c r="AF1522" t="s">
        <v>4603</v>
      </c>
      <c r="AG1522" t="s">
        <v>3358</v>
      </c>
      <c r="AH1522" t="s">
        <v>4904</v>
      </c>
      <c r="AK1522" t="s">
        <v>4911</v>
      </c>
      <c r="AL1522" t="s">
        <v>2120</v>
      </c>
      <c r="AN1522" t="s">
        <v>3413</v>
      </c>
    </row>
    <row r="1523" spans="1:41">
      <c r="A1523" s="1" t="s">
        <v>1559</v>
      </c>
      <c r="B1523" t="s">
        <v>2015</v>
      </c>
      <c r="C1523" t="s">
        <v>1998</v>
      </c>
      <c r="D1523" t="s">
        <v>2088</v>
      </c>
      <c r="E1523" t="s">
        <v>2111</v>
      </c>
      <c r="F1523" t="s">
        <v>2120</v>
      </c>
      <c r="G1523" t="s">
        <v>2213</v>
      </c>
      <c r="H1523">
        <v>10451</v>
      </c>
      <c r="J1523">
        <v>2</v>
      </c>
      <c r="K1523">
        <v>1</v>
      </c>
      <c r="L1523" t="s">
        <v>2573</v>
      </c>
      <c r="M1523" t="s">
        <v>2677</v>
      </c>
      <c r="P1523" t="s">
        <v>3054</v>
      </c>
      <c r="Q1523" t="s">
        <v>2113</v>
      </c>
      <c r="R1523" t="s">
        <v>3258</v>
      </c>
      <c r="S1523" t="s">
        <v>3265</v>
      </c>
      <c r="X1523" t="s">
        <v>3354</v>
      </c>
      <c r="Y1523" t="s">
        <v>2677</v>
      </c>
      <c r="Z1523" t="s">
        <v>3358</v>
      </c>
      <c r="AA1523" t="s">
        <v>3406</v>
      </c>
      <c r="AB1523" t="s">
        <v>3413</v>
      </c>
      <c r="AC1523">
        <f>HYPERLINK("https://lsnyc.legalserver.org/matter/dynamic-profile/view/1867518","18-1867518")</f>
        <v>0</v>
      </c>
      <c r="AD1523" t="s">
        <v>3445</v>
      </c>
      <c r="AE1523" t="s">
        <v>3455</v>
      </c>
      <c r="AF1523" t="s">
        <v>4604</v>
      </c>
      <c r="AG1523" t="s">
        <v>3358</v>
      </c>
      <c r="AH1523" t="s">
        <v>4904</v>
      </c>
      <c r="AK1523" t="s">
        <v>4911</v>
      </c>
      <c r="AL1523" t="s">
        <v>2120</v>
      </c>
      <c r="AN1523" t="s">
        <v>3413</v>
      </c>
    </row>
    <row r="1524" spans="1:41">
      <c r="A1524" s="1" t="s">
        <v>1560</v>
      </c>
      <c r="B1524" t="s">
        <v>2004</v>
      </c>
      <c r="C1524" t="s">
        <v>1998</v>
      </c>
      <c r="D1524" t="s">
        <v>2065</v>
      </c>
      <c r="E1524" t="s">
        <v>2111</v>
      </c>
      <c r="F1524" t="s">
        <v>2120</v>
      </c>
      <c r="G1524" t="s">
        <v>2213</v>
      </c>
      <c r="H1524">
        <v>10451</v>
      </c>
      <c r="J1524">
        <v>2</v>
      </c>
      <c r="K1524">
        <v>1</v>
      </c>
      <c r="L1524" t="s">
        <v>2573</v>
      </c>
      <c r="M1524" t="s">
        <v>2677</v>
      </c>
      <c r="P1524" t="s">
        <v>3054</v>
      </c>
      <c r="Q1524" t="s">
        <v>2113</v>
      </c>
      <c r="R1524" t="s">
        <v>3258</v>
      </c>
      <c r="S1524" t="s">
        <v>3265</v>
      </c>
      <c r="X1524" t="s">
        <v>3354</v>
      </c>
      <c r="Y1524" t="s">
        <v>2677</v>
      </c>
      <c r="Z1524" t="s">
        <v>3358</v>
      </c>
      <c r="AA1524" t="s">
        <v>3406</v>
      </c>
      <c r="AB1524" t="s">
        <v>3413</v>
      </c>
      <c r="AC1524">
        <f>HYPERLINK("https://lsnyc.legalserver.org/matter/dynamic-profile/view/1867523","18-1867523")</f>
        <v>0</v>
      </c>
      <c r="AD1524" t="s">
        <v>3445</v>
      </c>
      <c r="AE1524" t="s">
        <v>3455</v>
      </c>
      <c r="AF1524" t="s">
        <v>4605</v>
      </c>
      <c r="AG1524" t="s">
        <v>3358</v>
      </c>
      <c r="AH1524" t="s">
        <v>4904</v>
      </c>
      <c r="AK1524" t="s">
        <v>4911</v>
      </c>
      <c r="AL1524" t="s">
        <v>2120</v>
      </c>
      <c r="AN1524" t="s">
        <v>3413</v>
      </c>
    </row>
    <row r="1525" spans="1:41">
      <c r="A1525" s="1" t="s">
        <v>1561</v>
      </c>
      <c r="B1525" t="s">
        <v>2016</v>
      </c>
      <c r="C1525" t="s">
        <v>2001</v>
      </c>
      <c r="D1525" t="s">
        <v>2094</v>
      </c>
      <c r="E1525" t="s">
        <v>2111</v>
      </c>
      <c r="F1525" t="s">
        <v>2156</v>
      </c>
      <c r="G1525" t="s">
        <v>2216</v>
      </c>
      <c r="H1525">
        <v>10304</v>
      </c>
      <c r="I1525" t="s">
        <v>2230</v>
      </c>
      <c r="J1525">
        <v>1</v>
      </c>
      <c r="K1525">
        <v>0</v>
      </c>
      <c r="L1525" t="s">
        <v>2260</v>
      </c>
      <c r="M1525" t="s">
        <v>2677</v>
      </c>
      <c r="P1525" t="s">
        <v>3008</v>
      </c>
      <c r="Q1525" t="s">
        <v>2113</v>
      </c>
      <c r="R1525" t="s">
        <v>3259</v>
      </c>
      <c r="S1525" t="s">
        <v>3270</v>
      </c>
      <c r="X1525" t="s">
        <v>3354</v>
      </c>
      <c r="Y1525" t="s">
        <v>2677</v>
      </c>
      <c r="Z1525" t="s">
        <v>3362</v>
      </c>
      <c r="AA1525" t="s">
        <v>3406</v>
      </c>
      <c r="AB1525" t="s">
        <v>3418</v>
      </c>
      <c r="AC1525">
        <f>HYPERLINK("https://lsnyc.legalserver.org/matter/dynamic-profile/view/1867527","18-1867527")</f>
        <v>0</v>
      </c>
      <c r="AD1525" t="s">
        <v>3445</v>
      </c>
      <c r="AE1525" t="s">
        <v>3455</v>
      </c>
      <c r="AF1525" t="s">
        <v>4608</v>
      </c>
      <c r="AG1525" t="s">
        <v>3362</v>
      </c>
      <c r="AH1525" t="s">
        <v>4904</v>
      </c>
      <c r="AI1525" t="s">
        <v>4909</v>
      </c>
      <c r="AK1525" t="s">
        <v>4911</v>
      </c>
      <c r="AL1525" t="s">
        <v>2156</v>
      </c>
      <c r="AN1525" t="s">
        <v>3418</v>
      </c>
    </row>
    <row r="1526" spans="1:41">
      <c r="A1526" s="1" t="s">
        <v>1562</v>
      </c>
      <c r="B1526" t="s">
        <v>2016</v>
      </c>
      <c r="C1526" t="s">
        <v>1998</v>
      </c>
      <c r="D1526" t="s">
        <v>2049</v>
      </c>
      <c r="E1526" t="s">
        <v>2112</v>
      </c>
      <c r="F1526" t="s">
        <v>2123</v>
      </c>
      <c r="G1526" t="s">
        <v>2217</v>
      </c>
      <c r="H1526">
        <v>11701</v>
      </c>
      <c r="I1526" t="s">
        <v>2230</v>
      </c>
      <c r="J1526">
        <v>4</v>
      </c>
      <c r="K1526">
        <v>2</v>
      </c>
      <c r="L1526" t="s">
        <v>2260</v>
      </c>
      <c r="M1526" t="s">
        <v>2677</v>
      </c>
      <c r="P1526" t="s">
        <v>3054</v>
      </c>
      <c r="Q1526" t="s">
        <v>3255</v>
      </c>
      <c r="R1526" t="s">
        <v>3259</v>
      </c>
      <c r="S1526" t="s">
        <v>3287</v>
      </c>
      <c r="T1526" t="s">
        <v>3294</v>
      </c>
      <c r="U1526" t="s">
        <v>2770</v>
      </c>
      <c r="V1526" t="s">
        <v>3352</v>
      </c>
      <c r="X1526" t="s">
        <v>3354</v>
      </c>
      <c r="Y1526" t="s">
        <v>2678</v>
      </c>
      <c r="Z1526" t="s">
        <v>3378</v>
      </c>
      <c r="AA1526" t="s">
        <v>3406</v>
      </c>
      <c r="AB1526" t="s">
        <v>3435</v>
      </c>
      <c r="AC1526">
        <f>HYPERLINK("https://lsnyc.legalserver.org/matter/dynamic-profile/view/1867538","18-1867538")</f>
        <v>0</v>
      </c>
      <c r="AD1526" t="s">
        <v>3446</v>
      </c>
      <c r="AE1526" t="s">
        <v>3473</v>
      </c>
      <c r="AF1526" t="s">
        <v>4238</v>
      </c>
      <c r="AG1526" t="s">
        <v>3378</v>
      </c>
      <c r="AH1526" t="s">
        <v>4904</v>
      </c>
      <c r="AK1526" t="s">
        <v>4911</v>
      </c>
      <c r="AL1526" t="s">
        <v>2123</v>
      </c>
      <c r="AM1526" t="s">
        <v>3294</v>
      </c>
      <c r="AN1526" t="s">
        <v>3435</v>
      </c>
      <c r="AO1526" t="s">
        <v>3352</v>
      </c>
    </row>
    <row r="1527" spans="1:41">
      <c r="A1527" s="1" t="s">
        <v>1563</v>
      </c>
      <c r="B1527" t="s">
        <v>1998</v>
      </c>
      <c r="C1527" t="s">
        <v>2009</v>
      </c>
      <c r="D1527" t="s">
        <v>2096</v>
      </c>
      <c r="E1527" t="s">
        <v>2112</v>
      </c>
      <c r="F1527" t="s">
        <v>2120</v>
      </c>
      <c r="G1527" t="s">
        <v>2213</v>
      </c>
      <c r="H1527">
        <v>10466</v>
      </c>
      <c r="I1527" t="s">
        <v>2230</v>
      </c>
      <c r="J1527">
        <v>5</v>
      </c>
      <c r="K1527">
        <v>1</v>
      </c>
      <c r="L1527" t="s">
        <v>2260</v>
      </c>
      <c r="M1527" t="s">
        <v>2677</v>
      </c>
      <c r="P1527" t="s">
        <v>3054</v>
      </c>
      <c r="Q1527" t="s">
        <v>2113</v>
      </c>
      <c r="R1527" t="s">
        <v>3258</v>
      </c>
      <c r="S1527" t="s">
        <v>3269</v>
      </c>
      <c r="X1527" t="s">
        <v>3354</v>
      </c>
      <c r="Y1527" t="s">
        <v>2678</v>
      </c>
      <c r="Z1527" t="s">
        <v>3361</v>
      </c>
      <c r="AA1527" t="s">
        <v>3406</v>
      </c>
      <c r="AB1527" t="s">
        <v>3417</v>
      </c>
      <c r="AC1527">
        <f>HYPERLINK("https://lsnyc.legalserver.org/matter/dynamic-profile/view/1867547","18-1867547")</f>
        <v>0</v>
      </c>
      <c r="AD1527" t="s">
        <v>3444</v>
      </c>
      <c r="AE1527" t="s">
        <v>3464</v>
      </c>
      <c r="AF1527" t="s">
        <v>4598</v>
      </c>
      <c r="AG1527" t="s">
        <v>3361</v>
      </c>
      <c r="AH1527" t="s">
        <v>4904</v>
      </c>
      <c r="AK1527" t="s">
        <v>4911</v>
      </c>
      <c r="AL1527" t="s">
        <v>2120</v>
      </c>
      <c r="AN1527" t="s">
        <v>3417</v>
      </c>
    </row>
    <row r="1528" spans="1:41">
      <c r="A1528" s="1" t="s">
        <v>1564</v>
      </c>
      <c r="B1528" t="s">
        <v>2000</v>
      </c>
      <c r="C1528" t="s">
        <v>1998</v>
      </c>
      <c r="D1528" t="s">
        <v>2081</v>
      </c>
      <c r="E1528" t="s">
        <v>2111</v>
      </c>
      <c r="F1528" t="s">
        <v>2116</v>
      </c>
      <c r="G1528" t="s">
        <v>2212</v>
      </c>
      <c r="H1528">
        <v>7047</v>
      </c>
      <c r="J1528">
        <v>5</v>
      </c>
      <c r="K1528">
        <v>3</v>
      </c>
      <c r="L1528" t="s">
        <v>2294</v>
      </c>
      <c r="M1528" t="s">
        <v>2677</v>
      </c>
      <c r="P1528" t="s">
        <v>3054</v>
      </c>
      <c r="Q1528" t="s">
        <v>3255</v>
      </c>
      <c r="R1528" t="s">
        <v>3259</v>
      </c>
      <c r="S1528" t="s">
        <v>3270</v>
      </c>
      <c r="X1528" t="s">
        <v>3354</v>
      </c>
      <c r="Y1528" t="s">
        <v>2677</v>
      </c>
      <c r="Z1528" t="s">
        <v>3397</v>
      </c>
      <c r="AA1528" t="s">
        <v>3406</v>
      </c>
      <c r="AB1528" t="s">
        <v>3418</v>
      </c>
      <c r="AC1528">
        <f>HYPERLINK("https://lsnyc.legalserver.org/matter/dynamic-profile/view/1867553","18-1867553")</f>
        <v>0</v>
      </c>
      <c r="AD1528" t="s">
        <v>3445</v>
      </c>
      <c r="AE1528" t="s">
        <v>3455</v>
      </c>
      <c r="AF1528" t="s">
        <v>4609</v>
      </c>
      <c r="AG1528" t="s">
        <v>3397</v>
      </c>
      <c r="AH1528" t="s">
        <v>4904</v>
      </c>
      <c r="AK1528" t="s">
        <v>4911</v>
      </c>
      <c r="AL1528" t="s">
        <v>2116</v>
      </c>
      <c r="AN1528" t="s">
        <v>3418</v>
      </c>
    </row>
    <row r="1529" spans="1:41">
      <c r="A1529" s="1" t="s">
        <v>1565</v>
      </c>
      <c r="B1529" t="s">
        <v>2007</v>
      </c>
      <c r="C1529" t="s">
        <v>2001</v>
      </c>
      <c r="D1529" t="s">
        <v>2072</v>
      </c>
      <c r="E1529" t="s">
        <v>2111</v>
      </c>
      <c r="F1529" t="s">
        <v>2116</v>
      </c>
      <c r="G1529" t="s">
        <v>2212</v>
      </c>
      <c r="H1529">
        <v>7047</v>
      </c>
      <c r="J1529">
        <v>5</v>
      </c>
      <c r="K1529">
        <v>3</v>
      </c>
      <c r="L1529" t="s">
        <v>2294</v>
      </c>
      <c r="M1529" t="s">
        <v>2677</v>
      </c>
      <c r="P1529" t="s">
        <v>3054</v>
      </c>
      <c r="Q1529" t="s">
        <v>2113</v>
      </c>
      <c r="R1529" t="s">
        <v>3259</v>
      </c>
      <c r="S1529" t="s">
        <v>3264</v>
      </c>
      <c r="X1529" t="s">
        <v>3354</v>
      </c>
      <c r="Y1529" t="s">
        <v>2677</v>
      </c>
      <c r="Z1529" t="s">
        <v>3397</v>
      </c>
      <c r="AA1529" t="s">
        <v>3406</v>
      </c>
      <c r="AB1529" t="s">
        <v>3412</v>
      </c>
      <c r="AC1529">
        <f>HYPERLINK("https://lsnyc.legalserver.org/matter/dynamic-profile/view/1867562","18-1867562")</f>
        <v>0</v>
      </c>
      <c r="AD1529" t="s">
        <v>3445</v>
      </c>
      <c r="AE1529" t="s">
        <v>3455</v>
      </c>
      <c r="AF1529" t="s">
        <v>4594</v>
      </c>
      <c r="AG1529" t="s">
        <v>3397</v>
      </c>
      <c r="AH1529" t="s">
        <v>4904</v>
      </c>
      <c r="AK1529" t="s">
        <v>4911</v>
      </c>
      <c r="AL1529" t="s">
        <v>2116</v>
      </c>
      <c r="AN1529" t="s">
        <v>3412</v>
      </c>
    </row>
    <row r="1530" spans="1:41">
      <c r="A1530" s="1" t="s">
        <v>1566</v>
      </c>
      <c r="B1530" t="s">
        <v>2012</v>
      </c>
      <c r="C1530" t="s">
        <v>1998</v>
      </c>
      <c r="D1530" t="s">
        <v>2067</v>
      </c>
      <c r="E1530" t="s">
        <v>2112</v>
      </c>
      <c r="F1530" t="s">
        <v>2116</v>
      </c>
      <c r="G1530" t="s">
        <v>2212</v>
      </c>
      <c r="H1530">
        <v>7047</v>
      </c>
      <c r="J1530">
        <v>5</v>
      </c>
      <c r="K1530">
        <v>3</v>
      </c>
      <c r="L1530" t="s">
        <v>2294</v>
      </c>
      <c r="M1530" t="s">
        <v>2677</v>
      </c>
      <c r="P1530" t="s">
        <v>3054</v>
      </c>
      <c r="Q1530" t="s">
        <v>3256</v>
      </c>
      <c r="R1530" t="s">
        <v>3259</v>
      </c>
      <c r="S1530" t="s">
        <v>3264</v>
      </c>
      <c r="X1530" t="s">
        <v>3354</v>
      </c>
      <c r="Y1530" t="s">
        <v>2677</v>
      </c>
      <c r="Z1530" t="s">
        <v>3397</v>
      </c>
      <c r="AA1530" t="s">
        <v>3406</v>
      </c>
      <c r="AB1530" t="s">
        <v>3412</v>
      </c>
      <c r="AC1530">
        <f>HYPERLINK("https://lsnyc.legalserver.org/matter/dynamic-profile/view/1867568","18-1867568")</f>
        <v>0</v>
      </c>
      <c r="AD1530" t="s">
        <v>3445</v>
      </c>
      <c r="AE1530" t="s">
        <v>3455</v>
      </c>
      <c r="AF1530" t="s">
        <v>4595</v>
      </c>
      <c r="AG1530" t="s">
        <v>3397</v>
      </c>
      <c r="AH1530" t="s">
        <v>4904</v>
      </c>
      <c r="AK1530" t="s">
        <v>4911</v>
      </c>
      <c r="AL1530" t="s">
        <v>2116</v>
      </c>
      <c r="AN1530" t="s">
        <v>3412</v>
      </c>
    </row>
    <row r="1531" spans="1:41">
      <c r="A1531" s="1" t="s">
        <v>1567</v>
      </c>
      <c r="B1531" t="s">
        <v>2012</v>
      </c>
      <c r="C1531" t="s">
        <v>1998</v>
      </c>
      <c r="D1531" t="s">
        <v>2088</v>
      </c>
      <c r="E1531" t="s">
        <v>2112</v>
      </c>
      <c r="F1531" t="s">
        <v>2117</v>
      </c>
      <c r="G1531" t="s">
        <v>2216</v>
      </c>
      <c r="H1531">
        <v>10303</v>
      </c>
      <c r="I1531" t="s">
        <v>2229</v>
      </c>
      <c r="J1531">
        <v>4</v>
      </c>
      <c r="K1531">
        <v>3</v>
      </c>
      <c r="L1531" t="s">
        <v>2260</v>
      </c>
      <c r="M1531" t="s">
        <v>2677</v>
      </c>
      <c r="P1531" t="s">
        <v>3055</v>
      </c>
      <c r="Q1531" t="s">
        <v>3255</v>
      </c>
      <c r="R1531" t="s">
        <v>3259</v>
      </c>
      <c r="S1531" t="s">
        <v>3272</v>
      </c>
      <c r="T1531" t="s">
        <v>3294</v>
      </c>
      <c r="U1531" t="s">
        <v>3051</v>
      </c>
      <c r="X1531" t="s">
        <v>3354</v>
      </c>
      <c r="Y1531" t="s">
        <v>2678</v>
      </c>
      <c r="Z1531" t="s">
        <v>3364</v>
      </c>
      <c r="AA1531" t="s">
        <v>3406</v>
      </c>
      <c r="AB1531" t="s">
        <v>3420</v>
      </c>
      <c r="AC1531">
        <f>HYPERLINK("https://lsnyc.legalserver.org/matter/dynamic-profile/view/1867119","18-1867119")</f>
        <v>0</v>
      </c>
      <c r="AD1531" t="s">
        <v>3447</v>
      </c>
      <c r="AE1531" t="s">
        <v>3459</v>
      </c>
      <c r="AF1531" t="s">
        <v>4610</v>
      </c>
      <c r="AG1531" t="s">
        <v>3364</v>
      </c>
      <c r="AH1531" t="s">
        <v>4904</v>
      </c>
      <c r="AK1531" t="s">
        <v>4911</v>
      </c>
      <c r="AL1531" t="s">
        <v>2117</v>
      </c>
      <c r="AM1531" t="s">
        <v>3294</v>
      </c>
      <c r="AN1531" t="s">
        <v>3420</v>
      </c>
    </row>
    <row r="1532" spans="1:41">
      <c r="A1532" s="1" t="s">
        <v>1568</v>
      </c>
      <c r="B1532" t="s">
        <v>2012</v>
      </c>
      <c r="C1532" t="s">
        <v>2001</v>
      </c>
      <c r="D1532" t="s">
        <v>2026</v>
      </c>
      <c r="E1532" t="s">
        <v>2112</v>
      </c>
      <c r="F1532" t="s">
        <v>2117</v>
      </c>
      <c r="G1532" t="s">
        <v>2216</v>
      </c>
      <c r="H1532">
        <v>10303</v>
      </c>
      <c r="I1532" t="s">
        <v>2229</v>
      </c>
      <c r="J1532">
        <v>4</v>
      </c>
      <c r="K1532">
        <v>3</v>
      </c>
      <c r="L1532" t="s">
        <v>2260</v>
      </c>
      <c r="M1532" t="s">
        <v>2677</v>
      </c>
      <c r="P1532" t="s">
        <v>3055</v>
      </c>
      <c r="Q1532" t="s">
        <v>3255</v>
      </c>
      <c r="R1532" t="s">
        <v>3259</v>
      </c>
      <c r="S1532" t="s">
        <v>3272</v>
      </c>
      <c r="T1532" t="s">
        <v>3294</v>
      </c>
      <c r="U1532" t="s">
        <v>3051</v>
      </c>
      <c r="X1532" t="s">
        <v>3354</v>
      </c>
      <c r="Y1532" t="s">
        <v>2678</v>
      </c>
      <c r="Z1532" t="s">
        <v>3364</v>
      </c>
      <c r="AA1532" t="s">
        <v>3406</v>
      </c>
      <c r="AB1532" t="s">
        <v>3420</v>
      </c>
      <c r="AC1532">
        <f>HYPERLINK("https://lsnyc.legalserver.org/matter/dynamic-profile/view/1867135","18-1867135")</f>
        <v>0</v>
      </c>
      <c r="AD1532" t="s">
        <v>3447</v>
      </c>
      <c r="AE1532" t="s">
        <v>3459</v>
      </c>
      <c r="AF1532" t="s">
        <v>4611</v>
      </c>
      <c r="AG1532" t="s">
        <v>3364</v>
      </c>
      <c r="AH1532" t="s">
        <v>4904</v>
      </c>
      <c r="AK1532" t="s">
        <v>4911</v>
      </c>
      <c r="AL1532" t="s">
        <v>2117</v>
      </c>
      <c r="AM1532" t="s">
        <v>3294</v>
      </c>
      <c r="AN1532" t="s">
        <v>3420</v>
      </c>
    </row>
    <row r="1533" spans="1:41">
      <c r="A1533" s="1" t="s">
        <v>1569</v>
      </c>
      <c r="B1533" t="s">
        <v>2012</v>
      </c>
      <c r="C1533" t="s">
        <v>2000</v>
      </c>
      <c r="D1533" t="s">
        <v>2052</v>
      </c>
      <c r="E1533" t="s">
        <v>2111</v>
      </c>
      <c r="F1533" t="s">
        <v>2117</v>
      </c>
      <c r="G1533" t="s">
        <v>2216</v>
      </c>
      <c r="H1533">
        <v>10303</v>
      </c>
      <c r="I1533" t="s">
        <v>2229</v>
      </c>
      <c r="J1533">
        <v>4</v>
      </c>
      <c r="K1533">
        <v>3</v>
      </c>
      <c r="L1533" t="s">
        <v>2260</v>
      </c>
      <c r="M1533" t="s">
        <v>2677</v>
      </c>
      <c r="P1533" t="s">
        <v>3055</v>
      </c>
      <c r="Q1533" t="s">
        <v>3255</v>
      </c>
      <c r="R1533" t="s">
        <v>3259</v>
      </c>
      <c r="S1533" t="s">
        <v>3272</v>
      </c>
      <c r="T1533" t="s">
        <v>3294</v>
      </c>
      <c r="U1533" t="s">
        <v>3051</v>
      </c>
      <c r="X1533" t="s">
        <v>3354</v>
      </c>
      <c r="Y1533" t="s">
        <v>2678</v>
      </c>
      <c r="Z1533" t="s">
        <v>3364</v>
      </c>
      <c r="AA1533" t="s">
        <v>3406</v>
      </c>
      <c r="AB1533" t="s">
        <v>3420</v>
      </c>
      <c r="AC1533">
        <f>HYPERLINK("https://lsnyc.legalserver.org/matter/dynamic-profile/view/1867139","18-1867139")</f>
        <v>0</v>
      </c>
      <c r="AD1533" t="s">
        <v>3447</v>
      </c>
      <c r="AE1533" t="s">
        <v>3459</v>
      </c>
      <c r="AF1533" t="s">
        <v>4612</v>
      </c>
      <c r="AG1533" t="s">
        <v>3364</v>
      </c>
      <c r="AH1533" t="s">
        <v>4904</v>
      </c>
      <c r="AK1533" t="s">
        <v>4911</v>
      </c>
      <c r="AL1533" t="s">
        <v>2117</v>
      </c>
      <c r="AM1533" t="s">
        <v>3294</v>
      </c>
      <c r="AN1533" t="s">
        <v>3420</v>
      </c>
    </row>
    <row r="1534" spans="1:41">
      <c r="A1534" s="1" t="s">
        <v>1570</v>
      </c>
      <c r="B1534" t="s">
        <v>2004</v>
      </c>
      <c r="C1534" t="s">
        <v>1998</v>
      </c>
      <c r="D1534" t="s">
        <v>2097</v>
      </c>
      <c r="E1534" t="s">
        <v>2111</v>
      </c>
      <c r="F1534" t="s">
        <v>2123</v>
      </c>
      <c r="G1534" t="s">
        <v>2216</v>
      </c>
      <c r="H1534">
        <v>10303</v>
      </c>
      <c r="I1534" t="s">
        <v>2229</v>
      </c>
      <c r="J1534">
        <v>1</v>
      </c>
      <c r="K1534">
        <v>0</v>
      </c>
      <c r="L1534" t="s">
        <v>2578</v>
      </c>
      <c r="M1534" t="s">
        <v>2677</v>
      </c>
      <c r="P1534" t="s">
        <v>3055</v>
      </c>
      <c r="Q1534" t="s">
        <v>2113</v>
      </c>
      <c r="R1534" t="s">
        <v>3259</v>
      </c>
      <c r="S1534" t="s">
        <v>3270</v>
      </c>
      <c r="X1534" t="s">
        <v>3354</v>
      </c>
      <c r="Y1534" t="s">
        <v>2677</v>
      </c>
      <c r="Z1534" t="s">
        <v>3362</v>
      </c>
      <c r="AA1534" t="s">
        <v>3406</v>
      </c>
      <c r="AB1534" t="s">
        <v>3418</v>
      </c>
      <c r="AC1534">
        <f>HYPERLINK("https://lsnyc.legalserver.org/matter/dynamic-profile/view/1867360","18-1867360")</f>
        <v>0</v>
      </c>
      <c r="AD1534" t="s">
        <v>3445</v>
      </c>
      <c r="AE1534" t="s">
        <v>3455</v>
      </c>
      <c r="AF1534" t="s">
        <v>4613</v>
      </c>
      <c r="AG1534" t="s">
        <v>3362</v>
      </c>
      <c r="AH1534" t="s">
        <v>4904</v>
      </c>
      <c r="AK1534" t="s">
        <v>4911</v>
      </c>
      <c r="AL1534" t="s">
        <v>2123</v>
      </c>
      <c r="AN1534" t="s">
        <v>3418</v>
      </c>
    </row>
    <row r="1535" spans="1:41">
      <c r="A1535" s="1" t="s">
        <v>1571</v>
      </c>
      <c r="B1535" t="s">
        <v>2000</v>
      </c>
      <c r="C1535" t="s">
        <v>2001</v>
      </c>
      <c r="D1535" t="s">
        <v>2068</v>
      </c>
      <c r="E1535" t="s">
        <v>2112</v>
      </c>
      <c r="F1535" t="s">
        <v>2115</v>
      </c>
      <c r="G1535" t="s">
        <v>2214</v>
      </c>
      <c r="H1535">
        <v>11219</v>
      </c>
      <c r="I1535" t="s">
        <v>2229</v>
      </c>
      <c r="J1535">
        <v>4</v>
      </c>
      <c r="K1535">
        <v>3</v>
      </c>
      <c r="L1535" t="s">
        <v>2440</v>
      </c>
      <c r="M1535" t="s">
        <v>2677</v>
      </c>
      <c r="P1535" t="s">
        <v>3055</v>
      </c>
      <c r="Q1535" t="s">
        <v>2113</v>
      </c>
      <c r="R1535" t="s">
        <v>3259</v>
      </c>
      <c r="S1535" t="s">
        <v>3264</v>
      </c>
      <c r="X1535" t="s">
        <v>3354</v>
      </c>
      <c r="Y1535" t="s">
        <v>2677</v>
      </c>
      <c r="Z1535" t="s">
        <v>3357</v>
      </c>
      <c r="AA1535" t="s">
        <v>3406</v>
      </c>
      <c r="AB1535" t="s">
        <v>3412</v>
      </c>
      <c r="AC1535">
        <f>HYPERLINK("https://lsnyc.legalserver.org/matter/dynamic-profile/view/1867373","18-1867373")</f>
        <v>0</v>
      </c>
      <c r="AD1535" t="s">
        <v>3445</v>
      </c>
      <c r="AE1535" t="s">
        <v>3455</v>
      </c>
      <c r="AF1535" t="s">
        <v>4038</v>
      </c>
      <c r="AG1535" t="s">
        <v>3357</v>
      </c>
      <c r="AH1535" t="s">
        <v>4904</v>
      </c>
      <c r="AK1535" t="s">
        <v>4911</v>
      </c>
      <c r="AL1535" t="s">
        <v>2115</v>
      </c>
      <c r="AN1535" t="s">
        <v>3412</v>
      </c>
    </row>
    <row r="1536" spans="1:41">
      <c r="A1536" s="1" t="s">
        <v>1572</v>
      </c>
      <c r="B1536" t="s">
        <v>2001</v>
      </c>
      <c r="C1536" t="s">
        <v>1998</v>
      </c>
      <c r="D1536" t="s">
        <v>2086</v>
      </c>
      <c r="E1536" t="s">
        <v>2112</v>
      </c>
      <c r="F1536" t="s">
        <v>2120</v>
      </c>
      <c r="G1536" t="s">
        <v>2212</v>
      </c>
      <c r="H1536">
        <v>11411</v>
      </c>
      <c r="I1536" t="s">
        <v>2230</v>
      </c>
      <c r="J1536">
        <v>1</v>
      </c>
      <c r="K1536">
        <v>0</v>
      </c>
      <c r="L1536" t="s">
        <v>2579</v>
      </c>
      <c r="M1536" t="s">
        <v>2677</v>
      </c>
      <c r="P1536" t="s">
        <v>3055</v>
      </c>
      <c r="Q1536" t="s">
        <v>2113</v>
      </c>
      <c r="R1536" t="s">
        <v>3258</v>
      </c>
      <c r="S1536" t="s">
        <v>3273</v>
      </c>
      <c r="X1536" t="s">
        <v>3354</v>
      </c>
      <c r="Y1536" t="s">
        <v>2678</v>
      </c>
      <c r="Z1536" t="s">
        <v>3395</v>
      </c>
      <c r="AA1536" t="s">
        <v>3406</v>
      </c>
      <c r="AB1536" t="s">
        <v>3421</v>
      </c>
      <c r="AC1536">
        <f>HYPERLINK("https://lsnyc.legalserver.org/matter/dynamic-profile/view/1867405","18-1867405")</f>
        <v>0</v>
      </c>
      <c r="AD1536" t="s">
        <v>3443</v>
      </c>
      <c r="AE1536" t="s">
        <v>3477</v>
      </c>
      <c r="AF1536" t="s">
        <v>4614</v>
      </c>
      <c r="AG1536" t="s">
        <v>3395</v>
      </c>
      <c r="AH1536" t="s">
        <v>4904</v>
      </c>
      <c r="AK1536" t="s">
        <v>4911</v>
      </c>
      <c r="AL1536" t="s">
        <v>2120</v>
      </c>
      <c r="AN1536" t="s">
        <v>3421</v>
      </c>
    </row>
    <row r="1537" spans="1:41">
      <c r="A1537" s="1" t="s">
        <v>1573</v>
      </c>
      <c r="B1537" t="s">
        <v>2001</v>
      </c>
      <c r="C1537" t="s">
        <v>2001</v>
      </c>
      <c r="D1537" t="s">
        <v>2029</v>
      </c>
      <c r="E1537" t="s">
        <v>2112</v>
      </c>
      <c r="F1537" t="s">
        <v>2116</v>
      </c>
      <c r="G1537" t="s">
        <v>2214</v>
      </c>
      <c r="H1537">
        <v>11223</v>
      </c>
      <c r="I1537" t="s">
        <v>2229</v>
      </c>
      <c r="J1537">
        <v>5</v>
      </c>
      <c r="K1537">
        <v>4</v>
      </c>
      <c r="L1537" t="s">
        <v>2580</v>
      </c>
      <c r="M1537" t="s">
        <v>2677</v>
      </c>
      <c r="P1537" t="s">
        <v>3055</v>
      </c>
      <c r="Q1537" t="s">
        <v>2113</v>
      </c>
      <c r="R1537" t="s">
        <v>3259</v>
      </c>
      <c r="S1537" t="s">
        <v>3276</v>
      </c>
      <c r="X1537" t="s">
        <v>3354</v>
      </c>
      <c r="Y1537" t="s">
        <v>2677</v>
      </c>
      <c r="Z1537" t="s">
        <v>3373</v>
      </c>
      <c r="AA1537" t="s">
        <v>3406</v>
      </c>
      <c r="AB1537" t="s">
        <v>3424</v>
      </c>
      <c r="AC1537">
        <f>HYPERLINK("https://lsnyc.legalserver.org/matter/dynamic-profile/view/1867446","18-1867446")</f>
        <v>0</v>
      </c>
      <c r="AD1537" t="s">
        <v>3445</v>
      </c>
      <c r="AE1537" t="s">
        <v>3455</v>
      </c>
      <c r="AF1537" t="s">
        <v>4615</v>
      </c>
      <c r="AG1537" t="s">
        <v>3373</v>
      </c>
      <c r="AH1537" t="s">
        <v>4904</v>
      </c>
      <c r="AK1537" t="s">
        <v>4911</v>
      </c>
      <c r="AL1537" t="s">
        <v>2116</v>
      </c>
      <c r="AN1537" t="s">
        <v>3424</v>
      </c>
    </row>
    <row r="1538" spans="1:41">
      <c r="A1538" s="1" t="s">
        <v>1574</v>
      </c>
      <c r="B1538" t="s">
        <v>1998</v>
      </c>
      <c r="C1538" t="s">
        <v>2005</v>
      </c>
      <c r="D1538" t="s">
        <v>2034</v>
      </c>
      <c r="E1538" t="s">
        <v>2112</v>
      </c>
      <c r="F1538" t="s">
        <v>2120</v>
      </c>
      <c r="G1538" t="s">
        <v>2213</v>
      </c>
      <c r="H1538">
        <v>10451</v>
      </c>
      <c r="J1538">
        <v>2</v>
      </c>
      <c r="K1538">
        <v>1</v>
      </c>
      <c r="L1538" t="s">
        <v>2573</v>
      </c>
      <c r="M1538" t="s">
        <v>2677</v>
      </c>
      <c r="P1538" t="s">
        <v>3055</v>
      </c>
      <c r="Q1538" t="s">
        <v>2113</v>
      </c>
      <c r="R1538" t="s">
        <v>3259</v>
      </c>
      <c r="S1538" t="s">
        <v>3264</v>
      </c>
      <c r="X1538" t="s">
        <v>3354</v>
      </c>
      <c r="Y1538" t="s">
        <v>2677</v>
      </c>
      <c r="Z1538" t="s">
        <v>3397</v>
      </c>
      <c r="AA1538" t="s">
        <v>3406</v>
      </c>
      <c r="AB1538" t="s">
        <v>3412</v>
      </c>
      <c r="AC1538">
        <f>HYPERLINK("https://lsnyc.legalserver.org/matter/dynamic-profile/view/1867455","18-1867455")</f>
        <v>0</v>
      </c>
      <c r="AD1538" t="s">
        <v>3445</v>
      </c>
      <c r="AE1538" t="s">
        <v>3455</v>
      </c>
      <c r="AF1538" t="s">
        <v>4607</v>
      </c>
      <c r="AG1538" t="s">
        <v>3397</v>
      </c>
      <c r="AH1538" t="s">
        <v>4904</v>
      </c>
      <c r="AK1538" t="s">
        <v>4911</v>
      </c>
      <c r="AL1538" t="s">
        <v>2120</v>
      </c>
      <c r="AN1538" t="s">
        <v>3412</v>
      </c>
    </row>
    <row r="1539" spans="1:41">
      <c r="A1539" s="1" t="s">
        <v>1575</v>
      </c>
      <c r="B1539" t="s">
        <v>2012</v>
      </c>
      <c r="C1539" t="s">
        <v>2001</v>
      </c>
      <c r="D1539" t="s">
        <v>2094</v>
      </c>
      <c r="E1539" t="s">
        <v>2112</v>
      </c>
      <c r="F1539" t="s">
        <v>2117</v>
      </c>
      <c r="G1539" t="s">
        <v>2213</v>
      </c>
      <c r="H1539">
        <v>10451</v>
      </c>
      <c r="J1539">
        <v>4</v>
      </c>
      <c r="K1539">
        <v>2</v>
      </c>
      <c r="L1539" t="s">
        <v>2333</v>
      </c>
      <c r="M1539" t="s">
        <v>2677</v>
      </c>
      <c r="P1539" t="s">
        <v>3056</v>
      </c>
      <c r="Q1539" t="s">
        <v>2113</v>
      </c>
      <c r="R1539" t="s">
        <v>3259</v>
      </c>
      <c r="S1539" t="s">
        <v>3267</v>
      </c>
      <c r="T1539" t="s">
        <v>3294</v>
      </c>
      <c r="X1539" t="s">
        <v>3354</v>
      </c>
      <c r="Y1539" t="s">
        <v>2678</v>
      </c>
      <c r="Z1539" t="s">
        <v>3380</v>
      </c>
      <c r="AA1539" t="s">
        <v>3406</v>
      </c>
      <c r="AB1539" t="s">
        <v>3415</v>
      </c>
      <c r="AC1539">
        <f>HYPERLINK("https://lsnyc.legalserver.org/matter/dynamic-profile/view/1867279","18-1867279")</f>
        <v>0</v>
      </c>
      <c r="AD1539" t="s">
        <v>3444</v>
      </c>
      <c r="AE1539" t="s">
        <v>3464</v>
      </c>
      <c r="AF1539" t="s">
        <v>4134</v>
      </c>
      <c r="AG1539" t="s">
        <v>3380</v>
      </c>
      <c r="AH1539" t="s">
        <v>4906</v>
      </c>
      <c r="AK1539" t="s">
        <v>4911</v>
      </c>
      <c r="AL1539" t="s">
        <v>2117</v>
      </c>
      <c r="AM1539" t="s">
        <v>3294</v>
      </c>
      <c r="AN1539" t="s">
        <v>3415</v>
      </c>
    </row>
    <row r="1540" spans="1:41">
      <c r="A1540" s="1" t="s">
        <v>1576</v>
      </c>
      <c r="B1540" t="s">
        <v>1998</v>
      </c>
      <c r="C1540" t="s">
        <v>1998</v>
      </c>
      <c r="D1540" t="s">
        <v>2039</v>
      </c>
      <c r="E1540" t="s">
        <v>2112</v>
      </c>
      <c r="F1540" t="s">
        <v>2122</v>
      </c>
      <c r="G1540" t="s">
        <v>2212</v>
      </c>
      <c r="H1540">
        <v>11420</v>
      </c>
      <c r="I1540" t="s">
        <v>2230</v>
      </c>
      <c r="J1540">
        <v>3</v>
      </c>
      <c r="K1540">
        <v>1</v>
      </c>
      <c r="L1540" t="s">
        <v>2429</v>
      </c>
      <c r="M1540" t="s">
        <v>2677</v>
      </c>
      <c r="P1540" t="s">
        <v>2759</v>
      </c>
      <c r="Q1540" t="s">
        <v>2113</v>
      </c>
      <c r="R1540" t="s">
        <v>3258</v>
      </c>
      <c r="S1540" t="s">
        <v>3271</v>
      </c>
      <c r="X1540" t="s">
        <v>3354</v>
      </c>
      <c r="Y1540" t="s">
        <v>2678</v>
      </c>
      <c r="Z1540" t="s">
        <v>3369</v>
      </c>
      <c r="AA1540" t="s">
        <v>3406</v>
      </c>
      <c r="AB1540" t="s">
        <v>3419</v>
      </c>
      <c r="AC1540">
        <f>HYPERLINK("https://lsnyc.legalserver.org/matter/dynamic-profile/view/1867096","18-1867096")</f>
        <v>0</v>
      </c>
      <c r="AD1540" t="s">
        <v>3443</v>
      </c>
      <c r="AE1540" t="s">
        <v>3477</v>
      </c>
      <c r="AF1540" t="s">
        <v>4616</v>
      </c>
      <c r="AG1540" t="s">
        <v>3369</v>
      </c>
      <c r="AH1540" t="s">
        <v>4904</v>
      </c>
      <c r="AL1540" t="s">
        <v>2122</v>
      </c>
      <c r="AN1540" t="s">
        <v>3419</v>
      </c>
    </row>
    <row r="1541" spans="1:41">
      <c r="A1541" s="1" t="s">
        <v>1577</v>
      </c>
      <c r="B1541" t="s">
        <v>1998</v>
      </c>
      <c r="C1541" t="s">
        <v>2012</v>
      </c>
      <c r="D1541" t="s">
        <v>2108</v>
      </c>
      <c r="E1541" t="s">
        <v>2111</v>
      </c>
      <c r="F1541" t="s">
        <v>2114</v>
      </c>
      <c r="G1541" t="s">
        <v>2212</v>
      </c>
      <c r="H1541">
        <v>11432</v>
      </c>
      <c r="I1541" t="s">
        <v>2229</v>
      </c>
      <c r="J1541">
        <v>2</v>
      </c>
      <c r="K1541">
        <v>0</v>
      </c>
      <c r="L1541" t="s">
        <v>2581</v>
      </c>
      <c r="M1541" t="s">
        <v>2677</v>
      </c>
      <c r="P1541" t="s">
        <v>3057</v>
      </c>
      <c r="Q1541" t="s">
        <v>2113</v>
      </c>
      <c r="R1541" t="s">
        <v>3258</v>
      </c>
      <c r="S1541" t="s">
        <v>3279</v>
      </c>
      <c r="X1541" t="s">
        <v>3354</v>
      </c>
      <c r="Y1541" t="s">
        <v>2678</v>
      </c>
      <c r="Z1541" t="s">
        <v>3377</v>
      </c>
      <c r="AA1541" t="s">
        <v>3406</v>
      </c>
      <c r="AB1541" t="s">
        <v>3427</v>
      </c>
      <c r="AC1541">
        <f>HYPERLINK("https://lsnyc.legalserver.org/matter/dynamic-profile/view/1867104","18-1867104")</f>
        <v>0</v>
      </c>
      <c r="AD1541" t="s">
        <v>3443</v>
      </c>
      <c r="AE1541" t="s">
        <v>3477</v>
      </c>
      <c r="AF1541" t="s">
        <v>4617</v>
      </c>
      <c r="AG1541" t="s">
        <v>3377</v>
      </c>
      <c r="AH1541" t="s">
        <v>4904</v>
      </c>
      <c r="AK1541" t="s">
        <v>4911</v>
      </c>
      <c r="AL1541" t="s">
        <v>2114</v>
      </c>
      <c r="AN1541" t="s">
        <v>3427</v>
      </c>
    </row>
    <row r="1542" spans="1:41">
      <c r="A1542" s="1" t="s">
        <v>1578</v>
      </c>
      <c r="B1542" t="s">
        <v>2009</v>
      </c>
      <c r="C1542" t="s">
        <v>2005</v>
      </c>
      <c r="D1542" t="s">
        <v>2052</v>
      </c>
      <c r="E1542" t="s">
        <v>2111</v>
      </c>
      <c r="F1542" t="s">
        <v>2115</v>
      </c>
      <c r="G1542" t="s">
        <v>2216</v>
      </c>
      <c r="H1542">
        <v>10304</v>
      </c>
      <c r="I1542" t="s">
        <v>2229</v>
      </c>
      <c r="J1542">
        <v>2</v>
      </c>
      <c r="K1542">
        <v>1</v>
      </c>
      <c r="L1542" t="s">
        <v>2260</v>
      </c>
      <c r="M1542" t="s">
        <v>2677</v>
      </c>
      <c r="P1542" t="s">
        <v>3057</v>
      </c>
      <c r="Q1542" t="s">
        <v>3255</v>
      </c>
      <c r="R1542" t="s">
        <v>3259</v>
      </c>
      <c r="S1542" t="s">
        <v>3272</v>
      </c>
      <c r="T1542" t="s">
        <v>3294</v>
      </c>
      <c r="U1542" t="s">
        <v>3055</v>
      </c>
      <c r="X1542" t="s">
        <v>3354</v>
      </c>
      <c r="Y1542" t="s">
        <v>2678</v>
      </c>
      <c r="Z1542" t="s">
        <v>3364</v>
      </c>
      <c r="AA1542" t="s">
        <v>3406</v>
      </c>
      <c r="AB1542" t="s">
        <v>3420</v>
      </c>
      <c r="AC1542">
        <f>HYPERLINK("https://lsnyc.legalserver.org/matter/dynamic-profile/view/1867108","18-1867108")</f>
        <v>0</v>
      </c>
      <c r="AD1542" t="s">
        <v>3447</v>
      </c>
      <c r="AE1542" t="s">
        <v>3478</v>
      </c>
      <c r="AF1542" t="s">
        <v>4618</v>
      </c>
      <c r="AG1542" t="s">
        <v>3364</v>
      </c>
      <c r="AH1542" t="s">
        <v>4904</v>
      </c>
      <c r="AK1542" t="s">
        <v>4911</v>
      </c>
      <c r="AL1542" t="s">
        <v>2115</v>
      </c>
      <c r="AM1542" t="s">
        <v>3294</v>
      </c>
      <c r="AN1542" t="s">
        <v>3420</v>
      </c>
    </row>
    <row r="1543" spans="1:41">
      <c r="A1543" s="1" t="s">
        <v>1579</v>
      </c>
      <c r="B1543" t="s">
        <v>2004</v>
      </c>
      <c r="C1543" t="s">
        <v>1998</v>
      </c>
      <c r="D1543" t="s">
        <v>2093</v>
      </c>
      <c r="E1543" t="s">
        <v>2112</v>
      </c>
      <c r="F1543" t="s">
        <v>2123</v>
      </c>
      <c r="G1543" t="s">
        <v>2212</v>
      </c>
      <c r="H1543">
        <v>11372</v>
      </c>
      <c r="J1543">
        <v>3</v>
      </c>
      <c r="K1543">
        <v>1</v>
      </c>
      <c r="L1543" t="s">
        <v>2582</v>
      </c>
      <c r="M1543" t="s">
        <v>2677</v>
      </c>
      <c r="P1543" t="s">
        <v>3057</v>
      </c>
      <c r="Q1543" t="s">
        <v>2113</v>
      </c>
      <c r="R1543" t="s">
        <v>3258</v>
      </c>
      <c r="S1543" t="s">
        <v>3279</v>
      </c>
      <c r="X1543" t="s">
        <v>3354</v>
      </c>
      <c r="Y1543" t="s">
        <v>2678</v>
      </c>
      <c r="Z1543" t="s">
        <v>3377</v>
      </c>
      <c r="AA1543" t="s">
        <v>3406</v>
      </c>
      <c r="AB1543" t="s">
        <v>3427</v>
      </c>
      <c r="AC1543">
        <f>HYPERLINK("https://lsnyc.legalserver.org/matter/dynamic-profile/view/1867133","18-1867133")</f>
        <v>0</v>
      </c>
      <c r="AD1543" t="s">
        <v>3443</v>
      </c>
      <c r="AE1543" t="s">
        <v>3477</v>
      </c>
      <c r="AF1543" t="s">
        <v>4619</v>
      </c>
      <c r="AG1543" t="s">
        <v>3377</v>
      </c>
      <c r="AH1543" t="s">
        <v>4904</v>
      </c>
      <c r="AK1543" t="s">
        <v>4911</v>
      </c>
      <c r="AL1543" t="s">
        <v>2123</v>
      </c>
      <c r="AN1543" t="s">
        <v>3427</v>
      </c>
    </row>
    <row r="1544" spans="1:41">
      <c r="A1544" s="1" t="s">
        <v>1580</v>
      </c>
      <c r="B1544" t="s">
        <v>2016</v>
      </c>
      <c r="C1544" t="s">
        <v>1998</v>
      </c>
      <c r="D1544" t="s">
        <v>2049</v>
      </c>
      <c r="E1544" t="s">
        <v>2111</v>
      </c>
      <c r="F1544" t="s">
        <v>2117</v>
      </c>
      <c r="G1544" t="s">
        <v>2213</v>
      </c>
      <c r="H1544">
        <v>10456</v>
      </c>
      <c r="I1544" t="s">
        <v>2229</v>
      </c>
      <c r="J1544">
        <v>6</v>
      </c>
      <c r="K1544">
        <v>2</v>
      </c>
      <c r="L1544" t="s">
        <v>2583</v>
      </c>
      <c r="M1544" t="s">
        <v>2678</v>
      </c>
      <c r="P1544" t="s">
        <v>3057</v>
      </c>
      <c r="Q1544" t="s">
        <v>2113</v>
      </c>
      <c r="R1544" t="s">
        <v>3259</v>
      </c>
      <c r="S1544" t="s">
        <v>3267</v>
      </c>
      <c r="T1544" t="s">
        <v>3294</v>
      </c>
      <c r="U1544" t="s">
        <v>2900</v>
      </c>
      <c r="V1544" t="s">
        <v>3353</v>
      </c>
      <c r="X1544" t="s">
        <v>3354</v>
      </c>
      <c r="Y1544" t="s">
        <v>2678</v>
      </c>
      <c r="Z1544" t="s">
        <v>3380</v>
      </c>
      <c r="AA1544" t="s">
        <v>3406</v>
      </c>
      <c r="AB1544" t="s">
        <v>3415</v>
      </c>
      <c r="AC1544">
        <f>HYPERLINK("https://lsnyc.legalserver.org/matter/dynamic-profile/view/1867206","18-1867206")</f>
        <v>0</v>
      </c>
      <c r="AD1544" t="s">
        <v>3444</v>
      </c>
      <c r="AE1544" t="s">
        <v>3468</v>
      </c>
      <c r="AF1544" t="s">
        <v>3821</v>
      </c>
      <c r="AG1544" t="s">
        <v>3380</v>
      </c>
      <c r="AH1544" t="s">
        <v>4906</v>
      </c>
      <c r="AJ1544" t="s">
        <v>4910</v>
      </c>
      <c r="AK1544" t="s">
        <v>4911</v>
      </c>
      <c r="AL1544" t="s">
        <v>2117</v>
      </c>
      <c r="AM1544" t="s">
        <v>3294</v>
      </c>
      <c r="AN1544" t="s">
        <v>3415</v>
      </c>
      <c r="AO1544" t="s">
        <v>3353</v>
      </c>
    </row>
    <row r="1545" spans="1:41">
      <c r="A1545" s="1" t="s">
        <v>1581</v>
      </c>
      <c r="B1545" t="s">
        <v>2017</v>
      </c>
      <c r="C1545" t="s">
        <v>2001</v>
      </c>
      <c r="D1545" t="s">
        <v>2085</v>
      </c>
      <c r="E1545" t="s">
        <v>2112</v>
      </c>
      <c r="F1545" t="s">
        <v>2121</v>
      </c>
      <c r="G1545" t="s">
        <v>2211</v>
      </c>
      <c r="H1545">
        <v>10009</v>
      </c>
      <c r="I1545" t="s">
        <v>2229</v>
      </c>
      <c r="J1545">
        <v>1</v>
      </c>
      <c r="K1545">
        <v>0</v>
      </c>
      <c r="L1545" t="s">
        <v>2584</v>
      </c>
      <c r="M1545" t="s">
        <v>2677</v>
      </c>
      <c r="P1545" t="s">
        <v>2789</v>
      </c>
      <c r="Q1545" t="s">
        <v>2113</v>
      </c>
      <c r="R1545" t="s">
        <v>3258</v>
      </c>
      <c r="S1545" t="s">
        <v>3271</v>
      </c>
      <c r="T1545" t="s">
        <v>3294</v>
      </c>
      <c r="U1545" t="s">
        <v>2739</v>
      </c>
      <c r="V1545" t="s">
        <v>3352</v>
      </c>
      <c r="X1545" t="s">
        <v>3354</v>
      </c>
      <c r="Y1545" t="s">
        <v>2677</v>
      </c>
      <c r="Z1545" t="s">
        <v>3362</v>
      </c>
      <c r="AA1545" t="s">
        <v>3406</v>
      </c>
      <c r="AB1545" t="s">
        <v>3419</v>
      </c>
      <c r="AC1545">
        <f>HYPERLINK("https://lsnyc.legalserver.org/matter/dynamic-profile/view/1867028","18-1867028")</f>
        <v>0</v>
      </c>
      <c r="AD1545" t="s">
        <v>3443</v>
      </c>
      <c r="AE1545" t="s">
        <v>3450</v>
      </c>
      <c r="AF1545" t="s">
        <v>4620</v>
      </c>
      <c r="AG1545" t="s">
        <v>3362</v>
      </c>
      <c r="AH1545" t="s">
        <v>4904</v>
      </c>
      <c r="AL1545" t="s">
        <v>2121</v>
      </c>
      <c r="AM1545" t="s">
        <v>3294</v>
      </c>
      <c r="AN1545" t="s">
        <v>3419</v>
      </c>
      <c r="AO1545" t="s">
        <v>3352</v>
      </c>
    </row>
    <row r="1546" spans="1:41">
      <c r="A1546" s="1" t="s">
        <v>1582</v>
      </c>
      <c r="B1546" t="s">
        <v>1998</v>
      </c>
      <c r="C1546" t="s">
        <v>2016</v>
      </c>
      <c r="D1546" t="s">
        <v>2038</v>
      </c>
      <c r="E1546" t="s">
        <v>2112</v>
      </c>
      <c r="F1546" t="s">
        <v>2135</v>
      </c>
      <c r="G1546" t="s">
        <v>2213</v>
      </c>
      <c r="H1546">
        <v>10468</v>
      </c>
      <c r="I1546" t="s">
        <v>2229</v>
      </c>
      <c r="J1546">
        <v>1</v>
      </c>
      <c r="K1546">
        <v>0</v>
      </c>
      <c r="L1546" t="s">
        <v>2260</v>
      </c>
      <c r="M1546" t="s">
        <v>2677</v>
      </c>
      <c r="P1546" t="s">
        <v>3058</v>
      </c>
      <c r="Q1546" t="s">
        <v>2113</v>
      </c>
      <c r="R1546" t="s">
        <v>3258</v>
      </c>
      <c r="S1546" t="s">
        <v>3269</v>
      </c>
      <c r="X1546" t="s">
        <v>3354</v>
      </c>
      <c r="Y1546" t="s">
        <v>2677</v>
      </c>
      <c r="Z1546" t="s">
        <v>3361</v>
      </c>
      <c r="AA1546" t="s">
        <v>3406</v>
      </c>
      <c r="AB1546" t="s">
        <v>3417</v>
      </c>
      <c r="AC1546">
        <f>HYPERLINK("https://lsnyc.legalserver.org/matter/dynamic-profile/view/1866871","18-1866871")</f>
        <v>0</v>
      </c>
      <c r="AD1546" t="s">
        <v>3445</v>
      </c>
      <c r="AE1546" t="s">
        <v>3455</v>
      </c>
      <c r="AF1546" t="s">
        <v>4621</v>
      </c>
      <c r="AG1546" t="s">
        <v>3361</v>
      </c>
      <c r="AH1546" t="s">
        <v>4904</v>
      </c>
      <c r="AK1546" t="s">
        <v>4911</v>
      </c>
      <c r="AL1546" t="s">
        <v>2135</v>
      </c>
      <c r="AN1546" t="s">
        <v>3417</v>
      </c>
    </row>
    <row r="1547" spans="1:41">
      <c r="A1547" s="1" t="s">
        <v>1583</v>
      </c>
      <c r="B1547" t="s">
        <v>2000</v>
      </c>
      <c r="C1547" t="s">
        <v>2012</v>
      </c>
      <c r="D1547" t="s">
        <v>2048</v>
      </c>
      <c r="E1547" t="s">
        <v>2112</v>
      </c>
      <c r="F1547" t="s">
        <v>2152</v>
      </c>
      <c r="G1547" t="s">
        <v>2214</v>
      </c>
      <c r="H1547">
        <v>11206</v>
      </c>
      <c r="J1547">
        <v>1</v>
      </c>
      <c r="K1547">
        <v>0</v>
      </c>
      <c r="L1547" t="s">
        <v>2285</v>
      </c>
      <c r="M1547" t="s">
        <v>2677</v>
      </c>
      <c r="P1547" t="s">
        <v>3058</v>
      </c>
      <c r="Q1547" t="s">
        <v>2113</v>
      </c>
      <c r="R1547" t="s">
        <v>3258</v>
      </c>
      <c r="S1547" t="s">
        <v>3269</v>
      </c>
      <c r="X1547" t="s">
        <v>3354</v>
      </c>
      <c r="Y1547" t="s">
        <v>2677</v>
      </c>
      <c r="Z1547" t="s">
        <v>3361</v>
      </c>
      <c r="AA1547" t="s">
        <v>3406</v>
      </c>
      <c r="AB1547" t="s">
        <v>3417</v>
      </c>
      <c r="AC1547">
        <f>HYPERLINK("https://lsnyc.legalserver.org/matter/dynamic-profile/view/1866879","18-1866879")</f>
        <v>0</v>
      </c>
      <c r="AD1547" t="s">
        <v>3445</v>
      </c>
      <c r="AE1547" t="s">
        <v>3455</v>
      </c>
      <c r="AF1547" t="s">
        <v>4347</v>
      </c>
      <c r="AG1547" t="s">
        <v>3361</v>
      </c>
      <c r="AH1547" t="s">
        <v>4904</v>
      </c>
      <c r="AL1547" t="s">
        <v>2152</v>
      </c>
      <c r="AN1547" t="s">
        <v>3417</v>
      </c>
    </row>
    <row r="1548" spans="1:41">
      <c r="A1548" s="1" t="s">
        <v>1584</v>
      </c>
      <c r="B1548" t="s">
        <v>1998</v>
      </c>
      <c r="C1548" t="s">
        <v>1998</v>
      </c>
      <c r="D1548" t="s">
        <v>2068</v>
      </c>
      <c r="E1548" t="s">
        <v>2112</v>
      </c>
      <c r="F1548" t="s">
        <v>2139</v>
      </c>
      <c r="G1548" t="s">
        <v>2212</v>
      </c>
      <c r="H1548">
        <v>11422</v>
      </c>
      <c r="I1548" t="s">
        <v>2247</v>
      </c>
      <c r="J1548">
        <v>1</v>
      </c>
      <c r="K1548">
        <v>0</v>
      </c>
      <c r="L1548" t="s">
        <v>2285</v>
      </c>
      <c r="M1548" t="s">
        <v>2677</v>
      </c>
      <c r="P1548" t="s">
        <v>3058</v>
      </c>
      <c r="Q1548" t="s">
        <v>2113</v>
      </c>
      <c r="R1548" t="s">
        <v>3258</v>
      </c>
      <c r="S1548" t="s">
        <v>3286</v>
      </c>
      <c r="X1548" t="s">
        <v>3354</v>
      </c>
      <c r="Y1548" t="s">
        <v>2677</v>
      </c>
      <c r="Z1548" t="s">
        <v>3388</v>
      </c>
      <c r="AA1548" t="s">
        <v>3406</v>
      </c>
      <c r="AB1548" t="s">
        <v>3434</v>
      </c>
      <c r="AC1548">
        <f>HYPERLINK("https://lsnyc.legalserver.org/matter/dynamic-profile/view/1866886","18-1866886")</f>
        <v>0</v>
      </c>
      <c r="AD1548" t="s">
        <v>3445</v>
      </c>
      <c r="AE1548" t="s">
        <v>3455</v>
      </c>
      <c r="AF1548" t="s">
        <v>4622</v>
      </c>
      <c r="AG1548" t="s">
        <v>3388</v>
      </c>
      <c r="AH1548" t="s">
        <v>4904</v>
      </c>
      <c r="AK1548" t="s">
        <v>4911</v>
      </c>
      <c r="AL1548" t="s">
        <v>2139</v>
      </c>
      <c r="AN1548" t="s">
        <v>3434</v>
      </c>
    </row>
    <row r="1549" spans="1:41">
      <c r="A1549" s="1" t="s">
        <v>1585</v>
      </c>
      <c r="B1549" t="s">
        <v>1998</v>
      </c>
      <c r="C1549" t="s">
        <v>2001</v>
      </c>
      <c r="D1549" t="s">
        <v>2086</v>
      </c>
      <c r="E1549" t="s">
        <v>2112</v>
      </c>
      <c r="F1549" t="s">
        <v>2165</v>
      </c>
      <c r="G1549" t="s">
        <v>2213</v>
      </c>
      <c r="H1549">
        <v>10467</v>
      </c>
      <c r="J1549">
        <v>1</v>
      </c>
      <c r="K1549">
        <v>0</v>
      </c>
      <c r="L1549" t="s">
        <v>2260</v>
      </c>
      <c r="M1549" t="s">
        <v>2677</v>
      </c>
      <c r="P1549" t="s">
        <v>3058</v>
      </c>
      <c r="Q1549" t="s">
        <v>2113</v>
      </c>
      <c r="R1549" t="s">
        <v>3258</v>
      </c>
      <c r="S1549" t="s">
        <v>3269</v>
      </c>
      <c r="X1549" t="s">
        <v>3354</v>
      </c>
      <c r="Y1549" t="s">
        <v>2677</v>
      </c>
      <c r="Z1549" t="s">
        <v>3361</v>
      </c>
      <c r="AA1549" t="s">
        <v>3406</v>
      </c>
      <c r="AB1549" t="s">
        <v>3417</v>
      </c>
      <c r="AC1549">
        <f>HYPERLINK("https://lsnyc.legalserver.org/matter/dynamic-profile/view/1866910","18-1866910")</f>
        <v>0</v>
      </c>
      <c r="AD1549" t="s">
        <v>3445</v>
      </c>
      <c r="AE1549" t="s">
        <v>3455</v>
      </c>
      <c r="AF1549" t="s">
        <v>4623</v>
      </c>
      <c r="AG1549" t="s">
        <v>3361</v>
      </c>
      <c r="AH1549" t="s">
        <v>4904</v>
      </c>
      <c r="AK1549" t="s">
        <v>4911</v>
      </c>
      <c r="AL1549" t="s">
        <v>2165</v>
      </c>
      <c r="AN1549" t="s">
        <v>3417</v>
      </c>
    </row>
    <row r="1550" spans="1:41">
      <c r="A1550" s="1" t="s">
        <v>1586</v>
      </c>
      <c r="B1550" t="s">
        <v>2001</v>
      </c>
      <c r="C1550" t="s">
        <v>1998</v>
      </c>
      <c r="D1550" t="s">
        <v>2056</v>
      </c>
      <c r="E1550" t="s">
        <v>2112</v>
      </c>
      <c r="F1550" t="s">
        <v>2123</v>
      </c>
      <c r="G1550" t="s">
        <v>2212</v>
      </c>
      <c r="H1550">
        <v>11418</v>
      </c>
      <c r="I1550" t="s">
        <v>2229</v>
      </c>
      <c r="J1550">
        <v>2</v>
      </c>
      <c r="K1550">
        <v>1</v>
      </c>
      <c r="L1550" t="s">
        <v>2260</v>
      </c>
      <c r="M1550" t="s">
        <v>2677</v>
      </c>
      <c r="P1550" t="s">
        <v>3058</v>
      </c>
      <c r="Q1550" t="s">
        <v>2113</v>
      </c>
      <c r="R1550" t="s">
        <v>3258</v>
      </c>
      <c r="S1550" t="s">
        <v>3286</v>
      </c>
      <c r="X1550" t="s">
        <v>3354</v>
      </c>
      <c r="Y1550" t="s">
        <v>2677</v>
      </c>
      <c r="Z1550" t="s">
        <v>3388</v>
      </c>
      <c r="AA1550" t="s">
        <v>3406</v>
      </c>
      <c r="AB1550" t="s">
        <v>3434</v>
      </c>
      <c r="AC1550">
        <f>HYPERLINK("https://lsnyc.legalserver.org/matter/dynamic-profile/view/1866914","18-1866914")</f>
        <v>0</v>
      </c>
      <c r="AD1550" t="s">
        <v>3445</v>
      </c>
      <c r="AE1550" t="s">
        <v>3455</v>
      </c>
      <c r="AF1550" t="s">
        <v>4624</v>
      </c>
      <c r="AG1550" t="s">
        <v>3388</v>
      </c>
      <c r="AH1550" t="s">
        <v>4904</v>
      </c>
      <c r="AK1550" t="s">
        <v>4911</v>
      </c>
      <c r="AL1550" t="s">
        <v>2123</v>
      </c>
      <c r="AN1550" t="s">
        <v>3434</v>
      </c>
    </row>
    <row r="1551" spans="1:41">
      <c r="A1551" s="1" t="s">
        <v>1587</v>
      </c>
      <c r="B1551" t="s">
        <v>1998</v>
      </c>
      <c r="C1551" t="s">
        <v>1998</v>
      </c>
      <c r="D1551" t="s">
        <v>2099</v>
      </c>
      <c r="E1551" t="s">
        <v>2112</v>
      </c>
      <c r="F1551" t="s">
        <v>2201</v>
      </c>
      <c r="G1551" t="s">
        <v>2212</v>
      </c>
      <c r="H1551">
        <v>11104</v>
      </c>
      <c r="J1551">
        <v>1</v>
      </c>
      <c r="K1551">
        <v>0</v>
      </c>
      <c r="L1551" t="s">
        <v>2392</v>
      </c>
      <c r="M1551" t="s">
        <v>2677</v>
      </c>
      <c r="P1551" t="s">
        <v>3058</v>
      </c>
      <c r="Q1551" t="s">
        <v>2113</v>
      </c>
      <c r="R1551" t="s">
        <v>3258</v>
      </c>
      <c r="S1551" t="s">
        <v>3286</v>
      </c>
      <c r="X1551" t="s">
        <v>3354</v>
      </c>
      <c r="Y1551" t="s">
        <v>2677</v>
      </c>
      <c r="Z1551" t="s">
        <v>3388</v>
      </c>
      <c r="AA1551" t="s">
        <v>3406</v>
      </c>
      <c r="AB1551" t="s">
        <v>3434</v>
      </c>
      <c r="AC1551">
        <f>HYPERLINK("https://lsnyc.legalserver.org/matter/dynamic-profile/view/1866926","18-1866926")</f>
        <v>0</v>
      </c>
      <c r="AD1551" t="s">
        <v>3445</v>
      </c>
      <c r="AE1551" t="s">
        <v>3455</v>
      </c>
      <c r="AF1551" t="s">
        <v>4625</v>
      </c>
      <c r="AG1551" t="s">
        <v>3388</v>
      </c>
      <c r="AH1551" t="s">
        <v>4904</v>
      </c>
      <c r="AK1551" t="s">
        <v>4911</v>
      </c>
      <c r="AL1551" t="s">
        <v>2201</v>
      </c>
      <c r="AN1551" t="s">
        <v>3434</v>
      </c>
    </row>
    <row r="1552" spans="1:41">
      <c r="A1552" s="1" t="s">
        <v>1588</v>
      </c>
      <c r="B1552" t="s">
        <v>2000</v>
      </c>
      <c r="C1552" t="s">
        <v>2017</v>
      </c>
      <c r="D1552" t="s">
        <v>2048</v>
      </c>
      <c r="E1552" t="s">
        <v>2112</v>
      </c>
      <c r="F1552" t="s">
        <v>2202</v>
      </c>
      <c r="G1552" t="s">
        <v>2212</v>
      </c>
      <c r="H1552">
        <v>11433</v>
      </c>
      <c r="J1552">
        <v>2</v>
      </c>
      <c r="K1552">
        <v>1</v>
      </c>
      <c r="L1552" t="s">
        <v>2585</v>
      </c>
      <c r="M1552" t="s">
        <v>2677</v>
      </c>
      <c r="P1552" t="s">
        <v>3058</v>
      </c>
      <c r="Q1552" t="s">
        <v>2113</v>
      </c>
      <c r="R1552" t="s">
        <v>3259</v>
      </c>
      <c r="S1552" t="s">
        <v>3270</v>
      </c>
      <c r="X1552" t="s">
        <v>3354</v>
      </c>
      <c r="Y1552" t="s">
        <v>2677</v>
      </c>
      <c r="Z1552" t="s">
        <v>3361</v>
      </c>
      <c r="AA1552" t="s">
        <v>3406</v>
      </c>
      <c r="AB1552" t="s">
        <v>3418</v>
      </c>
      <c r="AC1552">
        <f>HYPERLINK("https://lsnyc.legalserver.org/matter/dynamic-profile/view/1866930","18-1866930")</f>
        <v>0</v>
      </c>
      <c r="AD1552" t="s">
        <v>3445</v>
      </c>
      <c r="AE1552" t="s">
        <v>3455</v>
      </c>
      <c r="AF1552" t="s">
        <v>4626</v>
      </c>
      <c r="AG1552" t="s">
        <v>3361</v>
      </c>
      <c r="AH1552" t="s">
        <v>4904</v>
      </c>
      <c r="AK1552" t="s">
        <v>4911</v>
      </c>
      <c r="AL1552" t="s">
        <v>2202</v>
      </c>
      <c r="AN1552" t="s">
        <v>3418</v>
      </c>
    </row>
    <row r="1553" spans="1:40">
      <c r="A1553" s="1" t="s">
        <v>1589</v>
      </c>
      <c r="B1553" t="s">
        <v>2019</v>
      </c>
      <c r="C1553" t="s">
        <v>1998</v>
      </c>
      <c r="D1553" t="s">
        <v>2062</v>
      </c>
      <c r="E1553" t="s">
        <v>2112</v>
      </c>
      <c r="F1553" t="s">
        <v>2120</v>
      </c>
      <c r="G1553" t="s">
        <v>2212</v>
      </c>
      <c r="H1553">
        <v>11412</v>
      </c>
      <c r="I1553" t="s">
        <v>2230</v>
      </c>
      <c r="J1553">
        <v>1</v>
      </c>
      <c r="K1553">
        <v>0</v>
      </c>
      <c r="L1553" t="s">
        <v>2260</v>
      </c>
      <c r="M1553" t="s">
        <v>2677</v>
      </c>
      <c r="P1553" t="s">
        <v>3059</v>
      </c>
      <c r="Q1553" t="s">
        <v>2113</v>
      </c>
      <c r="R1553" t="s">
        <v>3258</v>
      </c>
      <c r="S1553" t="s">
        <v>3279</v>
      </c>
      <c r="X1553" t="s">
        <v>3354</v>
      </c>
      <c r="Y1553" t="s">
        <v>2678</v>
      </c>
      <c r="Z1553" t="s">
        <v>3377</v>
      </c>
      <c r="AA1553" t="s">
        <v>3406</v>
      </c>
      <c r="AB1553" t="s">
        <v>3427</v>
      </c>
      <c r="AC1553">
        <f>HYPERLINK("https://lsnyc.legalserver.org/matter/dynamic-profile/view/1866637","18-1866637")</f>
        <v>0</v>
      </c>
      <c r="AD1553" t="s">
        <v>3443</v>
      </c>
      <c r="AE1553" t="s">
        <v>3477</v>
      </c>
      <c r="AF1553" t="s">
        <v>4627</v>
      </c>
      <c r="AG1553" t="s">
        <v>3377</v>
      </c>
      <c r="AH1553" t="s">
        <v>4904</v>
      </c>
      <c r="AK1553" t="s">
        <v>4911</v>
      </c>
      <c r="AL1553" t="s">
        <v>2120</v>
      </c>
      <c r="AN1553" t="s">
        <v>3427</v>
      </c>
    </row>
    <row r="1554" spans="1:40">
      <c r="A1554" s="1" t="s">
        <v>1590</v>
      </c>
      <c r="B1554" t="s">
        <v>1998</v>
      </c>
      <c r="C1554" t="s">
        <v>2016</v>
      </c>
      <c r="D1554" t="s">
        <v>2086</v>
      </c>
      <c r="E1554" t="s">
        <v>2112</v>
      </c>
      <c r="F1554" t="s">
        <v>2123</v>
      </c>
      <c r="G1554" t="s">
        <v>2213</v>
      </c>
      <c r="H1554">
        <v>10456</v>
      </c>
      <c r="I1554" t="s">
        <v>2229</v>
      </c>
      <c r="J1554">
        <v>1</v>
      </c>
      <c r="K1554">
        <v>0</v>
      </c>
      <c r="L1554" t="s">
        <v>2299</v>
      </c>
      <c r="M1554" t="s">
        <v>2677</v>
      </c>
      <c r="P1554" t="s">
        <v>3059</v>
      </c>
      <c r="Q1554" t="s">
        <v>2113</v>
      </c>
      <c r="R1554" t="s">
        <v>3259</v>
      </c>
      <c r="S1554" t="s">
        <v>3270</v>
      </c>
      <c r="X1554" t="s">
        <v>3354</v>
      </c>
      <c r="Y1554" t="s">
        <v>2677</v>
      </c>
      <c r="Z1554" t="s">
        <v>3388</v>
      </c>
      <c r="AA1554" t="s">
        <v>3406</v>
      </c>
      <c r="AB1554" t="s">
        <v>3418</v>
      </c>
      <c r="AC1554">
        <f>HYPERLINK("https://lsnyc.legalserver.org/matter/dynamic-profile/view/1866638","18-1866638")</f>
        <v>0</v>
      </c>
      <c r="AD1554" t="s">
        <v>3445</v>
      </c>
      <c r="AE1554" t="s">
        <v>3455</v>
      </c>
      <c r="AF1554" t="s">
        <v>4628</v>
      </c>
      <c r="AG1554" t="s">
        <v>3388</v>
      </c>
      <c r="AH1554" t="s">
        <v>4904</v>
      </c>
      <c r="AK1554" t="s">
        <v>4911</v>
      </c>
      <c r="AL1554" t="s">
        <v>2123</v>
      </c>
      <c r="AN1554" t="s">
        <v>3418</v>
      </c>
    </row>
    <row r="1555" spans="1:40">
      <c r="A1555" s="1" t="s">
        <v>1591</v>
      </c>
      <c r="B1555" t="s">
        <v>2000</v>
      </c>
      <c r="C1555" t="s">
        <v>2016</v>
      </c>
      <c r="D1555" t="s">
        <v>2083</v>
      </c>
      <c r="E1555" t="s">
        <v>2112</v>
      </c>
      <c r="F1555" t="s">
        <v>2123</v>
      </c>
      <c r="G1555" t="s">
        <v>2212</v>
      </c>
      <c r="H1555">
        <v>11433</v>
      </c>
      <c r="I1555" t="s">
        <v>2229</v>
      </c>
      <c r="J1555">
        <v>4</v>
      </c>
      <c r="K1555">
        <v>2</v>
      </c>
      <c r="L1555" t="s">
        <v>2586</v>
      </c>
      <c r="M1555" t="s">
        <v>2677</v>
      </c>
      <c r="P1555" t="s">
        <v>3059</v>
      </c>
      <c r="Q1555" t="s">
        <v>2113</v>
      </c>
      <c r="R1555" t="s">
        <v>3258</v>
      </c>
      <c r="S1555" t="s">
        <v>3286</v>
      </c>
      <c r="X1555" t="s">
        <v>3354</v>
      </c>
      <c r="Y1555" t="s">
        <v>2677</v>
      </c>
      <c r="Z1555" t="s">
        <v>3388</v>
      </c>
      <c r="AA1555" t="s">
        <v>3406</v>
      </c>
      <c r="AB1555" t="s">
        <v>3434</v>
      </c>
      <c r="AC1555">
        <f>HYPERLINK("https://lsnyc.legalserver.org/matter/dynamic-profile/view/1866643","18-1866643")</f>
        <v>0</v>
      </c>
      <c r="AD1555" t="s">
        <v>3445</v>
      </c>
      <c r="AE1555" t="s">
        <v>3455</v>
      </c>
      <c r="AF1555" t="s">
        <v>4629</v>
      </c>
      <c r="AG1555" t="s">
        <v>3388</v>
      </c>
      <c r="AH1555" t="s">
        <v>4904</v>
      </c>
      <c r="AK1555" t="s">
        <v>4911</v>
      </c>
      <c r="AL1555" t="s">
        <v>2123</v>
      </c>
      <c r="AN1555" t="s">
        <v>3434</v>
      </c>
    </row>
    <row r="1556" spans="1:40">
      <c r="A1556" s="1" t="s">
        <v>1592</v>
      </c>
      <c r="B1556" t="s">
        <v>1998</v>
      </c>
      <c r="C1556" t="s">
        <v>2000</v>
      </c>
      <c r="D1556" t="s">
        <v>2038</v>
      </c>
      <c r="E1556" t="s">
        <v>2112</v>
      </c>
      <c r="F1556" t="s">
        <v>2123</v>
      </c>
      <c r="G1556" t="s">
        <v>2212</v>
      </c>
      <c r="H1556">
        <v>11102</v>
      </c>
      <c r="I1556" t="s">
        <v>2229</v>
      </c>
      <c r="J1556">
        <v>1</v>
      </c>
      <c r="K1556">
        <v>0</v>
      </c>
      <c r="L1556" t="s">
        <v>2262</v>
      </c>
      <c r="M1556" t="s">
        <v>2677</v>
      </c>
      <c r="P1556" t="s">
        <v>3059</v>
      </c>
      <c r="Q1556" t="s">
        <v>2113</v>
      </c>
      <c r="R1556" t="s">
        <v>3258</v>
      </c>
      <c r="S1556" t="s">
        <v>3286</v>
      </c>
      <c r="T1556" t="s">
        <v>3294</v>
      </c>
      <c r="U1556" t="s">
        <v>3321</v>
      </c>
      <c r="X1556" t="s">
        <v>3354</v>
      </c>
      <c r="Y1556" t="s">
        <v>2677</v>
      </c>
      <c r="Z1556" t="s">
        <v>3388</v>
      </c>
      <c r="AA1556" t="s">
        <v>3406</v>
      </c>
      <c r="AB1556" t="s">
        <v>3434</v>
      </c>
      <c r="AC1556">
        <f>HYPERLINK("https://lsnyc.legalserver.org/matter/dynamic-profile/view/1866673","18-1866673")</f>
        <v>0</v>
      </c>
      <c r="AD1556" t="s">
        <v>3445</v>
      </c>
      <c r="AE1556" t="s">
        <v>3455</v>
      </c>
      <c r="AF1556" t="s">
        <v>4630</v>
      </c>
      <c r="AG1556" t="s">
        <v>3388</v>
      </c>
      <c r="AH1556" t="s">
        <v>4904</v>
      </c>
      <c r="AK1556" t="s">
        <v>4911</v>
      </c>
      <c r="AL1556" t="s">
        <v>2123</v>
      </c>
      <c r="AM1556" t="s">
        <v>3294</v>
      </c>
      <c r="AN1556" t="s">
        <v>3434</v>
      </c>
    </row>
    <row r="1557" spans="1:40">
      <c r="A1557" s="1" t="s">
        <v>1593</v>
      </c>
      <c r="B1557" t="s">
        <v>2004</v>
      </c>
      <c r="C1557" t="s">
        <v>2005</v>
      </c>
      <c r="D1557" t="s">
        <v>2092</v>
      </c>
      <c r="E1557" t="s">
        <v>2112</v>
      </c>
      <c r="F1557" t="s">
        <v>2120</v>
      </c>
      <c r="G1557" t="s">
        <v>2212</v>
      </c>
      <c r="H1557">
        <v>11433</v>
      </c>
      <c r="I1557" t="s">
        <v>2230</v>
      </c>
      <c r="J1557">
        <v>3</v>
      </c>
      <c r="K1557">
        <v>1</v>
      </c>
      <c r="L1557" t="s">
        <v>2587</v>
      </c>
      <c r="M1557" t="s">
        <v>2677</v>
      </c>
      <c r="P1557" t="s">
        <v>3059</v>
      </c>
      <c r="Q1557" t="s">
        <v>2113</v>
      </c>
      <c r="R1557" t="s">
        <v>3258</v>
      </c>
      <c r="S1557" t="s">
        <v>3286</v>
      </c>
      <c r="X1557" t="s">
        <v>3354</v>
      </c>
      <c r="Y1557" t="s">
        <v>2677</v>
      </c>
      <c r="Z1557" t="s">
        <v>3388</v>
      </c>
      <c r="AA1557" t="s">
        <v>3406</v>
      </c>
      <c r="AB1557" t="s">
        <v>3434</v>
      </c>
      <c r="AC1557">
        <f>HYPERLINK("https://lsnyc.legalserver.org/matter/dynamic-profile/view/1866682","18-1866682")</f>
        <v>0</v>
      </c>
      <c r="AD1557" t="s">
        <v>3445</v>
      </c>
      <c r="AE1557" t="s">
        <v>3455</v>
      </c>
      <c r="AF1557" t="s">
        <v>4631</v>
      </c>
      <c r="AG1557" t="s">
        <v>3388</v>
      </c>
      <c r="AH1557" t="s">
        <v>4904</v>
      </c>
      <c r="AK1557" t="s">
        <v>4911</v>
      </c>
      <c r="AL1557" t="s">
        <v>2120</v>
      </c>
      <c r="AN1557" t="s">
        <v>3434</v>
      </c>
    </row>
    <row r="1558" spans="1:40">
      <c r="A1558" s="1" t="s">
        <v>1594</v>
      </c>
      <c r="B1558" t="s">
        <v>2002</v>
      </c>
      <c r="C1558" t="s">
        <v>2002</v>
      </c>
      <c r="D1558" t="s">
        <v>2108</v>
      </c>
      <c r="E1558" t="s">
        <v>2112</v>
      </c>
      <c r="F1558" t="s">
        <v>2135</v>
      </c>
      <c r="G1558" t="s">
        <v>2213</v>
      </c>
      <c r="H1558">
        <v>10451</v>
      </c>
      <c r="J1558">
        <v>2</v>
      </c>
      <c r="K1558">
        <v>0</v>
      </c>
      <c r="L1558" t="s">
        <v>2521</v>
      </c>
      <c r="M1558" t="s">
        <v>2677</v>
      </c>
      <c r="P1558" t="s">
        <v>3059</v>
      </c>
      <c r="Q1558" t="s">
        <v>2113</v>
      </c>
      <c r="R1558" t="s">
        <v>3258</v>
      </c>
      <c r="S1558" t="s">
        <v>3286</v>
      </c>
      <c r="X1558" t="s">
        <v>3354</v>
      </c>
      <c r="Y1558" t="s">
        <v>2677</v>
      </c>
      <c r="Z1558" t="s">
        <v>3388</v>
      </c>
      <c r="AA1558" t="s">
        <v>3406</v>
      </c>
      <c r="AB1558" t="s">
        <v>3434</v>
      </c>
      <c r="AC1558">
        <f>HYPERLINK("https://lsnyc.legalserver.org/matter/dynamic-profile/view/1866690","18-1866690")</f>
        <v>0</v>
      </c>
      <c r="AD1558" t="s">
        <v>3445</v>
      </c>
      <c r="AE1558" t="s">
        <v>3455</v>
      </c>
      <c r="AF1558" t="s">
        <v>4632</v>
      </c>
      <c r="AG1558" t="s">
        <v>3388</v>
      </c>
      <c r="AH1558" t="s">
        <v>4904</v>
      </c>
      <c r="AK1558" t="s">
        <v>4911</v>
      </c>
      <c r="AL1558" t="s">
        <v>2135</v>
      </c>
      <c r="AN1558" t="s">
        <v>3434</v>
      </c>
    </row>
    <row r="1559" spans="1:40">
      <c r="A1559" s="1" t="s">
        <v>1595</v>
      </c>
      <c r="B1559" t="s">
        <v>2000</v>
      </c>
      <c r="C1559" t="s">
        <v>2016</v>
      </c>
      <c r="D1559" t="s">
        <v>2096</v>
      </c>
      <c r="E1559" t="s">
        <v>2111</v>
      </c>
      <c r="F1559" t="s">
        <v>2116</v>
      </c>
      <c r="G1559" t="s">
        <v>2212</v>
      </c>
      <c r="H1559">
        <v>11426</v>
      </c>
      <c r="I1559" t="s">
        <v>2229</v>
      </c>
      <c r="J1559">
        <v>3</v>
      </c>
      <c r="K1559">
        <v>1</v>
      </c>
      <c r="L1559" t="s">
        <v>2307</v>
      </c>
      <c r="M1559" t="s">
        <v>2678</v>
      </c>
      <c r="P1559" t="s">
        <v>3059</v>
      </c>
      <c r="Q1559" t="s">
        <v>2113</v>
      </c>
      <c r="R1559" t="s">
        <v>3258</v>
      </c>
      <c r="S1559" t="s">
        <v>3271</v>
      </c>
      <c r="X1559" t="s">
        <v>3354</v>
      </c>
      <c r="Y1559" t="s">
        <v>2678</v>
      </c>
      <c r="Z1559" t="s">
        <v>3362</v>
      </c>
      <c r="AA1559" t="s">
        <v>3406</v>
      </c>
      <c r="AB1559" t="s">
        <v>3419</v>
      </c>
      <c r="AC1559">
        <f>HYPERLINK("https://lsnyc.legalserver.org/matter/dynamic-profile/view/1866721","18-1866721")</f>
        <v>0</v>
      </c>
      <c r="AD1559" t="s">
        <v>3443</v>
      </c>
      <c r="AE1559" t="s">
        <v>3477</v>
      </c>
      <c r="AF1559" t="s">
        <v>4633</v>
      </c>
      <c r="AG1559" t="s">
        <v>3362</v>
      </c>
      <c r="AH1559" t="s">
        <v>4904</v>
      </c>
      <c r="AK1559" t="s">
        <v>4911</v>
      </c>
      <c r="AL1559" t="s">
        <v>2116</v>
      </c>
      <c r="AN1559" t="s">
        <v>3419</v>
      </c>
    </row>
    <row r="1560" spans="1:40">
      <c r="A1560" s="1" t="s">
        <v>1596</v>
      </c>
      <c r="B1560" t="s">
        <v>2002</v>
      </c>
      <c r="C1560" t="s">
        <v>2004</v>
      </c>
      <c r="D1560" t="s">
        <v>2077</v>
      </c>
      <c r="E1560" t="s">
        <v>2111</v>
      </c>
      <c r="F1560" t="s">
        <v>2123</v>
      </c>
      <c r="G1560" t="s">
        <v>2211</v>
      </c>
      <c r="H1560">
        <v>10032</v>
      </c>
      <c r="I1560" t="s">
        <v>2229</v>
      </c>
      <c r="J1560">
        <v>1</v>
      </c>
      <c r="K1560">
        <v>0</v>
      </c>
      <c r="L1560" t="s">
        <v>2272</v>
      </c>
      <c r="M1560" t="s">
        <v>2677</v>
      </c>
      <c r="P1560" t="s">
        <v>3059</v>
      </c>
      <c r="Q1560" t="s">
        <v>2113</v>
      </c>
      <c r="R1560" t="s">
        <v>3259</v>
      </c>
      <c r="S1560" t="s">
        <v>3270</v>
      </c>
      <c r="X1560" t="s">
        <v>3354</v>
      </c>
      <c r="Y1560" t="s">
        <v>2677</v>
      </c>
      <c r="Z1560" t="s">
        <v>3362</v>
      </c>
      <c r="AA1560" t="s">
        <v>3406</v>
      </c>
      <c r="AB1560" t="s">
        <v>3418</v>
      </c>
      <c r="AC1560">
        <f>HYPERLINK("https://lsnyc.legalserver.org/matter/dynamic-profile/view/1866781","18-1866781")</f>
        <v>0</v>
      </c>
      <c r="AD1560" t="s">
        <v>3445</v>
      </c>
      <c r="AE1560" t="s">
        <v>3455</v>
      </c>
      <c r="AF1560" t="s">
        <v>4634</v>
      </c>
      <c r="AG1560" t="s">
        <v>3362</v>
      </c>
      <c r="AH1560" t="s">
        <v>4904</v>
      </c>
      <c r="AK1560" t="s">
        <v>4911</v>
      </c>
      <c r="AL1560" t="s">
        <v>2123</v>
      </c>
      <c r="AN1560" t="s">
        <v>3418</v>
      </c>
    </row>
    <row r="1561" spans="1:40">
      <c r="A1561" s="1" t="s">
        <v>1597</v>
      </c>
      <c r="B1561" t="s">
        <v>2000</v>
      </c>
      <c r="C1561" t="s">
        <v>1998</v>
      </c>
      <c r="D1561" t="s">
        <v>2045</v>
      </c>
      <c r="E1561" t="s">
        <v>2112</v>
      </c>
      <c r="F1561" t="s">
        <v>2138</v>
      </c>
      <c r="G1561" t="s">
        <v>2212</v>
      </c>
      <c r="H1561">
        <v>11415</v>
      </c>
      <c r="I1561" t="s">
        <v>2239</v>
      </c>
      <c r="J1561">
        <v>2</v>
      </c>
      <c r="K1561">
        <v>0</v>
      </c>
      <c r="L1561" t="s">
        <v>2286</v>
      </c>
      <c r="M1561" t="s">
        <v>2677</v>
      </c>
      <c r="P1561" t="s">
        <v>3060</v>
      </c>
      <c r="Q1561" t="s">
        <v>2113</v>
      </c>
      <c r="R1561" t="s">
        <v>3259</v>
      </c>
      <c r="S1561" t="s">
        <v>3287</v>
      </c>
      <c r="X1561" t="s">
        <v>3354</v>
      </c>
      <c r="Y1561" t="s">
        <v>2677</v>
      </c>
      <c r="Z1561" t="s">
        <v>3378</v>
      </c>
      <c r="AA1561" t="s">
        <v>3406</v>
      </c>
      <c r="AB1561" t="s">
        <v>3435</v>
      </c>
      <c r="AC1561">
        <f>HYPERLINK("https://lsnyc.legalserver.org/matter/dynamic-profile/view/1867358","18-1867358")</f>
        <v>0</v>
      </c>
      <c r="AD1561" t="s">
        <v>3445</v>
      </c>
      <c r="AE1561" t="s">
        <v>3455</v>
      </c>
      <c r="AF1561" t="s">
        <v>4357</v>
      </c>
      <c r="AG1561" t="s">
        <v>3378</v>
      </c>
      <c r="AH1561" t="s">
        <v>4904</v>
      </c>
      <c r="AK1561" t="s">
        <v>4911</v>
      </c>
      <c r="AL1561" t="s">
        <v>2138</v>
      </c>
      <c r="AN1561" t="s">
        <v>3435</v>
      </c>
    </row>
    <row r="1562" spans="1:40">
      <c r="A1562" s="1" t="s">
        <v>1598</v>
      </c>
      <c r="B1562" t="s">
        <v>2001</v>
      </c>
      <c r="C1562" t="s">
        <v>1998</v>
      </c>
      <c r="D1562" t="s">
        <v>2032</v>
      </c>
      <c r="E1562" t="s">
        <v>2112</v>
      </c>
      <c r="F1562" t="s">
        <v>2123</v>
      </c>
      <c r="G1562" t="s">
        <v>2214</v>
      </c>
      <c r="H1562">
        <v>11225</v>
      </c>
      <c r="I1562" t="s">
        <v>2229</v>
      </c>
      <c r="J1562">
        <v>2</v>
      </c>
      <c r="K1562">
        <v>0</v>
      </c>
      <c r="L1562" t="s">
        <v>2273</v>
      </c>
      <c r="M1562" t="s">
        <v>2677</v>
      </c>
      <c r="P1562" t="s">
        <v>3004</v>
      </c>
      <c r="Q1562" t="s">
        <v>2113</v>
      </c>
      <c r="R1562" t="s">
        <v>3258</v>
      </c>
      <c r="S1562" t="s">
        <v>3271</v>
      </c>
      <c r="T1562" t="s">
        <v>3294</v>
      </c>
      <c r="U1562" t="s">
        <v>2804</v>
      </c>
      <c r="X1562" t="s">
        <v>3354</v>
      </c>
      <c r="Y1562" t="s">
        <v>2677</v>
      </c>
      <c r="Z1562" t="s">
        <v>3362</v>
      </c>
      <c r="AA1562" t="s">
        <v>3406</v>
      </c>
      <c r="AB1562" t="s">
        <v>3419</v>
      </c>
      <c r="AC1562">
        <f>HYPERLINK("https://lsnyc.legalserver.org/matter/dynamic-profile/view/1866547","18-1866547")</f>
        <v>0</v>
      </c>
      <c r="AD1562" t="s">
        <v>3445</v>
      </c>
      <c r="AE1562" t="s">
        <v>3452</v>
      </c>
      <c r="AF1562" t="s">
        <v>4028</v>
      </c>
      <c r="AG1562" t="s">
        <v>3362</v>
      </c>
      <c r="AH1562" t="s">
        <v>4904</v>
      </c>
      <c r="AK1562" t="s">
        <v>4911</v>
      </c>
      <c r="AL1562" t="s">
        <v>2123</v>
      </c>
      <c r="AM1562" t="s">
        <v>3294</v>
      </c>
      <c r="AN1562" t="s">
        <v>3419</v>
      </c>
    </row>
    <row r="1563" spans="1:40">
      <c r="A1563" s="1" t="s">
        <v>1599</v>
      </c>
      <c r="B1563" t="s">
        <v>2000</v>
      </c>
      <c r="C1563" t="s">
        <v>2009</v>
      </c>
      <c r="D1563" t="s">
        <v>2096</v>
      </c>
      <c r="E1563" t="s">
        <v>2112</v>
      </c>
      <c r="F1563" t="s">
        <v>2116</v>
      </c>
      <c r="G1563" t="s">
        <v>2212</v>
      </c>
      <c r="H1563">
        <v>11426</v>
      </c>
      <c r="I1563" t="s">
        <v>2229</v>
      </c>
      <c r="J1563">
        <v>4</v>
      </c>
      <c r="K1563">
        <v>2</v>
      </c>
      <c r="L1563" t="s">
        <v>2588</v>
      </c>
      <c r="M1563" t="s">
        <v>2677</v>
      </c>
      <c r="P1563" t="s">
        <v>3061</v>
      </c>
      <c r="Q1563" t="s">
        <v>2113</v>
      </c>
      <c r="R1563" t="s">
        <v>3258</v>
      </c>
      <c r="S1563" t="s">
        <v>3271</v>
      </c>
      <c r="X1563" t="s">
        <v>3354</v>
      </c>
      <c r="Y1563" t="s">
        <v>2678</v>
      </c>
      <c r="Z1563" t="s">
        <v>3362</v>
      </c>
      <c r="AA1563" t="s">
        <v>3406</v>
      </c>
      <c r="AB1563" t="s">
        <v>3419</v>
      </c>
      <c r="AC1563">
        <f>HYPERLINK("https://lsnyc.legalserver.org/matter/dynamic-profile/view/1866610","18-1866610")</f>
        <v>0</v>
      </c>
      <c r="AD1563" t="s">
        <v>3443</v>
      </c>
      <c r="AE1563" t="s">
        <v>3477</v>
      </c>
      <c r="AF1563" t="s">
        <v>4635</v>
      </c>
      <c r="AG1563" t="s">
        <v>3362</v>
      </c>
      <c r="AH1563" t="s">
        <v>4904</v>
      </c>
      <c r="AK1563" t="s">
        <v>4911</v>
      </c>
      <c r="AL1563" t="s">
        <v>2116</v>
      </c>
      <c r="AN1563" t="s">
        <v>3419</v>
      </c>
    </row>
    <row r="1564" spans="1:40">
      <c r="A1564" s="1" t="s">
        <v>1600</v>
      </c>
      <c r="B1564" t="s">
        <v>2009</v>
      </c>
      <c r="C1564" t="s">
        <v>2001</v>
      </c>
      <c r="D1564" t="s">
        <v>2045</v>
      </c>
      <c r="E1564" t="s">
        <v>2112</v>
      </c>
      <c r="F1564" t="s">
        <v>2123</v>
      </c>
      <c r="G1564" t="s">
        <v>2213</v>
      </c>
      <c r="H1564">
        <v>10460</v>
      </c>
      <c r="I1564" t="s">
        <v>2230</v>
      </c>
      <c r="J1564">
        <v>1</v>
      </c>
      <c r="K1564">
        <v>0</v>
      </c>
      <c r="L1564" t="s">
        <v>2589</v>
      </c>
      <c r="M1564" t="s">
        <v>2677</v>
      </c>
      <c r="P1564" t="s">
        <v>3061</v>
      </c>
      <c r="Q1564" t="s">
        <v>2113</v>
      </c>
      <c r="R1564" t="s">
        <v>3259</v>
      </c>
      <c r="S1564" t="s">
        <v>3270</v>
      </c>
      <c r="X1564" t="s">
        <v>3354</v>
      </c>
      <c r="Y1564" t="s">
        <v>2677</v>
      </c>
      <c r="Z1564" t="s">
        <v>3362</v>
      </c>
      <c r="AA1564" t="s">
        <v>3406</v>
      </c>
      <c r="AB1564" t="s">
        <v>3418</v>
      </c>
      <c r="AC1564">
        <f>HYPERLINK("https://lsnyc.legalserver.org/matter/dynamic-profile/view/1866626","18-1866626")</f>
        <v>0</v>
      </c>
      <c r="AD1564" t="s">
        <v>3445</v>
      </c>
      <c r="AE1564" t="s">
        <v>3455</v>
      </c>
      <c r="AF1564" t="s">
        <v>4636</v>
      </c>
      <c r="AG1564" t="s">
        <v>3362</v>
      </c>
      <c r="AH1564" t="s">
        <v>4904</v>
      </c>
      <c r="AK1564" t="s">
        <v>4911</v>
      </c>
      <c r="AL1564" t="s">
        <v>2123</v>
      </c>
      <c r="AN1564" t="s">
        <v>3418</v>
      </c>
    </row>
    <row r="1565" spans="1:40">
      <c r="A1565" s="1" t="s">
        <v>1601</v>
      </c>
      <c r="B1565" t="s">
        <v>2016</v>
      </c>
      <c r="C1565" t="s">
        <v>2004</v>
      </c>
      <c r="D1565" t="s">
        <v>2048</v>
      </c>
      <c r="E1565" t="s">
        <v>2111</v>
      </c>
      <c r="F1565" t="s">
        <v>2149</v>
      </c>
      <c r="G1565" t="s">
        <v>2212</v>
      </c>
      <c r="H1565">
        <v>11422</v>
      </c>
      <c r="J1565">
        <v>2</v>
      </c>
      <c r="K1565">
        <v>0</v>
      </c>
      <c r="L1565" t="s">
        <v>2286</v>
      </c>
      <c r="M1565" t="s">
        <v>2677</v>
      </c>
      <c r="P1565" t="s">
        <v>2785</v>
      </c>
      <c r="Q1565" t="s">
        <v>2113</v>
      </c>
      <c r="R1565" t="s">
        <v>3258</v>
      </c>
      <c r="S1565" t="s">
        <v>3273</v>
      </c>
      <c r="T1565" t="s">
        <v>3294</v>
      </c>
      <c r="X1565" t="s">
        <v>3354</v>
      </c>
      <c r="Y1565" t="s">
        <v>2678</v>
      </c>
      <c r="Z1565" t="s">
        <v>3365</v>
      </c>
      <c r="AA1565" t="s">
        <v>3406</v>
      </c>
      <c r="AB1565" t="s">
        <v>3421</v>
      </c>
      <c r="AC1565">
        <f>HYPERLINK("https://lsnyc.legalserver.org/matter/dynamic-profile/view/1866507","18-1866507")</f>
        <v>0</v>
      </c>
      <c r="AD1565" t="s">
        <v>3443</v>
      </c>
      <c r="AE1565" t="s">
        <v>3449</v>
      </c>
      <c r="AF1565" t="s">
        <v>4637</v>
      </c>
      <c r="AG1565" t="s">
        <v>3365</v>
      </c>
      <c r="AH1565" t="s">
        <v>4904</v>
      </c>
      <c r="AL1565" t="s">
        <v>2149</v>
      </c>
      <c r="AM1565" t="s">
        <v>3294</v>
      </c>
      <c r="AN1565" t="s">
        <v>3421</v>
      </c>
    </row>
    <row r="1566" spans="1:40">
      <c r="A1566" s="1" t="s">
        <v>1602</v>
      </c>
      <c r="B1566" t="s">
        <v>1998</v>
      </c>
      <c r="C1566" t="s">
        <v>2009</v>
      </c>
      <c r="D1566" t="s">
        <v>2109</v>
      </c>
      <c r="E1566" t="s">
        <v>2112</v>
      </c>
      <c r="F1566" t="s">
        <v>2121</v>
      </c>
      <c r="G1566" t="s">
        <v>2213</v>
      </c>
      <c r="H1566">
        <v>10458</v>
      </c>
      <c r="I1566" t="s">
        <v>2229</v>
      </c>
      <c r="J1566">
        <v>1</v>
      </c>
      <c r="K1566">
        <v>0</v>
      </c>
      <c r="L1566" t="s">
        <v>2452</v>
      </c>
      <c r="M1566" t="s">
        <v>2677</v>
      </c>
      <c r="P1566" t="s">
        <v>3062</v>
      </c>
      <c r="Q1566" t="s">
        <v>2113</v>
      </c>
      <c r="R1566" t="s">
        <v>3258</v>
      </c>
      <c r="S1566" t="s">
        <v>3271</v>
      </c>
      <c r="X1566" t="s">
        <v>3354</v>
      </c>
      <c r="Y1566" t="s">
        <v>2677</v>
      </c>
      <c r="Z1566" t="s">
        <v>3362</v>
      </c>
      <c r="AA1566" t="s">
        <v>3406</v>
      </c>
      <c r="AB1566" t="s">
        <v>3419</v>
      </c>
      <c r="AC1566">
        <f>HYPERLINK("https://lsnyc.legalserver.org/matter/dynamic-profile/view/1866515","18-1866515")</f>
        <v>0</v>
      </c>
      <c r="AD1566" t="s">
        <v>3444</v>
      </c>
      <c r="AE1566" t="s">
        <v>3455</v>
      </c>
      <c r="AF1566" t="s">
        <v>4638</v>
      </c>
      <c r="AG1566" t="s">
        <v>3362</v>
      </c>
      <c r="AH1566" t="s">
        <v>4904</v>
      </c>
      <c r="AK1566" t="s">
        <v>4911</v>
      </c>
      <c r="AL1566" t="s">
        <v>2121</v>
      </c>
      <c r="AN1566" t="s">
        <v>3419</v>
      </c>
    </row>
    <row r="1567" spans="1:40">
      <c r="A1567" s="1" t="s">
        <v>1603</v>
      </c>
      <c r="B1567" t="s">
        <v>2016</v>
      </c>
      <c r="C1567" t="s">
        <v>1998</v>
      </c>
      <c r="D1567" t="s">
        <v>2055</v>
      </c>
      <c r="E1567" t="s">
        <v>2111</v>
      </c>
      <c r="F1567" t="s">
        <v>2136</v>
      </c>
      <c r="G1567" t="s">
        <v>2213</v>
      </c>
      <c r="H1567">
        <v>10455</v>
      </c>
      <c r="I1567" t="s">
        <v>2230</v>
      </c>
      <c r="J1567">
        <v>2</v>
      </c>
      <c r="K1567">
        <v>0</v>
      </c>
      <c r="L1567" t="s">
        <v>2281</v>
      </c>
      <c r="M1567" t="s">
        <v>2677</v>
      </c>
      <c r="P1567" t="s">
        <v>3062</v>
      </c>
      <c r="Q1567" t="s">
        <v>2113</v>
      </c>
      <c r="R1567" t="s">
        <v>3258</v>
      </c>
      <c r="S1567" t="s">
        <v>3269</v>
      </c>
      <c r="X1567" t="s">
        <v>3354</v>
      </c>
      <c r="Y1567" t="s">
        <v>2678</v>
      </c>
      <c r="Z1567" t="s">
        <v>3361</v>
      </c>
      <c r="AA1567" t="s">
        <v>3406</v>
      </c>
      <c r="AB1567" t="s">
        <v>3417</v>
      </c>
      <c r="AC1567">
        <f>HYPERLINK("https://lsnyc.legalserver.org/matter/dynamic-profile/view/1866521","18-1866521")</f>
        <v>0</v>
      </c>
      <c r="AD1567" t="s">
        <v>3444</v>
      </c>
      <c r="AE1567" t="s">
        <v>3474</v>
      </c>
      <c r="AF1567" t="s">
        <v>4639</v>
      </c>
      <c r="AG1567" t="s">
        <v>3361</v>
      </c>
      <c r="AH1567" t="s">
        <v>4904</v>
      </c>
      <c r="AK1567" t="s">
        <v>4911</v>
      </c>
      <c r="AL1567" t="s">
        <v>2136</v>
      </c>
      <c r="AN1567" t="s">
        <v>3417</v>
      </c>
    </row>
    <row r="1568" spans="1:40">
      <c r="A1568" s="1" t="s">
        <v>1604</v>
      </c>
      <c r="B1568" t="s">
        <v>1998</v>
      </c>
      <c r="C1568" t="s">
        <v>2001</v>
      </c>
      <c r="D1568" t="s">
        <v>2092</v>
      </c>
      <c r="E1568" t="s">
        <v>2112</v>
      </c>
      <c r="F1568" t="s">
        <v>2123</v>
      </c>
      <c r="G1568" t="s">
        <v>2214</v>
      </c>
      <c r="H1568">
        <v>11221</v>
      </c>
      <c r="I1568" t="s">
        <v>2229</v>
      </c>
      <c r="J1568">
        <v>2</v>
      </c>
      <c r="K1568">
        <v>0</v>
      </c>
      <c r="L1568" t="s">
        <v>2590</v>
      </c>
      <c r="M1568" t="s">
        <v>2677</v>
      </c>
      <c r="P1568" t="s">
        <v>3063</v>
      </c>
      <c r="Q1568" t="s">
        <v>2113</v>
      </c>
      <c r="R1568" t="s">
        <v>3259</v>
      </c>
      <c r="S1568" t="s">
        <v>3270</v>
      </c>
      <c r="X1568" t="s">
        <v>3354</v>
      </c>
      <c r="Y1568" t="s">
        <v>2677</v>
      </c>
      <c r="Z1568" t="s">
        <v>3362</v>
      </c>
      <c r="AA1568" t="s">
        <v>3406</v>
      </c>
      <c r="AB1568" t="s">
        <v>3418</v>
      </c>
      <c r="AC1568">
        <f>HYPERLINK("https://lsnyc.legalserver.org/matter/dynamic-profile/view/1866033","18-1866033")</f>
        <v>0</v>
      </c>
      <c r="AD1568" t="s">
        <v>3445</v>
      </c>
      <c r="AE1568" t="s">
        <v>3455</v>
      </c>
      <c r="AF1568" t="s">
        <v>4640</v>
      </c>
      <c r="AG1568" t="s">
        <v>3362</v>
      </c>
      <c r="AH1568" t="s">
        <v>4904</v>
      </c>
      <c r="AK1568" t="s">
        <v>4911</v>
      </c>
      <c r="AL1568" t="s">
        <v>2123</v>
      </c>
      <c r="AN1568" t="s">
        <v>3418</v>
      </c>
    </row>
    <row r="1569" spans="1:41">
      <c r="A1569" s="1" t="s">
        <v>1605</v>
      </c>
      <c r="B1569" t="s">
        <v>2001</v>
      </c>
      <c r="C1569" t="s">
        <v>2001</v>
      </c>
      <c r="D1569" t="s">
        <v>2096</v>
      </c>
      <c r="E1569" t="s">
        <v>2111</v>
      </c>
      <c r="F1569" t="s">
        <v>2160</v>
      </c>
      <c r="G1569" t="s">
        <v>2211</v>
      </c>
      <c r="H1569">
        <v>10001</v>
      </c>
      <c r="J1569">
        <v>1</v>
      </c>
      <c r="K1569">
        <v>0</v>
      </c>
      <c r="L1569" t="s">
        <v>2591</v>
      </c>
      <c r="M1569" t="s">
        <v>2677</v>
      </c>
      <c r="P1569" t="s">
        <v>3064</v>
      </c>
      <c r="Q1569" t="s">
        <v>2113</v>
      </c>
      <c r="R1569" t="s">
        <v>3258</v>
      </c>
      <c r="S1569" t="s">
        <v>3271</v>
      </c>
      <c r="X1569" t="s">
        <v>3354</v>
      </c>
      <c r="Y1569" t="s">
        <v>2677</v>
      </c>
      <c r="Z1569" t="s">
        <v>3362</v>
      </c>
      <c r="AA1569" t="s">
        <v>3406</v>
      </c>
      <c r="AB1569" t="s">
        <v>3419</v>
      </c>
      <c r="AC1569">
        <f>HYPERLINK("https://lsnyc.legalserver.org/matter/dynamic-profile/view/1865866","18-1865866")</f>
        <v>0</v>
      </c>
      <c r="AD1569" t="s">
        <v>3445</v>
      </c>
      <c r="AE1569" t="s">
        <v>3455</v>
      </c>
      <c r="AF1569" t="s">
        <v>4641</v>
      </c>
      <c r="AG1569" t="s">
        <v>3362</v>
      </c>
      <c r="AH1569" t="s">
        <v>4904</v>
      </c>
      <c r="AK1569" t="s">
        <v>4911</v>
      </c>
      <c r="AL1569" t="s">
        <v>2160</v>
      </c>
      <c r="AN1569" t="s">
        <v>3419</v>
      </c>
    </row>
    <row r="1570" spans="1:41">
      <c r="A1570" s="1" t="s">
        <v>1606</v>
      </c>
      <c r="B1570" t="s">
        <v>2001</v>
      </c>
      <c r="C1570" t="s">
        <v>2001</v>
      </c>
      <c r="D1570" t="s">
        <v>2096</v>
      </c>
      <c r="E1570" t="s">
        <v>2111</v>
      </c>
      <c r="F1570" t="s">
        <v>2160</v>
      </c>
      <c r="G1570" t="s">
        <v>2211</v>
      </c>
      <c r="H1570">
        <v>10001</v>
      </c>
      <c r="I1570" t="s">
        <v>2229</v>
      </c>
      <c r="J1570">
        <v>1</v>
      </c>
      <c r="K1570">
        <v>0</v>
      </c>
      <c r="L1570" t="s">
        <v>2591</v>
      </c>
      <c r="M1570" t="s">
        <v>2677</v>
      </c>
      <c r="P1570" t="s">
        <v>3064</v>
      </c>
      <c r="Q1570" t="s">
        <v>2113</v>
      </c>
      <c r="R1570" t="s">
        <v>3258</v>
      </c>
      <c r="S1570" t="s">
        <v>3286</v>
      </c>
      <c r="X1570" t="s">
        <v>3354</v>
      </c>
      <c r="Y1570" t="s">
        <v>2677</v>
      </c>
      <c r="Z1570" t="s">
        <v>3388</v>
      </c>
      <c r="AA1570" t="s">
        <v>3406</v>
      </c>
      <c r="AB1570" t="s">
        <v>3434</v>
      </c>
      <c r="AC1570">
        <f>HYPERLINK("https://lsnyc.legalserver.org/matter/dynamic-profile/view/1865870","18-1865870")</f>
        <v>0</v>
      </c>
      <c r="AD1570" t="s">
        <v>3445</v>
      </c>
      <c r="AE1570" t="s">
        <v>3455</v>
      </c>
      <c r="AF1570" t="s">
        <v>4641</v>
      </c>
      <c r="AG1570" t="s">
        <v>3388</v>
      </c>
      <c r="AH1570" t="s">
        <v>4904</v>
      </c>
      <c r="AK1570" t="s">
        <v>4911</v>
      </c>
      <c r="AL1570" t="s">
        <v>2160</v>
      </c>
      <c r="AN1570" t="s">
        <v>3434</v>
      </c>
    </row>
    <row r="1571" spans="1:41">
      <c r="A1571" s="1" t="s">
        <v>1607</v>
      </c>
      <c r="B1571" t="s">
        <v>2000</v>
      </c>
      <c r="C1571" t="s">
        <v>2002</v>
      </c>
      <c r="D1571" t="s">
        <v>2099</v>
      </c>
      <c r="E1571" t="s">
        <v>2111</v>
      </c>
      <c r="F1571" t="s">
        <v>2123</v>
      </c>
      <c r="G1571" t="s">
        <v>2214</v>
      </c>
      <c r="H1571">
        <v>11208</v>
      </c>
      <c r="I1571" t="s">
        <v>2229</v>
      </c>
      <c r="J1571">
        <v>5</v>
      </c>
      <c r="K1571">
        <v>1</v>
      </c>
      <c r="L1571" t="s">
        <v>2426</v>
      </c>
      <c r="M1571" t="s">
        <v>2677</v>
      </c>
      <c r="P1571" t="s">
        <v>3065</v>
      </c>
      <c r="Q1571" t="s">
        <v>2113</v>
      </c>
      <c r="R1571" t="s">
        <v>3258</v>
      </c>
      <c r="S1571" t="s">
        <v>3271</v>
      </c>
      <c r="X1571" t="s">
        <v>3354</v>
      </c>
      <c r="Y1571" t="s">
        <v>2677</v>
      </c>
      <c r="Z1571" t="s">
        <v>3362</v>
      </c>
      <c r="AA1571" t="s">
        <v>3406</v>
      </c>
      <c r="AB1571" t="s">
        <v>3419</v>
      </c>
      <c r="AC1571">
        <f>HYPERLINK("https://lsnyc.legalserver.org/matter/dynamic-profile/view/1865874","18-1865874")</f>
        <v>0</v>
      </c>
      <c r="AD1571" t="s">
        <v>3445</v>
      </c>
      <c r="AE1571" t="s">
        <v>3452</v>
      </c>
      <c r="AF1571" t="s">
        <v>3995</v>
      </c>
      <c r="AG1571" t="s">
        <v>3362</v>
      </c>
      <c r="AH1571" t="s">
        <v>4904</v>
      </c>
      <c r="AK1571" t="s">
        <v>4911</v>
      </c>
      <c r="AL1571" t="s">
        <v>2123</v>
      </c>
      <c r="AN1571" t="s">
        <v>3419</v>
      </c>
    </row>
    <row r="1572" spans="1:41">
      <c r="A1572" s="1" t="s">
        <v>1608</v>
      </c>
      <c r="B1572" t="s">
        <v>1998</v>
      </c>
      <c r="C1572" t="s">
        <v>1998</v>
      </c>
      <c r="D1572" t="s">
        <v>2051</v>
      </c>
      <c r="E1572" t="s">
        <v>2112</v>
      </c>
      <c r="F1572" t="s">
        <v>2203</v>
      </c>
      <c r="G1572" t="s">
        <v>2214</v>
      </c>
      <c r="H1572">
        <v>11219</v>
      </c>
      <c r="J1572">
        <v>1</v>
      </c>
      <c r="K1572">
        <v>0</v>
      </c>
      <c r="L1572" t="s">
        <v>2266</v>
      </c>
      <c r="M1572" t="s">
        <v>2677</v>
      </c>
      <c r="P1572" t="s">
        <v>2748</v>
      </c>
      <c r="Q1572" t="s">
        <v>3255</v>
      </c>
      <c r="R1572" t="s">
        <v>3259</v>
      </c>
      <c r="S1572" t="s">
        <v>3268</v>
      </c>
      <c r="X1572" t="s">
        <v>3354</v>
      </c>
      <c r="Y1572" t="s">
        <v>2678</v>
      </c>
      <c r="Z1572" t="s">
        <v>3368</v>
      </c>
      <c r="AA1572" t="s">
        <v>3406</v>
      </c>
      <c r="AB1572" t="s">
        <v>3416</v>
      </c>
      <c r="AC1572">
        <f>HYPERLINK("https://lsnyc.legalserver.org/matter/dynamic-profile/view/1865680","18-1865680")</f>
        <v>0</v>
      </c>
      <c r="AD1572" t="s">
        <v>3443</v>
      </c>
      <c r="AE1572" t="s">
        <v>3493</v>
      </c>
      <c r="AF1572" t="s">
        <v>4642</v>
      </c>
      <c r="AG1572" t="s">
        <v>3368</v>
      </c>
      <c r="AH1572" t="s">
        <v>4906</v>
      </c>
      <c r="AI1572" t="s">
        <v>4909</v>
      </c>
      <c r="AL1572" t="s">
        <v>2203</v>
      </c>
      <c r="AN1572" t="s">
        <v>3416</v>
      </c>
    </row>
    <row r="1573" spans="1:41">
      <c r="A1573" s="1" t="s">
        <v>1609</v>
      </c>
      <c r="B1573" t="s">
        <v>2001</v>
      </c>
      <c r="C1573" t="s">
        <v>2000</v>
      </c>
      <c r="D1573" t="s">
        <v>2053</v>
      </c>
      <c r="E1573" t="s">
        <v>2112</v>
      </c>
      <c r="F1573" t="s">
        <v>2121</v>
      </c>
      <c r="G1573" t="s">
        <v>2212</v>
      </c>
      <c r="H1573">
        <v>11356</v>
      </c>
      <c r="I1573" t="s">
        <v>2229</v>
      </c>
      <c r="J1573">
        <v>2</v>
      </c>
      <c r="K1573">
        <v>1</v>
      </c>
      <c r="L1573" t="s">
        <v>2285</v>
      </c>
      <c r="M1573" t="s">
        <v>2677</v>
      </c>
      <c r="P1573" t="s">
        <v>3066</v>
      </c>
      <c r="Q1573" t="s">
        <v>2113</v>
      </c>
      <c r="R1573" t="s">
        <v>3258</v>
      </c>
      <c r="S1573" t="s">
        <v>3271</v>
      </c>
      <c r="X1573" t="s">
        <v>3354</v>
      </c>
      <c r="Y1573" t="s">
        <v>2677</v>
      </c>
      <c r="Z1573" t="s">
        <v>3369</v>
      </c>
      <c r="AA1573" t="s">
        <v>3406</v>
      </c>
      <c r="AB1573" t="s">
        <v>3419</v>
      </c>
      <c r="AC1573">
        <f>HYPERLINK("https://lsnyc.legalserver.org/matter/dynamic-profile/view/1865703","18-1865703")</f>
        <v>0</v>
      </c>
      <c r="AD1573" t="s">
        <v>3445</v>
      </c>
      <c r="AE1573" t="s">
        <v>3455</v>
      </c>
      <c r="AF1573" t="s">
        <v>4643</v>
      </c>
      <c r="AG1573" t="s">
        <v>3369</v>
      </c>
      <c r="AH1573" t="s">
        <v>4904</v>
      </c>
      <c r="AK1573" t="s">
        <v>4911</v>
      </c>
      <c r="AL1573" t="s">
        <v>2121</v>
      </c>
      <c r="AN1573" t="s">
        <v>3419</v>
      </c>
    </row>
    <row r="1574" spans="1:41">
      <c r="A1574" s="1" t="s">
        <v>1610</v>
      </c>
      <c r="B1574" t="s">
        <v>2004</v>
      </c>
      <c r="C1574" t="s">
        <v>2001</v>
      </c>
      <c r="D1574" t="s">
        <v>2054</v>
      </c>
      <c r="E1574" t="s">
        <v>2112</v>
      </c>
      <c r="F1574" t="s">
        <v>2114</v>
      </c>
      <c r="G1574" t="s">
        <v>2212</v>
      </c>
      <c r="H1574">
        <v>11435</v>
      </c>
      <c r="I1574" t="s">
        <v>2229</v>
      </c>
      <c r="J1574">
        <v>5</v>
      </c>
      <c r="K1574">
        <v>2</v>
      </c>
      <c r="L1574" t="s">
        <v>2260</v>
      </c>
      <c r="M1574" t="s">
        <v>2677</v>
      </c>
      <c r="P1574" t="s">
        <v>2771</v>
      </c>
      <c r="Q1574" t="s">
        <v>2113</v>
      </c>
      <c r="R1574" t="s">
        <v>3258</v>
      </c>
      <c r="S1574" t="s">
        <v>3269</v>
      </c>
      <c r="T1574" t="s">
        <v>3294</v>
      </c>
      <c r="V1574" t="s">
        <v>3353</v>
      </c>
      <c r="X1574" t="s">
        <v>3354</v>
      </c>
      <c r="Y1574" t="s">
        <v>2678</v>
      </c>
      <c r="Z1574" t="s">
        <v>3361</v>
      </c>
      <c r="AA1574" t="s">
        <v>3406</v>
      </c>
      <c r="AB1574" t="s">
        <v>3417</v>
      </c>
      <c r="AC1574">
        <f>HYPERLINK("https://lsnyc.legalserver.org/matter/dynamic-profile/view/1865747","18-1865747")</f>
        <v>0</v>
      </c>
      <c r="AD1574" t="s">
        <v>3443</v>
      </c>
      <c r="AE1574" t="s">
        <v>3450</v>
      </c>
      <c r="AF1574" t="s">
        <v>4644</v>
      </c>
      <c r="AG1574" t="s">
        <v>3361</v>
      </c>
      <c r="AH1574" t="s">
        <v>4904</v>
      </c>
      <c r="AL1574" t="s">
        <v>2114</v>
      </c>
      <c r="AM1574" t="s">
        <v>3294</v>
      </c>
      <c r="AN1574" t="s">
        <v>3417</v>
      </c>
      <c r="AO1574" t="s">
        <v>3353</v>
      </c>
    </row>
    <row r="1575" spans="1:41">
      <c r="A1575" s="1" t="s">
        <v>1611</v>
      </c>
      <c r="B1575" t="s">
        <v>2016</v>
      </c>
      <c r="C1575" t="s">
        <v>2001</v>
      </c>
      <c r="D1575" t="s">
        <v>2029</v>
      </c>
      <c r="E1575" t="s">
        <v>2112</v>
      </c>
      <c r="F1575" t="s">
        <v>2123</v>
      </c>
      <c r="G1575" t="s">
        <v>2213</v>
      </c>
      <c r="H1575">
        <v>10451</v>
      </c>
      <c r="I1575" t="s">
        <v>2229</v>
      </c>
      <c r="J1575">
        <v>4</v>
      </c>
      <c r="K1575">
        <v>1</v>
      </c>
      <c r="L1575" t="s">
        <v>2264</v>
      </c>
      <c r="M1575" t="s">
        <v>2677</v>
      </c>
      <c r="P1575" t="s">
        <v>3063</v>
      </c>
      <c r="Q1575" t="s">
        <v>2113</v>
      </c>
      <c r="R1575" t="s">
        <v>3258</v>
      </c>
      <c r="S1575" t="s">
        <v>3271</v>
      </c>
      <c r="T1575" t="s">
        <v>3294</v>
      </c>
      <c r="U1575" t="s">
        <v>3322</v>
      </c>
      <c r="X1575" t="s">
        <v>3354</v>
      </c>
      <c r="Y1575" t="s">
        <v>2677</v>
      </c>
      <c r="Z1575" t="s">
        <v>3369</v>
      </c>
      <c r="AA1575" t="s">
        <v>3406</v>
      </c>
      <c r="AB1575" t="s">
        <v>3419</v>
      </c>
      <c r="AC1575">
        <f>HYPERLINK("https://lsnyc.legalserver.org/matter/dynamic-profile/view/1865406","18-1865406")</f>
        <v>0</v>
      </c>
      <c r="AD1575" t="s">
        <v>3445</v>
      </c>
      <c r="AE1575" t="s">
        <v>3452</v>
      </c>
      <c r="AF1575" t="s">
        <v>4328</v>
      </c>
      <c r="AG1575" t="s">
        <v>3369</v>
      </c>
      <c r="AH1575" t="s">
        <v>4904</v>
      </c>
      <c r="AK1575" t="s">
        <v>4911</v>
      </c>
      <c r="AL1575" t="s">
        <v>2123</v>
      </c>
      <c r="AM1575" t="s">
        <v>3294</v>
      </c>
      <c r="AN1575" t="s">
        <v>3419</v>
      </c>
    </row>
    <row r="1576" spans="1:41">
      <c r="A1576" s="1" t="s">
        <v>1612</v>
      </c>
      <c r="B1576" t="s">
        <v>2004</v>
      </c>
      <c r="C1576" t="s">
        <v>2002</v>
      </c>
      <c r="D1576" t="s">
        <v>2090</v>
      </c>
      <c r="E1576" t="s">
        <v>2112</v>
      </c>
      <c r="F1576" t="s">
        <v>2173</v>
      </c>
      <c r="G1576" t="s">
        <v>2213</v>
      </c>
      <c r="H1576">
        <v>10458</v>
      </c>
      <c r="I1576" t="s">
        <v>2246</v>
      </c>
      <c r="J1576">
        <v>1</v>
      </c>
      <c r="K1576">
        <v>0</v>
      </c>
      <c r="L1576" t="s">
        <v>2592</v>
      </c>
      <c r="M1576" t="s">
        <v>2677</v>
      </c>
      <c r="P1576" t="s">
        <v>3008</v>
      </c>
      <c r="Q1576" t="s">
        <v>2113</v>
      </c>
      <c r="R1576" t="s">
        <v>3258</v>
      </c>
      <c r="S1576" t="s">
        <v>3271</v>
      </c>
      <c r="X1576" t="s">
        <v>3354</v>
      </c>
      <c r="Y1576" t="s">
        <v>2677</v>
      </c>
      <c r="Z1576" t="s">
        <v>3362</v>
      </c>
      <c r="AA1576" t="s">
        <v>3406</v>
      </c>
      <c r="AB1576" t="s">
        <v>3419</v>
      </c>
      <c r="AC1576">
        <f>HYPERLINK("https://lsnyc.legalserver.org/matter/dynamic-profile/view/1865451","18-1865451")</f>
        <v>0</v>
      </c>
      <c r="AD1576" t="s">
        <v>3445</v>
      </c>
      <c r="AE1576" t="s">
        <v>3455</v>
      </c>
      <c r="AF1576" t="s">
        <v>4645</v>
      </c>
      <c r="AG1576" t="s">
        <v>3362</v>
      </c>
      <c r="AH1576" t="s">
        <v>4904</v>
      </c>
      <c r="AI1576" t="s">
        <v>4909</v>
      </c>
      <c r="AK1576" t="s">
        <v>4911</v>
      </c>
      <c r="AL1576" t="s">
        <v>2173</v>
      </c>
      <c r="AN1576" t="s">
        <v>3419</v>
      </c>
    </row>
    <row r="1577" spans="1:41">
      <c r="A1577" s="1" t="s">
        <v>1613</v>
      </c>
      <c r="B1577" t="s">
        <v>1998</v>
      </c>
      <c r="C1577" t="s">
        <v>2000</v>
      </c>
      <c r="D1577" t="s">
        <v>2074</v>
      </c>
      <c r="E1577" t="s">
        <v>2111</v>
      </c>
      <c r="F1577" t="s">
        <v>2114</v>
      </c>
      <c r="G1577" t="s">
        <v>2212</v>
      </c>
      <c r="H1577">
        <v>11435</v>
      </c>
      <c r="I1577" t="s">
        <v>2229</v>
      </c>
      <c r="J1577">
        <v>2</v>
      </c>
      <c r="K1577">
        <v>0</v>
      </c>
      <c r="L1577" t="s">
        <v>2593</v>
      </c>
      <c r="M1577" t="s">
        <v>2677</v>
      </c>
      <c r="P1577" t="s">
        <v>3067</v>
      </c>
      <c r="Q1577" t="s">
        <v>2113</v>
      </c>
      <c r="R1577" t="s">
        <v>3258</v>
      </c>
      <c r="S1577" t="s">
        <v>3271</v>
      </c>
      <c r="X1577" t="s">
        <v>3354</v>
      </c>
      <c r="Y1577" t="s">
        <v>2678</v>
      </c>
      <c r="Z1577" t="s">
        <v>3362</v>
      </c>
      <c r="AA1577" t="s">
        <v>3406</v>
      </c>
      <c r="AB1577" t="s">
        <v>3419</v>
      </c>
      <c r="AC1577">
        <f>HYPERLINK("https://lsnyc.legalserver.org/matter/dynamic-profile/view/1865504","18-1865504")</f>
        <v>0</v>
      </c>
      <c r="AD1577" t="s">
        <v>3443</v>
      </c>
      <c r="AE1577" t="s">
        <v>3477</v>
      </c>
      <c r="AF1577" t="s">
        <v>4646</v>
      </c>
      <c r="AG1577" t="s">
        <v>3362</v>
      </c>
      <c r="AH1577" t="s">
        <v>4904</v>
      </c>
      <c r="AK1577" t="s">
        <v>4911</v>
      </c>
      <c r="AL1577" t="s">
        <v>2114</v>
      </c>
      <c r="AN1577" t="s">
        <v>3419</v>
      </c>
    </row>
    <row r="1578" spans="1:41">
      <c r="A1578" s="1" t="s">
        <v>1614</v>
      </c>
      <c r="B1578" t="s">
        <v>2001</v>
      </c>
      <c r="C1578" t="s">
        <v>2016</v>
      </c>
      <c r="D1578" t="s">
        <v>2032</v>
      </c>
      <c r="E1578" t="s">
        <v>2112</v>
      </c>
      <c r="F1578" t="s">
        <v>2116</v>
      </c>
      <c r="G1578" t="s">
        <v>2213</v>
      </c>
      <c r="H1578">
        <v>10454</v>
      </c>
      <c r="I1578" t="s">
        <v>2229</v>
      </c>
      <c r="J1578">
        <v>1</v>
      </c>
      <c r="K1578">
        <v>0</v>
      </c>
      <c r="L1578" t="s">
        <v>2282</v>
      </c>
      <c r="M1578" t="s">
        <v>2677</v>
      </c>
      <c r="P1578" t="s">
        <v>3068</v>
      </c>
      <c r="Q1578" t="s">
        <v>2113</v>
      </c>
      <c r="R1578" t="s">
        <v>3259</v>
      </c>
      <c r="S1578" t="s">
        <v>3264</v>
      </c>
      <c r="V1578" t="s">
        <v>3353</v>
      </c>
      <c r="X1578" t="s">
        <v>3354</v>
      </c>
      <c r="Y1578" t="s">
        <v>2677</v>
      </c>
      <c r="Z1578" t="s">
        <v>3357</v>
      </c>
      <c r="AA1578" t="s">
        <v>3406</v>
      </c>
      <c r="AB1578" t="s">
        <v>3412</v>
      </c>
      <c r="AC1578">
        <f>HYPERLINK("https://lsnyc.legalserver.org/matter/dynamic-profile/view/1865370","18-1865370")</f>
        <v>0</v>
      </c>
      <c r="AD1578" t="s">
        <v>3445</v>
      </c>
      <c r="AE1578" t="s">
        <v>3455</v>
      </c>
      <c r="AF1578" t="s">
        <v>3539</v>
      </c>
      <c r="AG1578" t="s">
        <v>3357</v>
      </c>
      <c r="AH1578" t="s">
        <v>4904</v>
      </c>
      <c r="AL1578" t="s">
        <v>2116</v>
      </c>
      <c r="AN1578" t="s">
        <v>3412</v>
      </c>
      <c r="AO1578" t="s">
        <v>3353</v>
      </c>
    </row>
    <row r="1579" spans="1:41">
      <c r="A1579" s="1" t="s">
        <v>1615</v>
      </c>
      <c r="B1579" t="s">
        <v>2016</v>
      </c>
      <c r="C1579" t="s">
        <v>2004</v>
      </c>
      <c r="D1579" t="s">
        <v>2048</v>
      </c>
      <c r="E1579" t="s">
        <v>2111</v>
      </c>
      <c r="F1579" t="s">
        <v>2149</v>
      </c>
      <c r="G1579" t="s">
        <v>2212</v>
      </c>
      <c r="H1579">
        <v>11422</v>
      </c>
      <c r="J1579">
        <v>2</v>
      </c>
      <c r="K1579">
        <v>0</v>
      </c>
      <c r="L1579" t="s">
        <v>2286</v>
      </c>
      <c r="M1579" t="s">
        <v>2677</v>
      </c>
      <c r="P1579" t="s">
        <v>3069</v>
      </c>
      <c r="Q1579" t="s">
        <v>3255</v>
      </c>
      <c r="R1579" t="s">
        <v>3259</v>
      </c>
      <c r="S1579" t="s">
        <v>3267</v>
      </c>
      <c r="X1579" t="s">
        <v>3354</v>
      </c>
      <c r="Y1579" t="s">
        <v>2678</v>
      </c>
      <c r="Z1579" t="s">
        <v>3359</v>
      </c>
      <c r="AA1579" t="s">
        <v>3406</v>
      </c>
      <c r="AB1579" t="s">
        <v>3415</v>
      </c>
      <c r="AC1579">
        <f>HYPERLINK("https://lsnyc.legalserver.org/matter/dynamic-profile/view/1865238","18-1865238")</f>
        <v>0</v>
      </c>
      <c r="AD1579" t="s">
        <v>3443</v>
      </c>
      <c r="AE1579" t="s">
        <v>3449</v>
      </c>
      <c r="AF1579" t="s">
        <v>4637</v>
      </c>
      <c r="AG1579" t="s">
        <v>3359</v>
      </c>
      <c r="AH1579" t="s">
        <v>4906</v>
      </c>
      <c r="AK1579" t="s">
        <v>4911</v>
      </c>
      <c r="AL1579" t="s">
        <v>2149</v>
      </c>
      <c r="AN1579" t="s">
        <v>3415</v>
      </c>
    </row>
    <row r="1580" spans="1:41">
      <c r="A1580" s="1" t="s">
        <v>1616</v>
      </c>
      <c r="B1580" t="s">
        <v>2001</v>
      </c>
      <c r="C1580" t="s">
        <v>2001</v>
      </c>
      <c r="D1580" t="s">
        <v>2075</v>
      </c>
      <c r="E1580" t="s">
        <v>2112</v>
      </c>
      <c r="F1580" t="s">
        <v>2115</v>
      </c>
      <c r="G1580" t="s">
        <v>2214</v>
      </c>
      <c r="H1580">
        <v>11214</v>
      </c>
      <c r="I1580" t="s">
        <v>2229</v>
      </c>
      <c r="J1580">
        <v>2</v>
      </c>
      <c r="K1580">
        <v>1</v>
      </c>
      <c r="L1580" t="s">
        <v>2266</v>
      </c>
      <c r="M1580" t="s">
        <v>2677</v>
      </c>
      <c r="P1580" t="s">
        <v>3070</v>
      </c>
      <c r="Q1580" t="s">
        <v>2113</v>
      </c>
      <c r="R1580" t="s">
        <v>3259</v>
      </c>
      <c r="S1580" t="s">
        <v>3267</v>
      </c>
      <c r="T1580" t="s">
        <v>3294</v>
      </c>
      <c r="U1580" t="s">
        <v>3048</v>
      </c>
      <c r="X1580" t="s">
        <v>3354</v>
      </c>
      <c r="Y1580" t="s">
        <v>2678</v>
      </c>
      <c r="Z1580" t="s">
        <v>3380</v>
      </c>
      <c r="AA1580" t="s">
        <v>3406</v>
      </c>
      <c r="AB1580" t="s">
        <v>3415</v>
      </c>
      <c r="AC1580">
        <f>HYPERLINK("https://lsnyc.legalserver.org/matter/dynamic-profile/view/1864935","18-1864935")</f>
        <v>0</v>
      </c>
      <c r="AD1580" t="s">
        <v>3446</v>
      </c>
      <c r="AE1580" t="s">
        <v>3456</v>
      </c>
      <c r="AF1580" t="s">
        <v>4647</v>
      </c>
      <c r="AG1580" t="s">
        <v>3380</v>
      </c>
      <c r="AH1580" t="s">
        <v>4906</v>
      </c>
      <c r="AK1580" t="s">
        <v>4911</v>
      </c>
      <c r="AL1580" t="s">
        <v>2115</v>
      </c>
      <c r="AM1580" t="s">
        <v>3294</v>
      </c>
      <c r="AN1580" t="s">
        <v>3415</v>
      </c>
    </row>
    <row r="1581" spans="1:41">
      <c r="A1581" s="1" t="s">
        <v>1617</v>
      </c>
      <c r="B1581" t="s">
        <v>2000</v>
      </c>
      <c r="C1581" t="s">
        <v>2012</v>
      </c>
      <c r="D1581" t="s">
        <v>2060</v>
      </c>
      <c r="E1581" t="s">
        <v>2112</v>
      </c>
      <c r="F1581" t="s">
        <v>2116</v>
      </c>
      <c r="G1581" t="s">
        <v>2213</v>
      </c>
      <c r="H1581">
        <v>10451</v>
      </c>
      <c r="I1581" t="s">
        <v>2229</v>
      </c>
      <c r="J1581">
        <v>4</v>
      </c>
      <c r="K1581">
        <v>3</v>
      </c>
      <c r="L1581" t="s">
        <v>2384</v>
      </c>
      <c r="M1581" t="s">
        <v>2677</v>
      </c>
      <c r="P1581" t="s">
        <v>3070</v>
      </c>
      <c r="Q1581" t="s">
        <v>2113</v>
      </c>
      <c r="R1581" t="s">
        <v>3259</v>
      </c>
      <c r="S1581" t="s">
        <v>3264</v>
      </c>
      <c r="X1581" t="s">
        <v>3354</v>
      </c>
      <c r="Y1581" t="s">
        <v>2677</v>
      </c>
      <c r="Z1581" t="s">
        <v>3357</v>
      </c>
      <c r="AA1581" t="s">
        <v>3406</v>
      </c>
      <c r="AB1581" t="s">
        <v>3412</v>
      </c>
      <c r="AC1581">
        <f>HYPERLINK("https://lsnyc.legalserver.org/matter/dynamic-profile/view/1864990","18-1864990")</f>
        <v>0</v>
      </c>
      <c r="AD1581" t="s">
        <v>3445</v>
      </c>
      <c r="AE1581" t="s">
        <v>3452</v>
      </c>
      <c r="AF1581" t="s">
        <v>4292</v>
      </c>
      <c r="AG1581" t="s">
        <v>3357</v>
      </c>
      <c r="AH1581" t="s">
        <v>4904</v>
      </c>
      <c r="AK1581" t="s">
        <v>4911</v>
      </c>
      <c r="AL1581" t="s">
        <v>2116</v>
      </c>
      <c r="AN1581" t="s">
        <v>3412</v>
      </c>
    </row>
    <row r="1582" spans="1:41">
      <c r="A1582" s="1" t="s">
        <v>1618</v>
      </c>
      <c r="B1582" t="s">
        <v>2000</v>
      </c>
      <c r="C1582" t="s">
        <v>2000</v>
      </c>
      <c r="D1582" t="s">
        <v>2077</v>
      </c>
      <c r="E1582" t="s">
        <v>2112</v>
      </c>
      <c r="F1582" t="s">
        <v>2117</v>
      </c>
      <c r="G1582" t="s">
        <v>2213</v>
      </c>
      <c r="H1582">
        <v>10458</v>
      </c>
      <c r="I1582" t="s">
        <v>2229</v>
      </c>
      <c r="J1582">
        <v>2</v>
      </c>
      <c r="K1582">
        <v>0</v>
      </c>
      <c r="L1582" t="s">
        <v>2294</v>
      </c>
      <c r="M1582" t="s">
        <v>2678</v>
      </c>
      <c r="N1582" t="s">
        <v>2679</v>
      </c>
      <c r="O1582" t="s">
        <v>2683</v>
      </c>
      <c r="P1582" t="s">
        <v>2760</v>
      </c>
      <c r="Q1582" t="s">
        <v>2113</v>
      </c>
      <c r="R1582" t="s">
        <v>3259</v>
      </c>
      <c r="S1582" t="s">
        <v>3264</v>
      </c>
      <c r="T1582" t="s">
        <v>3294</v>
      </c>
      <c r="U1582" t="s">
        <v>2858</v>
      </c>
      <c r="X1582" t="s">
        <v>3354</v>
      </c>
      <c r="Y1582" t="s">
        <v>2677</v>
      </c>
      <c r="Z1582" t="s">
        <v>3357</v>
      </c>
      <c r="AA1582" t="s">
        <v>3406</v>
      </c>
      <c r="AB1582" t="s">
        <v>3412</v>
      </c>
      <c r="AC1582">
        <f>HYPERLINK("https://lsnyc.legalserver.org/matter/dynamic-profile/view/1864746","18-1864746")</f>
        <v>0</v>
      </c>
      <c r="AD1582" t="s">
        <v>3444</v>
      </c>
      <c r="AE1582" t="s">
        <v>3451</v>
      </c>
      <c r="AF1582" t="s">
        <v>4648</v>
      </c>
      <c r="AG1582" t="s">
        <v>3357</v>
      </c>
      <c r="AH1582" t="s">
        <v>4904</v>
      </c>
      <c r="AL1582" t="s">
        <v>2117</v>
      </c>
      <c r="AM1582" t="s">
        <v>3294</v>
      </c>
      <c r="AN1582" t="s">
        <v>3412</v>
      </c>
    </row>
    <row r="1583" spans="1:41">
      <c r="A1583" s="1" t="s">
        <v>1619</v>
      </c>
      <c r="B1583" t="s">
        <v>2016</v>
      </c>
      <c r="C1583" t="s">
        <v>2001</v>
      </c>
      <c r="D1583" t="s">
        <v>2068</v>
      </c>
      <c r="E1583" t="s">
        <v>2112</v>
      </c>
      <c r="F1583" t="s">
        <v>2120</v>
      </c>
      <c r="G1583" t="s">
        <v>2212</v>
      </c>
      <c r="H1583">
        <v>11434</v>
      </c>
      <c r="I1583" t="s">
        <v>2230</v>
      </c>
      <c r="J1583">
        <v>3</v>
      </c>
      <c r="K1583">
        <v>2</v>
      </c>
      <c r="L1583" t="s">
        <v>2260</v>
      </c>
      <c r="M1583" t="s">
        <v>2677</v>
      </c>
      <c r="P1583" t="s">
        <v>2733</v>
      </c>
      <c r="Q1583" t="s">
        <v>3255</v>
      </c>
      <c r="R1583" t="s">
        <v>3258</v>
      </c>
      <c r="S1583" t="s">
        <v>3269</v>
      </c>
      <c r="X1583" t="s">
        <v>3354</v>
      </c>
      <c r="Y1583" t="s">
        <v>2678</v>
      </c>
      <c r="Z1583" t="s">
        <v>3361</v>
      </c>
      <c r="AA1583" t="s">
        <v>3406</v>
      </c>
      <c r="AB1583" t="s">
        <v>3417</v>
      </c>
      <c r="AC1583">
        <f>HYPERLINK("https://lsnyc.legalserver.org/matter/dynamic-profile/view/1864647","18-1864647")</f>
        <v>0</v>
      </c>
      <c r="AD1583" t="s">
        <v>3443</v>
      </c>
      <c r="AE1583" t="s">
        <v>3457</v>
      </c>
      <c r="AF1583" t="s">
        <v>4649</v>
      </c>
      <c r="AG1583" t="s">
        <v>3361</v>
      </c>
      <c r="AH1583" t="s">
        <v>4904</v>
      </c>
      <c r="AI1583" t="s">
        <v>4909</v>
      </c>
      <c r="AL1583" t="s">
        <v>2120</v>
      </c>
      <c r="AN1583" t="s">
        <v>3417</v>
      </c>
    </row>
    <row r="1584" spans="1:41">
      <c r="A1584" s="1" t="s">
        <v>1620</v>
      </c>
      <c r="B1584" t="s">
        <v>1998</v>
      </c>
      <c r="C1584" t="s">
        <v>2000</v>
      </c>
      <c r="D1584" t="s">
        <v>2060</v>
      </c>
      <c r="E1584" t="s">
        <v>2112</v>
      </c>
      <c r="F1584" t="s">
        <v>2120</v>
      </c>
      <c r="G1584" t="s">
        <v>2214</v>
      </c>
      <c r="H1584">
        <v>11234</v>
      </c>
      <c r="I1584" t="s">
        <v>2230</v>
      </c>
      <c r="J1584">
        <v>2</v>
      </c>
      <c r="K1584">
        <v>1</v>
      </c>
      <c r="L1584" t="s">
        <v>2594</v>
      </c>
      <c r="M1584" t="s">
        <v>2677</v>
      </c>
      <c r="P1584" t="s">
        <v>2738</v>
      </c>
      <c r="Q1584" t="s">
        <v>2113</v>
      </c>
      <c r="R1584" t="s">
        <v>3258</v>
      </c>
      <c r="S1584" t="s">
        <v>3273</v>
      </c>
      <c r="T1584" t="s">
        <v>3296</v>
      </c>
      <c r="U1584" t="s">
        <v>2738</v>
      </c>
      <c r="V1584" t="s">
        <v>3352</v>
      </c>
      <c r="X1584" t="s">
        <v>3354</v>
      </c>
      <c r="Y1584" t="s">
        <v>2678</v>
      </c>
      <c r="Z1584" t="s">
        <v>3370</v>
      </c>
      <c r="AA1584" t="s">
        <v>3406</v>
      </c>
      <c r="AB1584" t="s">
        <v>3421</v>
      </c>
      <c r="AC1584">
        <f>HYPERLINK("https://lsnyc.legalserver.org/matter/dynamic-profile/view/1864718","18-1864718")</f>
        <v>0</v>
      </c>
      <c r="AD1584" t="s">
        <v>3446</v>
      </c>
      <c r="AE1584" t="s">
        <v>3465</v>
      </c>
      <c r="AF1584" t="s">
        <v>3672</v>
      </c>
      <c r="AG1584" t="s">
        <v>3370</v>
      </c>
      <c r="AH1584" t="s">
        <v>4904</v>
      </c>
      <c r="AL1584" t="s">
        <v>2120</v>
      </c>
      <c r="AM1584" t="s">
        <v>3296</v>
      </c>
      <c r="AN1584" t="s">
        <v>3421</v>
      </c>
      <c r="AO1584" t="s">
        <v>3352</v>
      </c>
    </row>
    <row r="1585" spans="1:41">
      <c r="A1585" s="1" t="s">
        <v>1621</v>
      </c>
      <c r="B1585" t="s">
        <v>1998</v>
      </c>
      <c r="C1585" t="s">
        <v>2000</v>
      </c>
      <c r="D1585" t="s">
        <v>2060</v>
      </c>
      <c r="E1585" t="s">
        <v>2112</v>
      </c>
      <c r="F1585" t="s">
        <v>2120</v>
      </c>
      <c r="G1585" t="s">
        <v>2214</v>
      </c>
      <c r="H1585">
        <v>11234</v>
      </c>
      <c r="I1585" t="s">
        <v>2230</v>
      </c>
      <c r="J1585">
        <v>2</v>
      </c>
      <c r="K1585">
        <v>1</v>
      </c>
      <c r="L1585" t="s">
        <v>2594</v>
      </c>
      <c r="M1585" t="s">
        <v>2677</v>
      </c>
      <c r="P1585" t="s">
        <v>2738</v>
      </c>
      <c r="Q1585" t="s">
        <v>2113</v>
      </c>
      <c r="R1585" t="s">
        <v>3258</v>
      </c>
      <c r="S1585" t="s">
        <v>3273</v>
      </c>
      <c r="T1585" t="s">
        <v>3296</v>
      </c>
      <c r="U1585" t="s">
        <v>2738</v>
      </c>
      <c r="V1585" t="s">
        <v>3352</v>
      </c>
      <c r="X1585" t="s">
        <v>3354</v>
      </c>
      <c r="Y1585" t="s">
        <v>2678</v>
      </c>
      <c r="Z1585" t="s">
        <v>3370</v>
      </c>
      <c r="AA1585" t="s">
        <v>3406</v>
      </c>
      <c r="AB1585" t="s">
        <v>3421</v>
      </c>
      <c r="AC1585">
        <f>HYPERLINK("https://lsnyc.legalserver.org/matter/dynamic-profile/view/1864721","18-1864721")</f>
        <v>0</v>
      </c>
      <c r="AD1585" t="s">
        <v>3446</v>
      </c>
      <c r="AE1585" t="s">
        <v>3465</v>
      </c>
      <c r="AF1585" t="s">
        <v>3672</v>
      </c>
      <c r="AG1585" t="s">
        <v>3370</v>
      </c>
      <c r="AH1585" t="s">
        <v>4904</v>
      </c>
      <c r="AL1585" t="s">
        <v>2120</v>
      </c>
      <c r="AM1585" t="s">
        <v>3296</v>
      </c>
      <c r="AN1585" t="s">
        <v>3421</v>
      </c>
      <c r="AO1585" t="s">
        <v>3352</v>
      </c>
    </row>
    <row r="1586" spans="1:41">
      <c r="A1586" s="1" t="s">
        <v>1622</v>
      </c>
      <c r="B1586" t="s">
        <v>2001</v>
      </c>
      <c r="C1586" t="s">
        <v>1998</v>
      </c>
      <c r="D1586" t="s">
        <v>2040</v>
      </c>
      <c r="E1586" t="s">
        <v>2112</v>
      </c>
      <c r="F1586" t="s">
        <v>2117</v>
      </c>
      <c r="G1586" t="s">
        <v>2213</v>
      </c>
      <c r="H1586">
        <v>10455</v>
      </c>
      <c r="I1586" t="s">
        <v>2229</v>
      </c>
      <c r="J1586">
        <v>7</v>
      </c>
      <c r="K1586">
        <v>4</v>
      </c>
      <c r="L1586" t="s">
        <v>2260</v>
      </c>
      <c r="M1586" t="s">
        <v>2677</v>
      </c>
      <c r="P1586" t="s">
        <v>3071</v>
      </c>
      <c r="Q1586" t="s">
        <v>2113</v>
      </c>
      <c r="R1586" t="s">
        <v>3259</v>
      </c>
      <c r="S1586" t="s">
        <v>3272</v>
      </c>
      <c r="T1586" t="s">
        <v>3294</v>
      </c>
      <c r="U1586" t="s">
        <v>2951</v>
      </c>
      <c r="V1586" t="s">
        <v>3353</v>
      </c>
      <c r="X1586" t="s">
        <v>3354</v>
      </c>
      <c r="Y1586" t="s">
        <v>2678</v>
      </c>
      <c r="Z1586" t="s">
        <v>3364</v>
      </c>
      <c r="AA1586" t="s">
        <v>3406</v>
      </c>
      <c r="AB1586" t="s">
        <v>3420</v>
      </c>
      <c r="AC1586">
        <f>HYPERLINK("https://lsnyc.legalserver.org/matter/dynamic-profile/view/1864534","18-1864534")</f>
        <v>0</v>
      </c>
      <c r="AD1586" t="s">
        <v>3444</v>
      </c>
      <c r="AE1586" t="s">
        <v>3468</v>
      </c>
      <c r="AF1586" t="s">
        <v>3977</v>
      </c>
      <c r="AG1586" t="s">
        <v>3364</v>
      </c>
      <c r="AH1586" t="s">
        <v>4904</v>
      </c>
      <c r="AK1586" t="s">
        <v>4911</v>
      </c>
      <c r="AL1586" t="s">
        <v>2117</v>
      </c>
      <c r="AM1586" t="s">
        <v>3294</v>
      </c>
      <c r="AN1586" t="s">
        <v>3420</v>
      </c>
      <c r="AO1586" t="s">
        <v>3353</v>
      </c>
    </row>
    <row r="1587" spans="1:41">
      <c r="A1587" s="1" t="s">
        <v>1623</v>
      </c>
      <c r="B1587" t="s">
        <v>1998</v>
      </c>
      <c r="C1587" t="s">
        <v>2015</v>
      </c>
      <c r="D1587" t="s">
        <v>2077</v>
      </c>
      <c r="E1587" t="s">
        <v>2112</v>
      </c>
      <c r="F1587" t="s">
        <v>2154</v>
      </c>
      <c r="G1587" t="s">
        <v>2212</v>
      </c>
      <c r="H1587">
        <v>11354</v>
      </c>
      <c r="I1587" t="s">
        <v>2241</v>
      </c>
      <c r="J1587">
        <v>1</v>
      </c>
      <c r="K1587">
        <v>0</v>
      </c>
      <c r="L1587" t="s">
        <v>2595</v>
      </c>
      <c r="M1587" t="s">
        <v>2677</v>
      </c>
      <c r="P1587" t="s">
        <v>3021</v>
      </c>
      <c r="Q1587" t="s">
        <v>2113</v>
      </c>
      <c r="R1587" t="s">
        <v>3259</v>
      </c>
      <c r="S1587" t="s">
        <v>3270</v>
      </c>
      <c r="X1587" t="s">
        <v>3354</v>
      </c>
      <c r="Y1587" t="s">
        <v>2677</v>
      </c>
      <c r="Z1587" t="s">
        <v>3362</v>
      </c>
      <c r="AA1587" t="s">
        <v>3406</v>
      </c>
      <c r="AB1587" t="s">
        <v>3418</v>
      </c>
      <c r="AC1587">
        <f>HYPERLINK("https://lsnyc.legalserver.org/matter/dynamic-profile/view/1864288","18-1864288")</f>
        <v>0</v>
      </c>
      <c r="AD1587" t="s">
        <v>3445</v>
      </c>
      <c r="AE1587" t="s">
        <v>3455</v>
      </c>
      <c r="AF1587" t="s">
        <v>4650</v>
      </c>
      <c r="AG1587" t="s">
        <v>3362</v>
      </c>
      <c r="AH1587" t="s">
        <v>4904</v>
      </c>
      <c r="AK1587" t="s">
        <v>4911</v>
      </c>
      <c r="AL1587" t="s">
        <v>2154</v>
      </c>
      <c r="AN1587" t="s">
        <v>3418</v>
      </c>
    </row>
    <row r="1588" spans="1:41">
      <c r="A1588" s="1" t="s">
        <v>1624</v>
      </c>
      <c r="B1588" t="s">
        <v>2001</v>
      </c>
      <c r="C1588" t="s">
        <v>2009</v>
      </c>
      <c r="D1588" t="s">
        <v>2057</v>
      </c>
      <c r="E1588" t="s">
        <v>2112</v>
      </c>
      <c r="F1588" t="s">
        <v>2115</v>
      </c>
      <c r="G1588" t="s">
        <v>2212</v>
      </c>
      <c r="H1588">
        <v>11516</v>
      </c>
      <c r="I1588" t="s">
        <v>2229</v>
      </c>
      <c r="J1588">
        <v>2</v>
      </c>
      <c r="K1588">
        <v>1</v>
      </c>
      <c r="L1588" t="s">
        <v>2596</v>
      </c>
      <c r="M1588" t="s">
        <v>2677</v>
      </c>
      <c r="P1588" t="s">
        <v>3072</v>
      </c>
      <c r="Q1588" t="s">
        <v>2113</v>
      </c>
      <c r="R1588" t="s">
        <v>3259</v>
      </c>
      <c r="S1588" t="s">
        <v>3264</v>
      </c>
      <c r="X1588" t="s">
        <v>3354</v>
      </c>
      <c r="Y1588" t="s">
        <v>2677</v>
      </c>
      <c r="Z1588" t="s">
        <v>3357</v>
      </c>
      <c r="AA1588" t="s">
        <v>3406</v>
      </c>
      <c r="AB1588" t="s">
        <v>3412</v>
      </c>
      <c r="AC1588">
        <f>HYPERLINK("https://lsnyc.legalserver.org/matter/dynamic-profile/view/1864310","18-1864310")</f>
        <v>0</v>
      </c>
      <c r="AD1588" t="s">
        <v>3445</v>
      </c>
      <c r="AE1588" t="s">
        <v>3455</v>
      </c>
      <c r="AF1588" t="s">
        <v>4651</v>
      </c>
      <c r="AG1588" t="s">
        <v>3357</v>
      </c>
      <c r="AH1588" t="s">
        <v>4904</v>
      </c>
      <c r="AK1588" t="s">
        <v>4911</v>
      </c>
      <c r="AL1588" t="s">
        <v>2115</v>
      </c>
      <c r="AN1588" t="s">
        <v>3412</v>
      </c>
    </row>
    <row r="1589" spans="1:41">
      <c r="A1589" s="1" t="s">
        <v>1625</v>
      </c>
      <c r="B1589" t="s">
        <v>1998</v>
      </c>
      <c r="C1589" t="s">
        <v>2015</v>
      </c>
      <c r="D1589" t="s">
        <v>2079</v>
      </c>
      <c r="E1589" t="s">
        <v>2112</v>
      </c>
      <c r="F1589" t="s">
        <v>2120</v>
      </c>
      <c r="G1589" t="s">
        <v>2213</v>
      </c>
      <c r="H1589">
        <v>10460</v>
      </c>
      <c r="I1589" t="s">
        <v>2230</v>
      </c>
      <c r="J1589">
        <v>1</v>
      </c>
      <c r="K1589">
        <v>0</v>
      </c>
      <c r="L1589" t="s">
        <v>2597</v>
      </c>
      <c r="M1589" t="s">
        <v>2677</v>
      </c>
      <c r="P1589" t="s">
        <v>3073</v>
      </c>
      <c r="Q1589" t="s">
        <v>2113</v>
      </c>
      <c r="R1589" t="s">
        <v>3258</v>
      </c>
      <c r="S1589" t="s">
        <v>3271</v>
      </c>
      <c r="X1589" t="s">
        <v>3354</v>
      </c>
      <c r="Y1589" t="s">
        <v>2677</v>
      </c>
      <c r="Z1589" t="s">
        <v>3362</v>
      </c>
      <c r="AA1589" t="s">
        <v>3406</v>
      </c>
      <c r="AB1589" t="s">
        <v>3419</v>
      </c>
      <c r="AC1589">
        <f>HYPERLINK("https://lsnyc.legalserver.org/matter/dynamic-profile/view/1864169","18-1864169")</f>
        <v>0</v>
      </c>
      <c r="AD1589" t="s">
        <v>3445</v>
      </c>
      <c r="AE1589" t="s">
        <v>3455</v>
      </c>
      <c r="AF1589" t="s">
        <v>4652</v>
      </c>
      <c r="AG1589" t="s">
        <v>3362</v>
      </c>
      <c r="AH1589" t="s">
        <v>4904</v>
      </c>
      <c r="AK1589" t="s">
        <v>4911</v>
      </c>
      <c r="AL1589" t="s">
        <v>2120</v>
      </c>
      <c r="AN1589" t="s">
        <v>3419</v>
      </c>
    </row>
    <row r="1590" spans="1:41">
      <c r="A1590" s="1" t="s">
        <v>1626</v>
      </c>
      <c r="B1590" t="s">
        <v>1998</v>
      </c>
      <c r="C1590" t="s">
        <v>2001</v>
      </c>
      <c r="D1590" t="s">
        <v>2086</v>
      </c>
      <c r="E1590" t="s">
        <v>2112</v>
      </c>
      <c r="F1590" t="s">
        <v>2179</v>
      </c>
      <c r="G1590" t="s">
        <v>2213</v>
      </c>
      <c r="H1590">
        <v>10467</v>
      </c>
      <c r="I1590" t="s">
        <v>2230</v>
      </c>
      <c r="J1590">
        <v>1</v>
      </c>
      <c r="K1590">
        <v>0</v>
      </c>
      <c r="L1590" t="s">
        <v>2260</v>
      </c>
      <c r="M1590" t="s">
        <v>2677</v>
      </c>
      <c r="P1590" t="s">
        <v>3074</v>
      </c>
      <c r="Q1590" t="s">
        <v>2113</v>
      </c>
      <c r="R1590" t="s">
        <v>3259</v>
      </c>
      <c r="S1590" t="s">
        <v>3287</v>
      </c>
      <c r="X1590" t="s">
        <v>3354</v>
      </c>
      <c r="Y1590" t="s">
        <v>2677</v>
      </c>
      <c r="Z1590" t="s">
        <v>3378</v>
      </c>
      <c r="AA1590" t="s">
        <v>3406</v>
      </c>
      <c r="AB1590" t="s">
        <v>3435</v>
      </c>
      <c r="AC1590">
        <f>HYPERLINK("https://lsnyc.legalserver.org/matter/dynamic-profile/view/1863985","18-1863985")</f>
        <v>0</v>
      </c>
      <c r="AD1590" t="s">
        <v>3445</v>
      </c>
      <c r="AE1590" t="s">
        <v>3455</v>
      </c>
      <c r="AF1590" t="s">
        <v>4623</v>
      </c>
      <c r="AG1590" t="s">
        <v>3378</v>
      </c>
      <c r="AH1590" t="s">
        <v>4904</v>
      </c>
      <c r="AK1590" t="s">
        <v>4911</v>
      </c>
      <c r="AL1590" t="s">
        <v>2179</v>
      </c>
      <c r="AN1590" t="s">
        <v>3435</v>
      </c>
    </row>
    <row r="1591" spans="1:41">
      <c r="A1591" s="1" t="s">
        <v>1627</v>
      </c>
      <c r="B1591" t="s">
        <v>2000</v>
      </c>
      <c r="C1591" t="s">
        <v>2001</v>
      </c>
      <c r="D1591" t="s">
        <v>2080</v>
      </c>
      <c r="E1591" t="s">
        <v>2111</v>
      </c>
      <c r="F1591" t="s">
        <v>2192</v>
      </c>
      <c r="G1591" t="s">
        <v>2212</v>
      </c>
      <c r="H1591">
        <v>11691</v>
      </c>
      <c r="I1591" t="s">
        <v>2229</v>
      </c>
      <c r="J1591">
        <v>1</v>
      </c>
      <c r="K1591">
        <v>0</v>
      </c>
      <c r="L1591" t="s">
        <v>2285</v>
      </c>
      <c r="M1591" t="s">
        <v>2677</v>
      </c>
      <c r="P1591" t="s">
        <v>3074</v>
      </c>
      <c r="Q1591" t="s">
        <v>2113</v>
      </c>
      <c r="R1591" t="s">
        <v>3258</v>
      </c>
      <c r="S1591" t="s">
        <v>3271</v>
      </c>
      <c r="X1591" t="s">
        <v>3354</v>
      </c>
      <c r="Y1591" t="s">
        <v>2677</v>
      </c>
      <c r="Z1591" t="s">
        <v>3362</v>
      </c>
      <c r="AA1591" t="s">
        <v>3406</v>
      </c>
      <c r="AB1591" t="s">
        <v>3419</v>
      </c>
      <c r="AC1591">
        <f>HYPERLINK("https://lsnyc.legalserver.org/matter/dynamic-profile/view/1864008","18-1864008")</f>
        <v>0</v>
      </c>
      <c r="AD1591" t="s">
        <v>3445</v>
      </c>
      <c r="AE1591" t="s">
        <v>3455</v>
      </c>
      <c r="AF1591" t="s">
        <v>4653</v>
      </c>
      <c r="AG1591" t="s">
        <v>3362</v>
      </c>
      <c r="AH1591" t="s">
        <v>4904</v>
      </c>
      <c r="AK1591" t="s">
        <v>4911</v>
      </c>
      <c r="AL1591" t="s">
        <v>2192</v>
      </c>
      <c r="AN1591" t="s">
        <v>3419</v>
      </c>
    </row>
    <row r="1592" spans="1:41">
      <c r="A1592" s="1" t="s">
        <v>1628</v>
      </c>
      <c r="B1592" t="s">
        <v>2001</v>
      </c>
      <c r="C1592" t="s">
        <v>2000</v>
      </c>
      <c r="D1592" t="s">
        <v>2062</v>
      </c>
      <c r="E1592" t="s">
        <v>2111</v>
      </c>
      <c r="F1592" t="s">
        <v>2135</v>
      </c>
      <c r="G1592" t="s">
        <v>2211</v>
      </c>
      <c r="H1592">
        <v>10032</v>
      </c>
      <c r="I1592" t="s">
        <v>2229</v>
      </c>
      <c r="J1592">
        <v>4</v>
      </c>
      <c r="K1592">
        <v>2</v>
      </c>
      <c r="L1592" t="s">
        <v>2598</v>
      </c>
      <c r="M1592" t="s">
        <v>2677</v>
      </c>
      <c r="P1592" t="s">
        <v>3075</v>
      </c>
      <c r="Q1592" t="s">
        <v>2113</v>
      </c>
      <c r="R1592" t="s">
        <v>3258</v>
      </c>
      <c r="S1592" t="s">
        <v>3286</v>
      </c>
      <c r="X1592" t="s">
        <v>3354</v>
      </c>
      <c r="Y1592" t="s">
        <v>2677</v>
      </c>
      <c r="Z1592" t="s">
        <v>3388</v>
      </c>
      <c r="AA1592" t="s">
        <v>3406</v>
      </c>
      <c r="AB1592" t="s">
        <v>3434</v>
      </c>
      <c r="AC1592">
        <f>HYPERLINK("https://lsnyc.legalserver.org/matter/dynamic-profile/view/1863766","18-1863766")</f>
        <v>0</v>
      </c>
      <c r="AD1592" t="s">
        <v>3445</v>
      </c>
      <c r="AE1592" t="s">
        <v>3455</v>
      </c>
      <c r="AF1592" t="s">
        <v>4654</v>
      </c>
      <c r="AG1592" t="s">
        <v>3388</v>
      </c>
      <c r="AH1592" t="s">
        <v>4904</v>
      </c>
      <c r="AK1592" t="s">
        <v>4911</v>
      </c>
      <c r="AL1592" t="s">
        <v>2135</v>
      </c>
      <c r="AN1592" t="s">
        <v>3434</v>
      </c>
    </row>
    <row r="1593" spans="1:41">
      <c r="A1593" s="1" t="s">
        <v>1629</v>
      </c>
      <c r="B1593" t="s">
        <v>2012</v>
      </c>
      <c r="C1593" t="s">
        <v>1998</v>
      </c>
      <c r="D1593" t="s">
        <v>2047</v>
      </c>
      <c r="E1593" t="s">
        <v>2112</v>
      </c>
      <c r="F1593" t="s">
        <v>2121</v>
      </c>
      <c r="G1593" t="s">
        <v>2216</v>
      </c>
      <c r="H1593">
        <v>10306</v>
      </c>
      <c r="I1593" t="s">
        <v>2229</v>
      </c>
      <c r="J1593">
        <v>4</v>
      </c>
      <c r="K1593">
        <v>0</v>
      </c>
      <c r="L1593" t="s">
        <v>2565</v>
      </c>
      <c r="M1593" t="s">
        <v>2677</v>
      </c>
      <c r="P1593" t="s">
        <v>3075</v>
      </c>
      <c r="Q1593" t="s">
        <v>3256</v>
      </c>
      <c r="R1593" t="s">
        <v>3258</v>
      </c>
      <c r="S1593" t="s">
        <v>3286</v>
      </c>
      <c r="X1593" t="s">
        <v>3354</v>
      </c>
      <c r="Y1593" t="s">
        <v>2677</v>
      </c>
      <c r="Z1593" t="s">
        <v>3388</v>
      </c>
      <c r="AA1593" t="s">
        <v>3406</v>
      </c>
      <c r="AB1593" t="s">
        <v>3434</v>
      </c>
      <c r="AC1593">
        <f>HYPERLINK("https://lsnyc.legalserver.org/matter/dynamic-profile/view/1863772","18-1863772")</f>
        <v>0</v>
      </c>
      <c r="AD1593" t="s">
        <v>3445</v>
      </c>
      <c r="AE1593" t="s">
        <v>3455</v>
      </c>
      <c r="AF1593" t="s">
        <v>4563</v>
      </c>
      <c r="AG1593" t="s">
        <v>3388</v>
      </c>
      <c r="AH1593" t="s">
        <v>4904</v>
      </c>
      <c r="AK1593" t="s">
        <v>4911</v>
      </c>
      <c r="AL1593" t="s">
        <v>2121</v>
      </c>
      <c r="AN1593" t="s">
        <v>3434</v>
      </c>
    </row>
    <row r="1594" spans="1:41">
      <c r="A1594" s="1" t="s">
        <v>1630</v>
      </c>
      <c r="B1594" t="s">
        <v>2001</v>
      </c>
      <c r="C1594" t="s">
        <v>2002</v>
      </c>
      <c r="D1594" t="s">
        <v>2039</v>
      </c>
      <c r="E1594" t="s">
        <v>2112</v>
      </c>
      <c r="F1594" t="s">
        <v>2135</v>
      </c>
      <c r="G1594" t="s">
        <v>2211</v>
      </c>
      <c r="H1594">
        <v>10032</v>
      </c>
      <c r="I1594" t="s">
        <v>2229</v>
      </c>
      <c r="J1594">
        <v>4</v>
      </c>
      <c r="K1594">
        <v>2</v>
      </c>
      <c r="L1594" t="s">
        <v>2598</v>
      </c>
      <c r="M1594" t="s">
        <v>2677</v>
      </c>
      <c r="P1594" t="s">
        <v>3075</v>
      </c>
      <c r="Q1594" t="s">
        <v>2113</v>
      </c>
      <c r="R1594" t="s">
        <v>3258</v>
      </c>
      <c r="S1594" t="s">
        <v>3286</v>
      </c>
      <c r="X1594" t="s">
        <v>3354</v>
      </c>
      <c r="Y1594" t="s">
        <v>2677</v>
      </c>
      <c r="Z1594" t="s">
        <v>3388</v>
      </c>
      <c r="AA1594" t="s">
        <v>3406</v>
      </c>
      <c r="AB1594" t="s">
        <v>3434</v>
      </c>
      <c r="AC1594">
        <f>HYPERLINK("https://lsnyc.legalserver.org/matter/dynamic-profile/view/1863784","18-1863784")</f>
        <v>0</v>
      </c>
      <c r="AD1594" t="s">
        <v>3445</v>
      </c>
      <c r="AE1594" t="s">
        <v>3455</v>
      </c>
      <c r="AF1594" t="s">
        <v>4655</v>
      </c>
      <c r="AG1594" t="s">
        <v>3388</v>
      </c>
      <c r="AH1594" t="s">
        <v>4904</v>
      </c>
      <c r="AK1594" t="s">
        <v>4911</v>
      </c>
      <c r="AL1594" t="s">
        <v>2135</v>
      </c>
      <c r="AN1594" t="s">
        <v>3434</v>
      </c>
    </row>
    <row r="1595" spans="1:41">
      <c r="A1595" s="1" t="s">
        <v>1631</v>
      </c>
      <c r="B1595" t="s">
        <v>2012</v>
      </c>
      <c r="C1595" t="s">
        <v>2004</v>
      </c>
      <c r="D1595" t="s">
        <v>2032</v>
      </c>
      <c r="E1595" t="s">
        <v>2112</v>
      </c>
      <c r="F1595" t="s">
        <v>2166</v>
      </c>
      <c r="G1595" t="s">
        <v>2214</v>
      </c>
      <c r="H1595">
        <v>11213</v>
      </c>
      <c r="J1595">
        <v>2</v>
      </c>
      <c r="K1595">
        <v>0</v>
      </c>
      <c r="L1595" t="s">
        <v>2599</v>
      </c>
      <c r="M1595" t="s">
        <v>2677</v>
      </c>
      <c r="P1595" t="s">
        <v>3075</v>
      </c>
      <c r="Q1595" t="s">
        <v>2113</v>
      </c>
      <c r="R1595" t="s">
        <v>3259</v>
      </c>
      <c r="S1595" t="s">
        <v>3270</v>
      </c>
      <c r="X1595" t="s">
        <v>3354</v>
      </c>
      <c r="Y1595" t="s">
        <v>2677</v>
      </c>
      <c r="Z1595" t="s">
        <v>3377</v>
      </c>
      <c r="AA1595" t="s">
        <v>3406</v>
      </c>
      <c r="AB1595" t="s">
        <v>3418</v>
      </c>
      <c r="AC1595">
        <f>HYPERLINK("https://lsnyc.legalserver.org/matter/dynamic-profile/view/1863793","18-1863793")</f>
        <v>0</v>
      </c>
      <c r="AD1595" t="s">
        <v>3445</v>
      </c>
      <c r="AE1595" t="s">
        <v>3455</v>
      </c>
      <c r="AF1595" t="s">
        <v>4656</v>
      </c>
      <c r="AG1595" t="s">
        <v>3377</v>
      </c>
      <c r="AH1595" t="s">
        <v>4904</v>
      </c>
      <c r="AK1595" t="s">
        <v>4911</v>
      </c>
      <c r="AL1595" t="s">
        <v>2166</v>
      </c>
      <c r="AN1595" t="s">
        <v>3418</v>
      </c>
    </row>
    <row r="1596" spans="1:41">
      <c r="A1596" s="1" t="s">
        <v>1632</v>
      </c>
      <c r="B1596" t="s">
        <v>2001</v>
      </c>
      <c r="C1596" t="s">
        <v>2005</v>
      </c>
      <c r="D1596" t="s">
        <v>2028</v>
      </c>
      <c r="E1596" t="s">
        <v>2112</v>
      </c>
      <c r="F1596" t="s">
        <v>2123</v>
      </c>
      <c r="G1596" t="s">
        <v>2213</v>
      </c>
      <c r="H1596">
        <v>10452</v>
      </c>
      <c r="I1596" t="s">
        <v>2229</v>
      </c>
      <c r="J1596">
        <v>1</v>
      </c>
      <c r="K1596">
        <v>0</v>
      </c>
      <c r="L1596" t="s">
        <v>2600</v>
      </c>
      <c r="M1596" t="s">
        <v>2677</v>
      </c>
      <c r="P1596" t="s">
        <v>3075</v>
      </c>
      <c r="Q1596" t="s">
        <v>2113</v>
      </c>
      <c r="R1596" t="s">
        <v>3258</v>
      </c>
      <c r="S1596" t="s">
        <v>3286</v>
      </c>
      <c r="X1596" t="s">
        <v>3354</v>
      </c>
      <c r="Y1596" t="s">
        <v>2677</v>
      </c>
      <c r="Z1596" t="s">
        <v>3388</v>
      </c>
      <c r="AA1596" t="s">
        <v>3406</v>
      </c>
      <c r="AB1596" t="s">
        <v>3434</v>
      </c>
      <c r="AC1596">
        <f>HYPERLINK("https://lsnyc.legalserver.org/matter/dynamic-profile/view/1863803","18-1863803")</f>
        <v>0</v>
      </c>
      <c r="AD1596" t="s">
        <v>3445</v>
      </c>
      <c r="AE1596" t="s">
        <v>3455</v>
      </c>
      <c r="AF1596" t="s">
        <v>4657</v>
      </c>
      <c r="AG1596" t="s">
        <v>3388</v>
      </c>
      <c r="AH1596" t="s">
        <v>4904</v>
      </c>
      <c r="AK1596" t="s">
        <v>4911</v>
      </c>
      <c r="AL1596" t="s">
        <v>2123</v>
      </c>
      <c r="AN1596" t="s">
        <v>3434</v>
      </c>
    </row>
    <row r="1597" spans="1:41">
      <c r="A1597" s="1" t="s">
        <v>1633</v>
      </c>
      <c r="B1597" t="s">
        <v>1998</v>
      </c>
      <c r="C1597" t="s">
        <v>2000</v>
      </c>
      <c r="D1597" t="s">
        <v>2107</v>
      </c>
      <c r="E1597" t="s">
        <v>2111</v>
      </c>
      <c r="F1597" t="s">
        <v>2135</v>
      </c>
      <c r="G1597" t="s">
        <v>2213</v>
      </c>
      <c r="H1597">
        <v>10452</v>
      </c>
      <c r="I1597" t="s">
        <v>2229</v>
      </c>
      <c r="J1597">
        <v>1</v>
      </c>
      <c r="K1597">
        <v>0</v>
      </c>
      <c r="L1597" t="s">
        <v>2260</v>
      </c>
      <c r="M1597" t="s">
        <v>2677</v>
      </c>
      <c r="P1597" t="s">
        <v>3075</v>
      </c>
      <c r="Q1597" t="s">
        <v>2113</v>
      </c>
      <c r="R1597" t="s">
        <v>3258</v>
      </c>
      <c r="S1597" t="s">
        <v>3286</v>
      </c>
      <c r="X1597" t="s">
        <v>3354</v>
      </c>
      <c r="Y1597" t="s">
        <v>2677</v>
      </c>
      <c r="Z1597" t="s">
        <v>3388</v>
      </c>
      <c r="AA1597" t="s">
        <v>3406</v>
      </c>
      <c r="AB1597" t="s">
        <v>3434</v>
      </c>
      <c r="AC1597">
        <f>HYPERLINK("https://lsnyc.legalserver.org/matter/dynamic-profile/view/1863804","18-1863804")</f>
        <v>0</v>
      </c>
      <c r="AD1597" t="s">
        <v>3445</v>
      </c>
      <c r="AE1597" t="s">
        <v>3455</v>
      </c>
      <c r="AF1597" t="s">
        <v>4564</v>
      </c>
      <c r="AG1597" t="s">
        <v>3388</v>
      </c>
      <c r="AH1597" t="s">
        <v>4904</v>
      </c>
      <c r="AK1597" t="s">
        <v>4911</v>
      </c>
      <c r="AL1597" t="s">
        <v>2135</v>
      </c>
      <c r="AN1597" t="s">
        <v>3434</v>
      </c>
    </row>
    <row r="1598" spans="1:41">
      <c r="A1598" s="1" t="s">
        <v>1634</v>
      </c>
      <c r="B1598" t="s">
        <v>2009</v>
      </c>
      <c r="C1598" t="s">
        <v>2002</v>
      </c>
      <c r="D1598" t="s">
        <v>2044</v>
      </c>
      <c r="E1598" t="s">
        <v>2112</v>
      </c>
      <c r="F1598" t="s">
        <v>2123</v>
      </c>
      <c r="G1598" t="s">
        <v>2216</v>
      </c>
      <c r="H1598">
        <v>10305</v>
      </c>
      <c r="I1598" t="s">
        <v>2230</v>
      </c>
      <c r="J1598">
        <v>1</v>
      </c>
      <c r="K1598">
        <v>0</v>
      </c>
      <c r="L1598" t="s">
        <v>2260</v>
      </c>
      <c r="M1598" t="s">
        <v>2677</v>
      </c>
      <c r="P1598" t="s">
        <v>3075</v>
      </c>
      <c r="Q1598" t="s">
        <v>2113</v>
      </c>
      <c r="R1598" t="s">
        <v>3258</v>
      </c>
      <c r="S1598" t="s">
        <v>3286</v>
      </c>
      <c r="T1598" t="s">
        <v>3294</v>
      </c>
      <c r="X1598" t="s">
        <v>3354</v>
      </c>
      <c r="Y1598" t="s">
        <v>2677</v>
      </c>
      <c r="Z1598" t="s">
        <v>3388</v>
      </c>
      <c r="AA1598" t="s">
        <v>3406</v>
      </c>
      <c r="AB1598" t="s">
        <v>3434</v>
      </c>
      <c r="AC1598">
        <f>HYPERLINK("https://lsnyc.legalserver.org/matter/dynamic-profile/view/1863822","18-1863822")</f>
        <v>0</v>
      </c>
      <c r="AD1598" t="s">
        <v>3445</v>
      </c>
      <c r="AE1598" t="s">
        <v>3455</v>
      </c>
      <c r="AF1598" t="s">
        <v>4658</v>
      </c>
      <c r="AG1598" t="s">
        <v>3388</v>
      </c>
      <c r="AH1598" t="s">
        <v>4904</v>
      </c>
      <c r="AK1598" t="s">
        <v>4911</v>
      </c>
      <c r="AL1598" t="s">
        <v>2123</v>
      </c>
      <c r="AM1598" t="s">
        <v>3294</v>
      </c>
      <c r="AN1598" t="s">
        <v>3434</v>
      </c>
    </row>
    <row r="1599" spans="1:41">
      <c r="A1599" s="1" t="s">
        <v>1635</v>
      </c>
      <c r="B1599" t="s">
        <v>2005</v>
      </c>
      <c r="C1599" t="s">
        <v>2000</v>
      </c>
      <c r="D1599" t="s">
        <v>2097</v>
      </c>
      <c r="E1599" t="s">
        <v>2112</v>
      </c>
      <c r="F1599" t="s">
        <v>2120</v>
      </c>
      <c r="G1599" t="s">
        <v>2214</v>
      </c>
      <c r="H1599">
        <v>11208</v>
      </c>
      <c r="J1599">
        <v>2</v>
      </c>
      <c r="K1599">
        <v>1</v>
      </c>
      <c r="L1599" t="s">
        <v>2601</v>
      </c>
      <c r="M1599" t="s">
        <v>2678</v>
      </c>
      <c r="P1599" t="s">
        <v>3075</v>
      </c>
      <c r="Q1599" t="s">
        <v>2113</v>
      </c>
      <c r="R1599" t="s">
        <v>3258</v>
      </c>
      <c r="S1599" t="s">
        <v>3279</v>
      </c>
      <c r="X1599" t="s">
        <v>3354</v>
      </c>
      <c r="Y1599" t="s">
        <v>2677</v>
      </c>
      <c r="Z1599" t="s">
        <v>3377</v>
      </c>
      <c r="AA1599" t="s">
        <v>3406</v>
      </c>
      <c r="AB1599" t="s">
        <v>3427</v>
      </c>
      <c r="AC1599">
        <f>HYPERLINK("https://lsnyc.legalserver.org/matter/dynamic-profile/view/1863832","18-1863832")</f>
        <v>0</v>
      </c>
      <c r="AD1599" t="s">
        <v>3445</v>
      </c>
      <c r="AE1599" t="s">
        <v>3455</v>
      </c>
      <c r="AF1599" t="s">
        <v>4659</v>
      </c>
      <c r="AG1599" t="s">
        <v>3377</v>
      </c>
      <c r="AH1599" t="s">
        <v>4904</v>
      </c>
      <c r="AJ1599" t="s">
        <v>4910</v>
      </c>
      <c r="AL1599" t="s">
        <v>2120</v>
      </c>
      <c r="AN1599" t="s">
        <v>3427</v>
      </c>
    </row>
    <row r="1600" spans="1:41">
      <c r="A1600" s="1" t="s">
        <v>1636</v>
      </c>
      <c r="B1600" t="s">
        <v>1998</v>
      </c>
      <c r="C1600" t="s">
        <v>2002</v>
      </c>
      <c r="D1600" t="s">
        <v>2094</v>
      </c>
      <c r="E1600" t="s">
        <v>2112</v>
      </c>
      <c r="F1600" t="s">
        <v>2116</v>
      </c>
      <c r="G1600" t="s">
        <v>2213</v>
      </c>
      <c r="H1600">
        <v>10456</v>
      </c>
      <c r="I1600" t="s">
        <v>2229</v>
      </c>
      <c r="J1600">
        <v>3</v>
      </c>
      <c r="K1600">
        <v>2</v>
      </c>
      <c r="L1600" t="s">
        <v>2266</v>
      </c>
      <c r="M1600" t="s">
        <v>2677</v>
      </c>
      <c r="P1600" t="s">
        <v>3075</v>
      </c>
      <c r="Q1600" t="s">
        <v>2113</v>
      </c>
      <c r="R1600" t="s">
        <v>3259</v>
      </c>
      <c r="S1600" t="s">
        <v>3270</v>
      </c>
      <c r="X1600" t="s">
        <v>3354</v>
      </c>
      <c r="Y1600" t="s">
        <v>2677</v>
      </c>
      <c r="Z1600" t="s">
        <v>3388</v>
      </c>
      <c r="AA1600" t="s">
        <v>3406</v>
      </c>
      <c r="AB1600" t="s">
        <v>3418</v>
      </c>
      <c r="AC1600">
        <f>HYPERLINK("https://lsnyc.legalserver.org/matter/dynamic-profile/view/1863835","18-1863835")</f>
        <v>0</v>
      </c>
      <c r="AD1600" t="s">
        <v>3445</v>
      </c>
      <c r="AE1600" t="s">
        <v>3455</v>
      </c>
      <c r="AF1600" t="s">
        <v>4660</v>
      </c>
      <c r="AG1600" t="s">
        <v>3388</v>
      </c>
      <c r="AH1600" t="s">
        <v>4904</v>
      </c>
      <c r="AK1600" t="s">
        <v>4911</v>
      </c>
      <c r="AL1600" t="s">
        <v>2116</v>
      </c>
      <c r="AN1600" t="s">
        <v>3418</v>
      </c>
    </row>
    <row r="1601" spans="1:40">
      <c r="A1601" s="1" t="s">
        <v>1637</v>
      </c>
      <c r="B1601" t="s">
        <v>1998</v>
      </c>
      <c r="C1601" t="s">
        <v>1998</v>
      </c>
      <c r="D1601" t="s">
        <v>2097</v>
      </c>
      <c r="E1601" t="s">
        <v>2112</v>
      </c>
      <c r="F1601" t="s">
        <v>2139</v>
      </c>
      <c r="G1601" t="s">
        <v>2214</v>
      </c>
      <c r="H1601">
        <v>11207</v>
      </c>
      <c r="I1601" t="s">
        <v>2252</v>
      </c>
      <c r="J1601">
        <v>1</v>
      </c>
      <c r="K1601">
        <v>0</v>
      </c>
      <c r="L1601" t="s">
        <v>2602</v>
      </c>
      <c r="M1601" t="s">
        <v>2677</v>
      </c>
      <c r="P1601" t="s">
        <v>3075</v>
      </c>
      <c r="Q1601" t="s">
        <v>2113</v>
      </c>
      <c r="R1601" t="s">
        <v>3258</v>
      </c>
      <c r="S1601" t="s">
        <v>3286</v>
      </c>
      <c r="X1601" t="s">
        <v>3354</v>
      </c>
      <c r="Y1601" t="s">
        <v>2677</v>
      </c>
      <c r="Z1601" t="s">
        <v>3388</v>
      </c>
      <c r="AA1601" t="s">
        <v>3406</v>
      </c>
      <c r="AB1601" t="s">
        <v>3434</v>
      </c>
      <c r="AC1601">
        <f>HYPERLINK("https://lsnyc.legalserver.org/matter/dynamic-profile/view/1863859","18-1863859")</f>
        <v>0</v>
      </c>
      <c r="AD1601" t="s">
        <v>3445</v>
      </c>
      <c r="AE1601" t="s">
        <v>3455</v>
      </c>
      <c r="AF1601" t="s">
        <v>4661</v>
      </c>
      <c r="AG1601" t="s">
        <v>3388</v>
      </c>
      <c r="AH1601" t="s">
        <v>4904</v>
      </c>
      <c r="AK1601" t="s">
        <v>4911</v>
      </c>
      <c r="AL1601" t="s">
        <v>2139</v>
      </c>
      <c r="AN1601" t="s">
        <v>3434</v>
      </c>
    </row>
    <row r="1602" spans="1:40">
      <c r="A1602" s="1" t="s">
        <v>1638</v>
      </c>
      <c r="B1602" t="s">
        <v>2006</v>
      </c>
      <c r="C1602" t="s">
        <v>1998</v>
      </c>
      <c r="D1602" t="s">
        <v>2045</v>
      </c>
      <c r="E1602" t="s">
        <v>2112</v>
      </c>
      <c r="F1602" t="s">
        <v>2197</v>
      </c>
      <c r="G1602" t="s">
        <v>2213</v>
      </c>
      <c r="H1602">
        <v>10455</v>
      </c>
      <c r="I1602" t="s">
        <v>2230</v>
      </c>
      <c r="J1602">
        <v>2</v>
      </c>
      <c r="K1602">
        <v>1</v>
      </c>
      <c r="L1602" t="s">
        <v>2277</v>
      </c>
      <c r="M1602" t="s">
        <v>2677</v>
      </c>
      <c r="P1602" t="s">
        <v>3075</v>
      </c>
      <c r="Q1602" t="s">
        <v>2113</v>
      </c>
      <c r="R1602" t="s">
        <v>3258</v>
      </c>
      <c r="S1602" t="s">
        <v>3286</v>
      </c>
      <c r="T1602" t="s">
        <v>3294</v>
      </c>
      <c r="U1602" t="s">
        <v>3055</v>
      </c>
      <c r="X1602" t="s">
        <v>3354</v>
      </c>
      <c r="Y1602" t="s">
        <v>2677</v>
      </c>
      <c r="Z1602" t="s">
        <v>3388</v>
      </c>
      <c r="AA1602" t="s">
        <v>3406</v>
      </c>
      <c r="AB1602" t="s">
        <v>3434</v>
      </c>
      <c r="AC1602">
        <f>HYPERLINK("https://lsnyc.legalserver.org/matter/dynamic-profile/view/1863865","18-1863865")</f>
        <v>0</v>
      </c>
      <c r="AD1602" t="s">
        <v>3445</v>
      </c>
      <c r="AE1602" t="s">
        <v>3455</v>
      </c>
      <c r="AF1602" t="s">
        <v>4662</v>
      </c>
      <c r="AG1602" t="s">
        <v>3388</v>
      </c>
      <c r="AH1602" t="s">
        <v>4904</v>
      </c>
      <c r="AK1602" t="s">
        <v>4911</v>
      </c>
      <c r="AL1602" t="s">
        <v>2197</v>
      </c>
      <c r="AM1602" t="s">
        <v>3294</v>
      </c>
      <c r="AN1602" t="s">
        <v>3434</v>
      </c>
    </row>
    <row r="1603" spans="1:40">
      <c r="A1603" s="1" t="s">
        <v>1639</v>
      </c>
      <c r="B1603" t="s">
        <v>2000</v>
      </c>
      <c r="C1603" t="s">
        <v>2016</v>
      </c>
      <c r="D1603" t="s">
        <v>2028</v>
      </c>
      <c r="E1603" t="s">
        <v>2111</v>
      </c>
      <c r="F1603" t="s">
        <v>2133</v>
      </c>
      <c r="G1603" t="s">
        <v>2216</v>
      </c>
      <c r="H1603">
        <v>10314</v>
      </c>
      <c r="I1603" t="s">
        <v>2230</v>
      </c>
      <c r="J1603">
        <v>4</v>
      </c>
      <c r="K1603">
        <v>1</v>
      </c>
      <c r="L1603" t="s">
        <v>2429</v>
      </c>
      <c r="M1603" t="s">
        <v>2677</v>
      </c>
      <c r="P1603" t="s">
        <v>3075</v>
      </c>
      <c r="Q1603" t="s">
        <v>2113</v>
      </c>
      <c r="R1603" t="s">
        <v>3258</v>
      </c>
      <c r="S1603" t="s">
        <v>3286</v>
      </c>
      <c r="X1603" t="s">
        <v>3354</v>
      </c>
      <c r="Y1603" t="s">
        <v>2677</v>
      </c>
      <c r="Z1603" t="s">
        <v>3388</v>
      </c>
      <c r="AA1603" t="s">
        <v>3406</v>
      </c>
      <c r="AB1603" t="s">
        <v>3434</v>
      </c>
      <c r="AC1603">
        <f>HYPERLINK("https://lsnyc.legalserver.org/matter/dynamic-profile/view/1863866","18-1863866")</f>
        <v>0</v>
      </c>
      <c r="AD1603" t="s">
        <v>3445</v>
      </c>
      <c r="AE1603" t="s">
        <v>3455</v>
      </c>
      <c r="AF1603" t="s">
        <v>4663</v>
      </c>
      <c r="AG1603" t="s">
        <v>3388</v>
      </c>
      <c r="AH1603" t="s">
        <v>4904</v>
      </c>
      <c r="AK1603" t="s">
        <v>4911</v>
      </c>
      <c r="AL1603" t="s">
        <v>2133</v>
      </c>
      <c r="AN1603" t="s">
        <v>3434</v>
      </c>
    </row>
    <row r="1604" spans="1:40">
      <c r="A1604" s="1" t="s">
        <v>1640</v>
      </c>
      <c r="B1604" t="s">
        <v>1998</v>
      </c>
      <c r="C1604" t="s">
        <v>2012</v>
      </c>
      <c r="D1604" t="s">
        <v>2034</v>
      </c>
      <c r="E1604" t="s">
        <v>2112</v>
      </c>
      <c r="F1604" t="s">
        <v>2179</v>
      </c>
      <c r="G1604" t="s">
        <v>2213</v>
      </c>
      <c r="H1604">
        <v>10466</v>
      </c>
      <c r="I1604" t="s">
        <v>2230</v>
      </c>
      <c r="J1604">
        <v>3</v>
      </c>
      <c r="K1604">
        <v>1</v>
      </c>
      <c r="L1604" t="s">
        <v>2306</v>
      </c>
      <c r="M1604" t="s">
        <v>2677</v>
      </c>
      <c r="P1604" t="s">
        <v>3075</v>
      </c>
      <c r="Q1604" t="s">
        <v>2113</v>
      </c>
      <c r="R1604" t="s">
        <v>3258</v>
      </c>
      <c r="S1604" t="s">
        <v>3286</v>
      </c>
      <c r="X1604" t="s">
        <v>3354</v>
      </c>
      <c r="Y1604" t="s">
        <v>2677</v>
      </c>
      <c r="Z1604" t="s">
        <v>3388</v>
      </c>
      <c r="AA1604" t="s">
        <v>3406</v>
      </c>
      <c r="AB1604" t="s">
        <v>3434</v>
      </c>
      <c r="AC1604">
        <f>HYPERLINK("https://lsnyc.legalserver.org/matter/dynamic-profile/view/1863871","18-1863871")</f>
        <v>0</v>
      </c>
      <c r="AD1604" t="s">
        <v>3445</v>
      </c>
      <c r="AE1604" t="s">
        <v>3455</v>
      </c>
      <c r="AF1604" t="s">
        <v>4664</v>
      </c>
      <c r="AG1604" t="s">
        <v>3388</v>
      </c>
      <c r="AH1604" t="s">
        <v>4904</v>
      </c>
      <c r="AK1604" t="s">
        <v>4911</v>
      </c>
      <c r="AL1604" t="s">
        <v>2179</v>
      </c>
      <c r="AN1604" t="s">
        <v>3434</v>
      </c>
    </row>
    <row r="1605" spans="1:40">
      <c r="A1605" s="1" t="s">
        <v>1641</v>
      </c>
      <c r="B1605" t="s">
        <v>2000</v>
      </c>
      <c r="C1605" t="s">
        <v>1998</v>
      </c>
      <c r="D1605" t="s">
        <v>2060</v>
      </c>
      <c r="E1605" t="s">
        <v>2112</v>
      </c>
      <c r="F1605" t="s">
        <v>2116</v>
      </c>
      <c r="G1605" t="s">
        <v>2212</v>
      </c>
      <c r="H1605">
        <v>11368</v>
      </c>
      <c r="J1605">
        <v>3</v>
      </c>
      <c r="K1605">
        <v>2</v>
      </c>
      <c r="L1605" t="s">
        <v>2555</v>
      </c>
      <c r="M1605" t="s">
        <v>2677</v>
      </c>
      <c r="P1605" t="s">
        <v>3075</v>
      </c>
      <c r="Q1605" t="s">
        <v>2113</v>
      </c>
      <c r="R1605" t="s">
        <v>3259</v>
      </c>
      <c r="S1605" t="s">
        <v>3276</v>
      </c>
      <c r="X1605" t="s">
        <v>3354</v>
      </c>
      <c r="Y1605" t="s">
        <v>2677</v>
      </c>
      <c r="Z1605" t="s">
        <v>3373</v>
      </c>
      <c r="AA1605" t="s">
        <v>3406</v>
      </c>
      <c r="AB1605" t="s">
        <v>3424</v>
      </c>
      <c r="AC1605">
        <f>HYPERLINK("https://lsnyc.legalserver.org/matter/dynamic-profile/view/1863874","18-1863874")</f>
        <v>0</v>
      </c>
      <c r="AD1605" t="s">
        <v>3445</v>
      </c>
      <c r="AE1605" t="s">
        <v>3455</v>
      </c>
      <c r="AF1605" t="s">
        <v>4665</v>
      </c>
      <c r="AG1605" t="s">
        <v>3373</v>
      </c>
      <c r="AH1605" t="s">
        <v>4904</v>
      </c>
      <c r="AK1605" t="s">
        <v>4911</v>
      </c>
      <c r="AL1605" t="s">
        <v>2116</v>
      </c>
      <c r="AN1605" t="s">
        <v>3424</v>
      </c>
    </row>
    <row r="1606" spans="1:40">
      <c r="A1606" s="1" t="s">
        <v>1642</v>
      </c>
      <c r="B1606" t="s">
        <v>1998</v>
      </c>
      <c r="C1606" t="s">
        <v>2009</v>
      </c>
      <c r="D1606" t="s">
        <v>2039</v>
      </c>
      <c r="E1606" t="s">
        <v>2111</v>
      </c>
      <c r="F1606" t="s">
        <v>2120</v>
      </c>
      <c r="G1606" t="s">
        <v>2214</v>
      </c>
      <c r="H1606">
        <v>11213</v>
      </c>
      <c r="I1606" t="s">
        <v>2230</v>
      </c>
      <c r="J1606">
        <v>1</v>
      </c>
      <c r="K1606">
        <v>0</v>
      </c>
      <c r="L1606" t="s">
        <v>2260</v>
      </c>
      <c r="M1606" t="s">
        <v>2677</v>
      </c>
      <c r="P1606" t="s">
        <v>3075</v>
      </c>
      <c r="Q1606" t="s">
        <v>2113</v>
      </c>
      <c r="R1606" t="s">
        <v>3261</v>
      </c>
      <c r="S1606" t="s">
        <v>3283</v>
      </c>
      <c r="X1606" t="s">
        <v>3354</v>
      </c>
      <c r="Y1606" t="s">
        <v>2677</v>
      </c>
      <c r="Z1606" t="s">
        <v>3369</v>
      </c>
      <c r="AA1606" t="s">
        <v>3408</v>
      </c>
      <c r="AB1606" t="s">
        <v>3431</v>
      </c>
      <c r="AC1606">
        <f>HYPERLINK("https://lsnyc.legalserver.org/matter/dynamic-profile/view/1863880","18-1863880")</f>
        <v>0</v>
      </c>
      <c r="AD1606" t="s">
        <v>3445</v>
      </c>
      <c r="AE1606" t="s">
        <v>3455</v>
      </c>
      <c r="AF1606" t="s">
        <v>4666</v>
      </c>
      <c r="AG1606" t="s">
        <v>3369</v>
      </c>
      <c r="AH1606" t="s">
        <v>3408</v>
      </c>
      <c r="AK1606" t="s">
        <v>4911</v>
      </c>
      <c r="AL1606" t="s">
        <v>2120</v>
      </c>
      <c r="AN1606" t="s">
        <v>3431</v>
      </c>
    </row>
    <row r="1607" spans="1:40">
      <c r="A1607" s="1" t="s">
        <v>1643</v>
      </c>
      <c r="B1607" t="s">
        <v>2000</v>
      </c>
      <c r="C1607" t="s">
        <v>2009</v>
      </c>
      <c r="D1607" t="s">
        <v>2083</v>
      </c>
      <c r="E1607" t="s">
        <v>2112</v>
      </c>
      <c r="F1607" t="s">
        <v>2116</v>
      </c>
      <c r="G1607" t="s">
        <v>2212</v>
      </c>
      <c r="H1607">
        <v>11368</v>
      </c>
      <c r="I1607" t="s">
        <v>2229</v>
      </c>
      <c r="J1607">
        <v>4</v>
      </c>
      <c r="K1607">
        <v>3</v>
      </c>
      <c r="L1607" t="s">
        <v>2260</v>
      </c>
      <c r="M1607" t="s">
        <v>2677</v>
      </c>
      <c r="P1607" t="s">
        <v>3075</v>
      </c>
      <c r="Q1607" t="s">
        <v>2113</v>
      </c>
      <c r="R1607" t="s">
        <v>3259</v>
      </c>
      <c r="S1607" t="s">
        <v>3276</v>
      </c>
      <c r="X1607" t="s">
        <v>3354</v>
      </c>
      <c r="Y1607" t="s">
        <v>2677</v>
      </c>
      <c r="Z1607" t="s">
        <v>3373</v>
      </c>
      <c r="AA1607" t="s">
        <v>3406</v>
      </c>
      <c r="AB1607" t="s">
        <v>3424</v>
      </c>
      <c r="AC1607">
        <f>HYPERLINK("https://lsnyc.legalserver.org/matter/dynamic-profile/view/1863882","18-1863882")</f>
        <v>0</v>
      </c>
      <c r="AD1607" t="s">
        <v>3445</v>
      </c>
      <c r="AE1607" t="s">
        <v>3455</v>
      </c>
      <c r="AF1607" t="s">
        <v>4667</v>
      </c>
      <c r="AG1607" t="s">
        <v>3373</v>
      </c>
      <c r="AH1607" t="s">
        <v>4904</v>
      </c>
      <c r="AK1607" t="s">
        <v>4911</v>
      </c>
      <c r="AL1607" t="s">
        <v>2116</v>
      </c>
      <c r="AN1607" t="s">
        <v>3424</v>
      </c>
    </row>
    <row r="1608" spans="1:40">
      <c r="A1608" s="1" t="s">
        <v>1644</v>
      </c>
      <c r="B1608" t="s">
        <v>2002</v>
      </c>
      <c r="C1608" t="s">
        <v>1998</v>
      </c>
      <c r="D1608" t="s">
        <v>2084</v>
      </c>
      <c r="E1608" t="s">
        <v>2112</v>
      </c>
      <c r="F1608" t="s">
        <v>2116</v>
      </c>
      <c r="G1608" t="s">
        <v>2212</v>
      </c>
      <c r="H1608">
        <v>11373</v>
      </c>
      <c r="I1608" t="s">
        <v>2229</v>
      </c>
      <c r="J1608">
        <v>1</v>
      </c>
      <c r="K1608">
        <v>0</v>
      </c>
      <c r="L1608" t="s">
        <v>2260</v>
      </c>
      <c r="M1608" t="s">
        <v>2677</v>
      </c>
      <c r="P1608" t="s">
        <v>3075</v>
      </c>
      <c r="Q1608" t="s">
        <v>2113</v>
      </c>
      <c r="R1608" t="s">
        <v>3259</v>
      </c>
      <c r="S1608" t="s">
        <v>3268</v>
      </c>
      <c r="X1608" t="s">
        <v>3354</v>
      </c>
      <c r="Y1608" t="s">
        <v>2677</v>
      </c>
      <c r="Z1608" t="s">
        <v>3368</v>
      </c>
      <c r="AA1608" t="s">
        <v>3406</v>
      </c>
      <c r="AB1608" t="s">
        <v>3416</v>
      </c>
      <c r="AC1608">
        <f>HYPERLINK("https://lsnyc.legalserver.org/matter/dynamic-profile/view/1863888","18-1863888")</f>
        <v>0</v>
      </c>
      <c r="AD1608" t="s">
        <v>3445</v>
      </c>
      <c r="AE1608" t="s">
        <v>3455</v>
      </c>
      <c r="AF1608" t="s">
        <v>4668</v>
      </c>
      <c r="AG1608" t="s">
        <v>3368</v>
      </c>
      <c r="AH1608" t="s">
        <v>4904</v>
      </c>
      <c r="AK1608" t="s">
        <v>4911</v>
      </c>
      <c r="AL1608" t="s">
        <v>2116</v>
      </c>
      <c r="AN1608" t="s">
        <v>3416</v>
      </c>
    </row>
    <row r="1609" spans="1:40">
      <c r="A1609" s="1" t="s">
        <v>1645</v>
      </c>
      <c r="B1609" t="s">
        <v>1998</v>
      </c>
      <c r="C1609" t="s">
        <v>2002</v>
      </c>
      <c r="D1609" t="s">
        <v>2060</v>
      </c>
      <c r="E1609" t="s">
        <v>2112</v>
      </c>
      <c r="F1609" t="s">
        <v>2146</v>
      </c>
      <c r="G1609" t="s">
        <v>2212</v>
      </c>
      <c r="H1609">
        <v>11378</v>
      </c>
      <c r="I1609" t="s">
        <v>2230</v>
      </c>
      <c r="J1609">
        <v>2</v>
      </c>
      <c r="K1609">
        <v>1</v>
      </c>
      <c r="L1609" t="s">
        <v>2256</v>
      </c>
      <c r="M1609" t="s">
        <v>2677</v>
      </c>
      <c r="P1609" t="s">
        <v>3075</v>
      </c>
      <c r="Q1609" t="s">
        <v>2113</v>
      </c>
      <c r="R1609" t="s">
        <v>3259</v>
      </c>
      <c r="S1609" t="s">
        <v>3276</v>
      </c>
      <c r="X1609" t="s">
        <v>3354</v>
      </c>
      <c r="Y1609" t="s">
        <v>2677</v>
      </c>
      <c r="Z1609" t="s">
        <v>3373</v>
      </c>
      <c r="AA1609" t="s">
        <v>3406</v>
      </c>
      <c r="AB1609" t="s">
        <v>3424</v>
      </c>
      <c r="AC1609">
        <f>HYPERLINK("https://lsnyc.legalserver.org/matter/dynamic-profile/view/1863892","18-1863892")</f>
        <v>0</v>
      </c>
      <c r="AD1609" t="s">
        <v>3445</v>
      </c>
      <c r="AE1609" t="s">
        <v>3455</v>
      </c>
      <c r="AF1609" t="s">
        <v>4579</v>
      </c>
      <c r="AG1609" t="s">
        <v>3373</v>
      </c>
      <c r="AH1609" t="s">
        <v>4904</v>
      </c>
      <c r="AK1609" t="s">
        <v>4911</v>
      </c>
      <c r="AL1609" t="s">
        <v>2146</v>
      </c>
      <c r="AN1609" t="s">
        <v>3424</v>
      </c>
    </row>
    <row r="1610" spans="1:40">
      <c r="A1610" s="1" t="s">
        <v>1646</v>
      </c>
      <c r="B1610" t="s">
        <v>2001</v>
      </c>
      <c r="C1610" t="s">
        <v>1998</v>
      </c>
      <c r="D1610" t="s">
        <v>2028</v>
      </c>
      <c r="E1610" t="s">
        <v>2112</v>
      </c>
      <c r="F1610" t="s">
        <v>2116</v>
      </c>
      <c r="G1610" t="s">
        <v>2212</v>
      </c>
      <c r="H1610">
        <v>11372</v>
      </c>
      <c r="I1610" t="s">
        <v>2229</v>
      </c>
      <c r="J1610">
        <v>2</v>
      </c>
      <c r="K1610">
        <v>1</v>
      </c>
      <c r="L1610" t="s">
        <v>2392</v>
      </c>
      <c r="M1610" t="s">
        <v>2677</v>
      </c>
      <c r="P1610" t="s">
        <v>3075</v>
      </c>
      <c r="Q1610" t="s">
        <v>2113</v>
      </c>
      <c r="R1610" t="s">
        <v>3259</v>
      </c>
      <c r="S1610" t="s">
        <v>3276</v>
      </c>
      <c r="T1610" t="s">
        <v>3294</v>
      </c>
      <c r="U1610" t="s">
        <v>3049</v>
      </c>
      <c r="X1610" t="s">
        <v>3354</v>
      </c>
      <c r="Y1610" t="s">
        <v>2677</v>
      </c>
      <c r="Z1610" t="s">
        <v>3373</v>
      </c>
      <c r="AA1610" t="s">
        <v>3406</v>
      </c>
      <c r="AB1610" t="s">
        <v>3424</v>
      </c>
      <c r="AC1610">
        <f>HYPERLINK("https://lsnyc.legalserver.org/matter/dynamic-profile/view/1863893","18-1863893")</f>
        <v>0</v>
      </c>
      <c r="AD1610" t="s">
        <v>3445</v>
      </c>
      <c r="AE1610" t="s">
        <v>3455</v>
      </c>
      <c r="AF1610" t="s">
        <v>4569</v>
      </c>
      <c r="AG1610" t="s">
        <v>3373</v>
      </c>
      <c r="AH1610" t="s">
        <v>4904</v>
      </c>
      <c r="AK1610" t="s">
        <v>4911</v>
      </c>
      <c r="AL1610" t="s">
        <v>2116</v>
      </c>
      <c r="AM1610" t="s">
        <v>3294</v>
      </c>
      <c r="AN1610" t="s">
        <v>3424</v>
      </c>
    </row>
    <row r="1611" spans="1:40">
      <c r="A1611" s="1" t="s">
        <v>1647</v>
      </c>
      <c r="B1611" t="s">
        <v>1998</v>
      </c>
      <c r="C1611" t="s">
        <v>1998</v>
      </c>
      <c r="D1611" t="s">
        <v>2084</v>
      </c>
      <c r="E1611" t="s">
        <v>2112</v>
      </c>
      <c r="F1611" t="s">
        <v>2135</v>
      </c>
      <c r="G1611" t="s">
        <v>2212</v>
      </c>
      <c r="H1611">
        <v>11368</v>
      </c>
      <c r="J1611">
        <v>3</v>
      </c>
      <c r="K1611">
        <v>2</v>
      </c>
      <c r="L1611" t="s">
        <v>2275</v>
      </c>
      <c r="M1611" t="s">
        <v>2677</v>
      </c>
      <c r="P1611" t="s">
        <v>3075</v>
      </c>
      <c r="Q1611" t="s">
        <v>3255</v>
      </c>
      <c r="R1611" t="s">
        <v>3259</v>
      </c>
      <c r="S1611" t="s">
        <v>3276</v>
      </c>
      <c r="X1611" t="s">
        <v>3354</v>
      </c>
      <c r="Y1611" t="s">
        <v>2677</v>
      </c>
      <c r="Z1611" t="s">
        <v>3373</v>
      </c>
      <c r="AA1611" t="s">
        <v>3406</v>
      </c>
      <c r="AB1611" t="s">
        <v>3424</v>
      </c>
      <c r="AC1611">
        <f>HYPERLINK("https://lsnyc.legalserver.org/matter/dynamic-profile/view/1863895","18-1863895")</f>
        <v>0</v>
      </c>
      <c r="AD1611" t="s">
        <v>3445</v>
      </c>
      <c r="AE1611" t="s">
        <v>3455</v>
      </c>
      <c r="AF1611" t="s">
        <v>4561</v>
      </c>
      <c r="AG1611" t="s">
        <v>3373</v>
      </c>
      <c r="AH1611" t="s">
        <v>4904</v>
      </c>
      <c r="AK1611" t="s">
        <v>4911</v>
      </c>
      <c r="AL1611" t="s">
        <v>2135</v>
      </c>
      <c r="AN1611" t="s">
        <v>3424</v>
      </c>
    </row>
    <row r="1612" spans="1:40">
      <c r="A1612" s="1" t="s">
        <v>1648</v>
      </c>
      <c r="B1612" t="s">
        <v>2001</v>
      </c>
      <c r="C1612" t="s">
        <v>1998</v>
      </c>
      <c r="D1612" t="s">
        <v>2099</v>
      </c>
      <c r="E1612" t="s">
        <v>2112</v>
      </c>
      <c r="F1612" t="s">
        <v>2116</v>
      </c>
      <c r="G1612" t="s">
        <v>2214</v>
      </c>
      <c r="H1612">
        <v>11207</v>
      </c>
      <c r="I1612" t="s">
        <v>2230</v>
      </c>
      <c r="J1612">
        <v>3</v>
      </c>
      <c r="K1612">
        <v>0</v>
      </c>
      <c r="L1612" t="s">
        <v>2603</v>
      </c>
      <c r="M1612" t="s">
        <v>2677</v>
      </c>
      <c r="P1612" t="s">
        <v>3076</v>
      </c>
      <c r="Q1612" t="s">
        <v>2113</v>
      </c>
      <c r="R1612" t="s">
        <v>3261</v>
      </c>
      <c r="S1612" t="s">
        <v>3283</v>
      </c>
      <c r="X1612" t="s">
        <v>3354</v>
      </c>
      <c r="Y1612" t="s">
        <v>2678</v>
      </c>
      <c r="Z1612" t="s">
        <v>3361</v>
      </c>
      <c r="AA1612" t="s">
        <v>3408</v>
      </c>
      <c r="AB1612" t="s">
        <v>3431</v>
      </c>
      <c r="AC1612">
        <f>HYPERLINK("https://lsnyc.legalserver.org/matter/dynamic-profile/view/1863632","18-1863632")</f>
        <v>0</v>
      </c>
      <c r="AD1612" t="s">
        <v>3446</v>
      </c>
      <c r="AE1612" t="s">
        <v>3465</v>
      </c>
      <c r="AF1612" t="s">
        <v>4669</v>
      </c>
      <c r="AG1612" t="s">
        <v>3361</v>
      </c>
      <c r="AH1612" t="s">
        <v>3408</v>
      </c>
      <c r="AK1612" t="s">
        <v>4911</v>
      </c>
      <c r="AL1612" t="s">
        <v>2116</v>
      </c>
      <c r="AN1612" t="s">
        <v>3431</v>
      </c>
    </row>
    <row r="1613" spans="1:40">
      <c r="A1613" s="1" t="s">
        <v>1649</v>
      </c>
      <c r="B1613" t="s">
        <v>2000</v>
      </c>
      <c r="C1613" t="s">
        <v>2016</v>
      </c>
      <c r="D1613" t="s">
        <v>2091</v>
      </c>
      <c r="E1613" t="s">
        <v>2112</v>
      </c>
      <c r="F1613" t="s">
        <v>2143</v>
      </c>
      <c r="G1613" t="s">
        <v>2213</v>
      </c>
      <c r="H1613">
        <v>10454</v>
      </c>
      <c r="I1613" t="s">
        <v>2253</v>
      </c>
      <c r="J1613">
        <v>5</v>
      </c>
      <c r="K1613">
        <v>3</v>
      </c>
      <c r="L1613" t="s">
        <v>2314</v>
      </c>
      <c r="M1613" t="s">
        <v>2677</v>
      </c>
      <c r="P1613" t="s">
        <v>3076</v>
      </c>
      <c r="Q1613" t="s">
        <v>2113</v>
      </c>
      <c r="R1613" t="s">
        <v>3258</v>
      </c>
      <c r="S1613" t="s">
        <v>3269</v>
      </c>
      <c r="T1613" t="s">
        <v>3294</v>
      </c>
      <c r="U1613" t="s">
        <v>2997</v>
      </c>
      <c r="X1613" t="s">
        <v>3354</v>
      </c>
      <c r="Y1613" t="s">
        <v>2678</v>
      </c>
      <c r="Z1613" t="s">
        <v>3361</v>
      </c>
      <c r="AA1613" t="s">
        <v>3406</v>
      </c>
      <c r="AB1613" t="s">
        <v>3417</v>
      </c>
      <c r="AC1613">
        <f>HYPERLINK("https://lsnyc.legalserver.org/matter/dynamic-profile/view/1863683","18-1863683")</f>
        <v>0</v>
      </c>
      <c r="AD1613" t="s">
        <v>3442</v>
      </c>
      <c r="AE1613" t="s">
        <v>3448</v>
      </c>
      <c r="AF1613" t="s">
        <v>4670</v>
      </c>
      <c r="AG1613" t="s">
        <v>3361</v>
      </c>
      <c r="AH1613" t="s">
        <v>4904</v>
      </c>
      <c r="AK1613" t="s">
        <v>4911</v>
      </c>
      <c r="AL1613" t="s">
        <v>2143</v>
      </c>
      <c r="AM1613" t="s">
        <v>3294</v>
      </c>
      <c r="AN1613" t="s">
        <v>3417</v>
      </c>
    </row>
    <row r="1614" spans="1:40">
      <c r="A1614" s="1" t="s">
        <v>1650</v>
      </c>
      <c r="B1614" t="s">
        <v>2000</v>
      </c>
      <c r="C1614" t="s">
        <v>1998</v>
      </c>
      <c r="D1614" t="s">
        <v>2058</v>
      </c>
      <c r="E1614" t="s">
        <v>2112</v>
      </c>
      <c r="F1614" t="s">
        <v>2143</v>
      </c>
      <c r="G1614" t="s">
        <v>2213</v>
      </c>
      <c r="H1614">
        <v>10454</v>
      </c>
      <c r="I1614" t="s">
        <v>2234</v>
      </c>
      <c r="J1614">
        <v>5</v>
      </c>
      <c r="K1614">
        <v>3</v>
      </c>
      <c r="L1614" t="s">
        <v>2446</v>
      </c>
      <c r="M1614" t="s">
        <v>2677</v>
      </c>
      <c r="P1614" t="s">
        <v>3076</v>
      </c>
      <c r="Q1614" t="s">
        <v>2113</v>
      </c>
      <c r="R1614" t="s">
        <v>3258</v>
      </c>
      <c r="S1614" t="s">
        <v>3269</v>
      </c>
      <c r="T1614" t="s">
        <v>3294</v>
      </c>
      <c r="U1614" t="s">
        <v>2997</v>
      </c>
      <c r="X1614" t="s">
        <v>3354</v>
      </c>
      <c r="Y1614" t="s">
        <v>2678</v>
      </c>
      <c r="Z1614" t="s">
        <v>3361</v>
      </c>
      <c r="AA1614" t="s">
        <v>3406</v>
      </c>
      <c r="AB1614" t="s">
        <v>3417</v>
      </c>
      <c r="AC1614">
        <f>HYPERLINK("https://lsnyc.legalserver.org/matter/dynamic-profile/view/1863688","18-1863688")</f>
        <v>0</v>
      </c>
      <c r="AD1614" t="s">
        <v>3442</v>
      </c>
      <c r="AE1614" t="s">
        <v>3448</v>
      </c>
      <c r="AF1614" t="s">
        <v>4671</v>
      </c>
      <c r="AG1614" t="s">
        <v>3361</v>
      </c>
      <c r="AH1614" t="s">
        <v>4904</v>
      </c>
      <c r="AK1614" t="s">
        <v>4911</v>
      </c>
      <c r="AL1614" t="s">
        <v>2143</v>
      </c>
      <c r="AM1614" t="s">
        <v>3294</v>
      </c>
      <c r="AN1614" t="s">
        <v>3417</v>
      </c>
    </row>
    <row r="1615" spans="1:40">
      <c r="A1615" s="1" t="s">
        <v>1651</v>
      </c>
      <c r="B1615" t="s">
        <v>2011</v>
      </c>
      <c r="C1615" t="s">
        <v>1998</v>
      </c>
      <c r="D1615" t="s">
        <v>2063</v>
      </c>
      <c r="E1615" t="s">
        <v>2112</v>
      </c>
      <c r="F1615" t="s">
        <v>2115</v>
      </c>
      <c r="G1615" t="s">
        <v>2214</v>
      </c>
      <c r="H1615">
        <v>11214</v>
      </c>
      <c r="I1615" t="s">
        <v>2229</v>
      </c>
      <c r="J1615">
        <v>2</v>
      </c>
      <c r="K1615">
        <v>1</v>
      </c>
      <c r="L1615" t="s">
        <v>2600</v>
      </c>
      <c r="M1615" t="s">
        <v>2677</v>
      </c>
      <c r="P1615" t="s">
        <v>3076</v>
      </c>
      <c r="Q1615" t="s">
        <v>2113</v>
      </c>
      <c r="R1615" t="s">
        <v>3259</v>
      </c>
      <c r="S1615" t="s">
        <v>3267</v>
      </c>
      <c r="T1615" t="s">
        <v>3294</v>
      </c>
      <c r="U1615" t="s">
        <v>3048</v>
      </c>
      <c r="X1615" t="s">
        <v>3354</v>
      </c>
      <c r="Y1615" t="s">
        <v>2678</v>
      </c>
      <c r="Z1615" t="s">
        <v>3380</v>
      </c>
      <c r="AA1615" t="s">
        <v>3406</v>
      </c>
      <c r="AB1615" t="s">
        <v>3415</v>
      </c>
      <c r="AC1615">
        <f>HYPERLINK("https://lsnyc.legalserver.org/matter/dynamic-profile/view/1863734","18-1863734")</f>
        <v>0</v>
      </c>
      <c r="AD1615" t="s">
        <v>3446</v>
      </c>
      <c r="AE1615" t="s">
        <v>3456</v>
      </c>
      <c r="AF1615" t="s">
        <v>3826</v>
      </c>
      <c r="AG1615" t="s">
        <v>3380</v>
      </c>
      <c r="AH1615" t="s">
        <v>4906</v>
      </c>
      <c r="AK1615" t="s">
        <v>4911</v>
      </c>
      <c r="AL1615" t="s">
        <v>2115</v>
      </c>
      <c r="AM1615" t="s">
        <v>3294</v>
      </c>
      <c r="AN1615" t="s">
        <v>3415</v>
      </c>
    </row>
    <row r="1616" spans="1:40">
      <c r="A1616" s="1" t="s">
        <v>1652</v>
      </c>
      <c r="B1616" t="s">
        <v>2000</v>
      </c>
      <c r="C1616" t="s">
        <v>2012</v>
      </c>
      <c r="D1616" t="s">
        <v>2086</v>
      </c>
      <c r="E1616" t="s">
        <v>2111</v>
      </c>
      <c r="F1616" t="s">
        <v>2120</v>
      </c>
      <c r="G1616" t="s">
        <v>2211</v>
      </c>
      <c r="H1616">
        <v>10035</v>
      </c>
      <c r="I1616" t="s">
        <v>2230</v>
      </c>
      <c r="J1616">
        <v>1</v>
      </c>
      <c r="K1616">
        <v>0</v>
      </c>
      <c r="L1616" t="s">
        <v>2604</v>
      </c>
      <c r="M1616" t="s">
        <v>2677</v>
      </c>
      <c r="P1616" t="s">
        <v>3077</v>
      </c>
      <c r="Q1616" t="s">
        <v>2113</v>
      </c>
      <c r="R1616" t="s">
        <v>3259</v>
      </c>
      <c r="S1616" t="s">
        <v>3267</v>
      </c>
      <c r="X1616" t="s">
        <v>3354</v>
      </c>
      <c r="Y1616" t="s">
        <v>2678</v>
      </c>
      <c r="Z1616" t="s">
        <v>3359</v>
      </c>
      <c r="AA1616" t="s">
        <v>3406</v>
      </c>
      <c r="AB1616" t="s">
        <v>3415</v>
      </c>
      <c r="AC1616">
        <f>HYPERLINK("https://lsnyc.legalserver.org/matter/dynamic-profile/view/1863514","18-1863514")</f>
        <v>0</v>
      </c>
      <c r="AD1616" t="s">
        <v>3442</v>
      </c>
      <c r="AE1616" t="s">
        <v>3460</v>
      </c>
      <c r="AF1616" t="s">
        <v>4286</v>
      </c>
      <c r="AG1616" t="s">
        <v>3359</v>
      </c>
      <c r="AH1616" t="s">
        <v>4906</v>
      </c>
      <c r="AK1616" t="s">
        <v>4911</v>
      </c>
      <c r="AL1616" t="s">
        <v>2120</v>
      </c>
      <c r="AN1616" t="s">
        <v>3415</v>
      </c>
    </row>
    <row r="1617" spans="1:41">
      <c r="A1617" s="1" t="s">
        <v>1653</v>
      </c>
      <c r="B1617" t="s">
        <v>2012</v>
      </c>
      <c r="C1617" t="s">
        <v>1998</v>
      </c>
      <c r="D1617" t="s">
        <v>2048</v>
      </c>
      <c r="E1617" t="s">
        <v>2112</v>
      </c>
      <c r="F1617" t="s">
        <v>2156</v>
      </c>
      <c r="G1617" t="s">
        <v>2216</v>
      </c>
      <c r="H1617">
        <v>10305</v>
      </c>
      <c r="I1617" t="s">
        <v>2230</v>
      </c>
      <c r="J1617">
        <v>3</v>
      </c>
      <c r="K1617">
        <v>2</v>
      </c>
      <c r="L1617" t="s">
        <v>2605</v>
      </c>
      <c r="M1617" t="s">
        <v>2677</v>
      </c>
      <c r="P1617" t="s">
        <v>3077</v>
      </c>
      <c r="Q1617" t="s">
        <v>2113</v>
      </c>
      <c r="R1617" t="s">
        <v>3258</v>
      </c>
      <c r="S1617" t="s">
        <v>3271</v>
      </c>
      <c r="X1617" t="s">
        <v>3354</v>
      </c>
      <c r="Y1617" t="s">
        <v>2677</v>
      </c>
      <c r="Z1617" t="s">
        <v>3362</v>
      </c>
      <c r="AA1617" t="s">
        <v>3406</v>
      </c>
      <c r="AB1617" t="s">
        <v>3419</v>
      </c>
      <c r="AC1617">
        <f>HYPERLINK("https://lsnyc.legalserver.org/matter/dynamic-profile/view/1863561","18-1863561")</f>
        <v>0</v>
      </c>
      <c r="AD1617" t="s">
        <v>3445</v>
      </c>
      <c r="AE1617" t="s">
        <v>3455</v>
      </c>
      <c r="AF1617" t="s">
        <v>4672</v>
      </c>
      <c r="AG1617" t="s">
        <v>3362</v>
      </c>
      <c r="AH1617" t="s">
        <v>4904</v>
      </c>
      <c r="AK1617" t="s">
        <v>4911</v>
      </c>
      <c r="AL1617" t="s">
        <v>2156</v>
      </c>
      <c r="AN1617" t="s">
        <v>3419</v>
      </c>
    </row>
    <row r="1618" spans="1:41">
      <c r="A1618" s="1" t="s">
        <v>1654</v>
      </c>
      <c r="B1618" t="s">
        <v>2002</v>
      </c>
      <c r="C1618" t="s">
        <v>2016</v>
      </c>
      <c r="D1618" t="s">
        <v>2079</v>
      </c>
      <c r="E1618" t="s">
        <v>2112</v>
      </c>
      <c r="F1618" t="s">
        <v>2138</v>
      </c>
      <c r="G1618" t="s">
        <v>2214</v>
      </c>
      <c r="H1618">
        <v>11219</v>
      </c>
      <c r="I1618" t="s">
        <v>2238</v>
      </c>
      <c r="J1618">
        <v>1</v>
      </c>
      <c r="K1618">
        <v>0</v>
      </c>
      <c r="L1618" t="s">
        <v>2260</v>
      </c>
      <c r="M1618" t="s">
        <v>2677</v>
      </c>
      <c r="P1618" t="s">
        <v>3077</v>
      </c>
      <c r="Q1618" t="s">
        <v>2113</v>
      </c>
      <c r="R1618" t="s">
        <v>3258</v>
      </c>
      <c r="S1618" t="s">
        <v>3271</v>
      </c>
      <c r="X1618" t="s">
        <v>3354</v>
      </c>
      <c r="Y1618" t="s">
        <v>2677</v>
      </c>
      <c r="Z1618" t="s">
        <v>3362</v>
      </c>
      <c r="AA1618" t="s">
        <v>3406</v>
      </c>
      <c r="AB1618" t="s">
        <v>3419</v>
      </c>
      <c r="AC1618">
        <f>HYPERLINK("https://lsnyc.legalserver.org/matter/dynamic-profile/view/1863582","18-1863582")</f>
        <v>0</v>
      </c>
      <c r="AD1618" t="s">
        <v>3445</v>
      </c>
      <c r="AE1618" t="s">
        <v>3455</v>
      </c>
      <c r="AF1618" t="s">
        <v>4515</v>
      </c>
      <c r="AG1618" t="s">
        <v>3362</v>
      </c>
      <c r="AH1618" t="s">
        <v>4904</v>
      </c>
      <c r="AK1618" t="s">
        <v>4911</v>
      </c>
      <c r="AL1618" t="s">
        <v>2138</v>
      </c>
      <c r="AN1618" t="s">
        <v>3419</v>
      </c>
    </row>
    <row r="1619" spans="1:41">
      <c r="A1619" s="1" t="s">
        <v>1655</v>
      </c>
      <c r="B1619" t="s">
        <v>2021</v>
      </c>
      <c r="C1619" t="s">
        <v>1998</v>
      </c>
      <c r="D1619" t="s">
        <v>2086</v>
      </c>
      <c r="E1619" t="s">
        <v>2112</v>
      </c>
      <c r="F1619" t="s">
        <v>2120</v>
      </c>
      <c r="G1619" t="s">
        <v>2212</v>
      </c>
      <c r="H1619">
        <v>11413</v>
      </c>
      <c r="I1619" t="s">
        <v>2230</v>
      </c>
      <c r="J1619">
        <v>3</v>
      </c>
      <c r="K1619">
        <v>0</v>
      </c>
      <c r="L1619" t="s">
        <v>2405</v>
      </c>
      <c r="M1619" t="s">
        <v>2677</v>
      </c>
      <c r="P1619" t="s">
        <v>3077</v>
      </c>
      <c r="Q1619" t="s">
        <v>2113</v>
      </c>
      <c r="R1619" t="s">
        <v>3258</v>
      </c>
      <c r="S1619" t="s">
        <v>3273</v>
      </c>
      <c r="X1619" t="s">
        <v>3354</v>
      </c>
      <c r="Y1619" t="s">
        <v>2677</v>
      </c>
      <c r="Z1619" t="s">
        <v>3370</v>
      </c>
      <c r="AA1619" t="s">
        <v>3406</v>
      </c>
      <c r="AB1619" t="s">
        <v>3421</v>
      </c>
      <c r="AC1619">
        <f>HYPERLINK("https://lsnyc.legalserver.org/matter/dynamic-profile/view/1863585","18-1863585")</f>
        <v>0</v>
      </c>
      <c r="AD1619" t="s">
        <v>3445</v>
      </c>
      <c r="AE1619" t="s">
        <v>3455</v>
      </c>
      <c r="AF1619" t="s">
        <v>4673</v>
      </c>
      <c r="AG1619" t="s">
        <v>3370</v>
      </c>
      <c r="AH1619" t="s">
        <v>4906</v>
      </c>
      <c r="AK1619" t="s">
        <v>4911</v>
      </c>
      <c r="AL1619" t="s">
        <v>2120</v>
      </c>
      <c r="AN1619" t="s">
        <v>3421</v>
      </c>
    </row>
    <row r="1620" spans="1:41">
      <c r="A1620" s="1" t="s">
        <v>1656</v>
      </c>
      <c r="B1620" t="s">
        <v>2000</v>
      </c>
      <c r="C1620" t="s">
        <v>2000</v>
      </c>
      <c r="D1620" t="s">
        <v>2081</v>
      </c>
      <c r="E1620" t="s">
        <v>2112</v>
      </c>
      <c r="F1620" t="s">
        <v>2121</v>
      </c>
      <c r="G1620" t="s">
        <v>2212</v>
      </c>
      <c r="H1620">
        <v>11420</v>
      </c>
      <c r="I1620" t="s">
        <v>2229</v>
      </c>
      <c r="J1620">
        <v>2</v>
      </c>
      <c r="K1620">
        <v>1</v>
      </c>
      <c r="L1620" t="s">
        <v>2541</v>
      </c>
      <c r="M1620" t="s">
        <v>2677</v>
      </c>
      <c r="P1620" t="s">
        <v>3077</v>
      </c>
      <c r="Q1620" t="s">
        <v>2113</v>
      </c>
      <c r="R1620" t="s">
        <v>3259</v>
      </c>
      <c r="S1620" t="s">
        <v>3264</v>
      </c>
      <c r="X1620" t="s">
        <v>3354</v>
      </c>
      <c r="Y1620" t="s">
        <v>2677</v>
      </c>
      <c r="Z1620" t="s">
        <v>3357</v>
      </c>
      <c r="AA1620" t="s">
        <v>3406</v>
      </c>
      <c r="AB1620" t="s">
        <v>3412</v>
      </c>
      <c r="AC1620">
        <f>HYPERLINK("https://lsnyc.legalserver.org/matter/dynamic-profile/view/1863586","18-1863586")</f>
        <v>0</v>
      </c>
      <c r="AD1620" t="s">
        <v>3445</v>
      </c>
      <c r="AE1620" t="s">
        <v>3455</v>
      </c>
      <c r="AF1620" t="s">
        <v>4589</v>
      </c>
      <c r="AG1620" t="s">
        <v>3357</v>
      </c>
      <c r="AH1620" t="s">
        <v>4904</v>
      </c>
      <c r="AK1620" t="s">
        <v>4911</v>
      </c>
      <c r="AL1620" t="s">
        <v>2121</v>
      </c>
      <c r="AN1620" t="s">
        <v>3412</v>
      </c>
    </row>
    <row r="1621" spans="1:41">
      <c r="A1621" s="1" t="s">
        <v>1657</v>
      </c>
      <c r="B1621" t="s">
        <v>2008</v>
      </c>
      <c r="C1621" t="s">
        <v>2000</v>
      </c>
      <c r="D1621" t="s">
        <v>2055</v>
      </c>
      <c r="E1621" t="s">
        <v>2111</v>
      </c>
      <c r="F1621" t="s">
        <v>2155</v>
      </c>
      <c r="G1621" t="s">
        <v>2214</v>
      </c>
      <c r="H1621">
        <v>11207</v>
      </c>
      <c r="I1621" t="s">
        <v>2230</v>
      </c>
      <c r="J1621">
        <v>1</v>
      </c>
      <c r="K1621">
        <v>0</v>
      </c>
      <c r="L1621" t="s">
        <v>2606</v>
      </c>
      <c r="M1621" t="s">
        <v>2677</v>
      </c>
      <c r="P1621" t="s">
        <v>3077</v>
      </c>
      <c r="Q1621" t="s">
        <v>2113</v>
      </c>
      <c r="R1621" t="s">
        <v>3259</v>
      </c>
      <c r="S1621" t="s">
        <v>3268</v>
      </c>
      <c r="X1621" t="s">
        <v>3354</v>
      </c>
      <c r="Y1621" t="s">
        <v>2677</v>
      </c>
      <c r="Z1621" t="s">
        <v>3368</v>
      </c>
      <c r="AA1621" t="s">
        <v>3406</v>
      </c>
      <c r="AB1621" t="s">
        <v>3416</v>
      </c>
      <c r="AC1621">
        <f>HYPERLINK("https://lsnyc.legalserver.org/matter/dynamic-profile/view/1863596","18-1863596")</f>
        <v>0</v>
      </c>
      <c r="AD1621" t="s">
        <v>3445</v>
      </c>
      <c r="AE1621" t="s">
        <v>3455</v>
      </c>
      <c r="AF1621" t="s">
        <v>4674</v>
      </c>
      <c r="AG1621" t="s">
        <v>3368</v>
      </c>
      <c r="AH1621" t="s">
        <v>4904</v>
      </c>
      <c r="AK1621" t="s">
        <v>4911</v>
      </c>
      <c r="AL1621" t="s">
        <v>2155</v>
      </c>
      <c r="AN1621" t="s">
        <v>3416</v>
      </c>
    </row>
    <row r="1622" spans="1:41">
      <c r="A1622" s="1" t="s">
        <v>1658</v>
      </c>
      <c r="B1622" t="s">
        <v>1998</v>
      </c>
      <c r="C1622" t="s">
        <v>1998</v>
      </c>
      <c r="D1622" t="s">
        <v>2099</v>
      </c>
      <c r="E1622" t="s">
        <v>2112</v>
      </c>
      <c r="F1622" t="s">
        <v>2135</v>
      </c>
      <c r="G1622" t="s">
        <v>2214</v>
      </c>
      <c r="H1622">
        <v>11220</v>
      </c>
      <c r="I1622" t="s">
        <v>2229</v>
      </c>
      <c r="J1622">
        <v>2</v>
      </c>
      <c r="K1622">
        <v>1</v>
      </c>
      <c r="L1622" t="s">
        <v>2471</v>
      </c>
      <c r="M1622" t="s">
        <v>2677</v>
      </c>
      <c r="P1622" t="s">
        <v>3078</v>
      </c>
      <c r="Q1622" t="s">
        <v>2113</v>
      </c>
      <c r="R1622" t="s">
        <v>3259</v>
      </c>
      <c r="S1622" t="s">
        <v>3267</v>
      </c>
      <c r="X1622" t="s">
        <v>3354</v>
      </c>
      <c r="Y1622" t="s">
        <v>2678</v>
      </c>
      <c r="Z1622" t="s">
        <v>3359</v>
      </c>
      <c r="AA1622" t="s">
        <v>3406</v>
      </c>
      <c r="AB1622" t="s">
        <v>3415</v>
      </c>
      <c r="AC1622">
        <f>HYPERLINK("https://lsnyc.legalserver.org/matter/dynamic-profile/view/1863349","18-1863349")</f>
        <v>0</v>
      </c>
      <c r="AD1622" t="s">
        <v>3447</v>
      </c>
      <c r="AE1622" t="s">
        <v>3478</v>
      </c>
      <c r="AF1622" t="s">
        <v>4173</v>
      </c>
      <c r="AG1622" t="s">
        <v>3359</v>
      </c>
      <c r="AH1622" t="s">
        <v>4906</v>
      </c>
      <c r="AK1622" t="s">
        <v>4911</v>
      </c>
      <c r="AL1622" t="s">
        <v>2135</v>
      </c>
      <c r="AN1622" t="s">
        <v>3415</v>
      </c>
    </row>
    <row r="1623" spans="1:41">
      <c r="A1623" s="1" t="s">
        <v>1659</v>
      </c>
      <c r="B1623" t="s">
        <v>1998</v>
      </c>
      <c r="C1623" t="s">
        <v>2002</v>
      </c>
      <c r="D1623" t="s">
        <v>2086</v>
      </c>
      <c r="E1623" t="s">
        <v>2111</v>
      </c>
      <c r="F1623" t="s">
        <v>2152</v>
      </c>
      <c r="G1623" t="s">
        <v>2216</v>
      </c>
      <c r="H1623">
        <v>10304</v>
      </c>
      <c r="I1623" t="s">
        <v>2229</v>
      </c>
      <c r="J1623">
        <v>2</v>
      </c>
      <c r="K1623">
        <v>0</v>
      </c>
      <c r="L1623" t="s">
        <v>2331</v>
      </c>
      <c r="M1623" t="s">
        <v>2677</v>
      </c>
      <c r="P1623" t="s">
        <v>3078</v>
      </c>
      <c r="Q1623" t="s">
        <v>2113</v>
      </c>
      <c r="R1623" t="s">
        <v>3259</v>
      </c>
      <c r="S1623" t="s">
        <v>3270</v>
      </c>
      <c r="X1623" t="s">
        <v>3354</v>
      </c>
      <c r="Y1623" t="s">
        <v>2677</v>
      </c>
      <c r="Z1623" t="s">
        <v>3362</v>
      </c>
      <c r="AA1623" t="s">
        <v>3406</v>
      </c>
      <c r="AB1623" t="s">
        <v>3418</v>
      </c>
      <c r="AC1623">
        <f>HYPERLINK("https://lsnyc.legalserver.org/matter/dynamic-profile/view/1863445","18-1863445")</f>
        <v>0</v>
      </c>
      <c r="AD1623" t="s">
        <v>3445</v>
      </c>
      <c r="AE1623" t="s">
        <v>3455</v>
      </c>
      <c r="AF1623" t="s">
        <v>4675</v>
      </c>
      <c r="AG1623" t="s">
        <v>3362</v>
      </c>
      <c r="AH1623" t="s">
        <v>4904</v>
      </c>
      <c r="AK1623" t="s">
        <v>4911</v>
      </c>
      <c r="AL1623" t="s">
        <v>2152</v>
      </c>
      <c r="AN1623" t="s">
        <v>3418</v>
      </c>
    </row>
    <row r="1624" spans="1:41">
      <c r="A1624" s="1" t="s">
        <v>1660</v>
      </c>
      <c r="B1624" t="s">
        <v>2009</v>
      </c>
      <c r="C1624" t="s">
        <v>2000</v>
      </c>
      <c r="D1624" t="s">
        <v>2068</v>
      </c>
      <c r="E1624" t="s">
        <v>2112</v>
      </c>
      <c r="F1624" t="s">
        <v>2123</v>
      </c>
      <c r="G1624" t="s">
        <v>2214</v>
      </c>
      <c r="H1624">
        <v>11231</v>
      </c>
      <c r="I1624" t="s">
        <v>2229</v>
      </c>
      <c r="J1624">
        <v>2</v>
      </c>
      <c r="K1624">
        <v>1</v>
      </c>
      <c r="L1624" t="s">
        <v>2607</v>
      </c>
      <c r="M1624" t="s">
        <v>2677</v>
      </c>
      <c r="P1624" t="s">
        <v>3078</v>
      </c>
      <c r="Q1624" t="s">
        <v>2113</v>
      </c>
      <c r="R1624" t="s">
        <v>3258</v>
      </c>
      <c r="S1624" t="s">
        <v>3271</v>
      </c>
      <c r="X1624" t="s">
        <v>3354</v>
      </c>
      <c r="Y1624" t="s">
        <v>2677</v>
      </c>
      <c r="Z1624" t="s">
        <v>3362</v>
      </c>
      <c r="AA1624" t="s">
        <v>3406</v>
      </c>
      <c r="AB1624" t="s">
        <v>3419</v>
      </c>
      <c r="AC1624">
        <f>HYPERLINK("https://lsnyc.legalserver.org/matter/dynamic-profile/view/1863446","18-1863446")</f>
        <v>0</v>
      </c>
      <c r="AD1624" t="s">
        <v>3445</v>
      </c>
      <c r="AE1624" t="s">
        <v>3455</v>
      </c>
      <c r="AF1624" t="s">
        <v>4676</v>
      </c>
      <c r="AG1624" t="s">
        <v>3362</v>
      </c>
      <c r="AH1624" t="s">
        <v>4904</v>
      </c>
      <c r="AK1624" t="s">
        <v>4911</v>
      </c>
      <c r="AL1624" t="s">
        <v>2123</v>
      </c>
      <c r="AN1624" t="s">
        <v>3419</v>
      </c>
    </row>
    <row r="1625" spans="1:41">
      <c r="A1625" s="1" t="s">
        <v>1661</v>
      </c>
      <c r="B1625" t="s">
        <v>2000</v>
      </c>
      <c r="C1625" t="s">
        <v>2016</v>
      </c>
      <c r="D1625" t="s">
        <v>2070</v>
      </c>
      <c r="E1625" t="s">
        <v>2112</v>
      </c>
      <c r="F1625" t="s">
        <v>2122</v>
      </c>
      <c r="G1625" t="s">
        <v>2212</v>
      </c>
      <c r="H1625">
        <v>11434</v>
      </c>
      <c r="I1625" t="s">
        <v>2230</v>
      </c>
      <c r="J1625">
        <v>1</v>
      </c>
      <c r="K1625">
        <v>0</v>
      </c>
      <c r="L1625" t="s">
        <v>2277</v>
      </c>
      <c r="M1625" t="s">
        <v>2677</v>
      </c>
      <c r="P1625" t="s">
        <v>3078</v>
      </c>
      <c r="Q1625" t="s">
        <v>2113</v>
      </c>
      <c r="R1625" t="s">
        <v>3258</v>
      </c>
      <c r="S1625" t="s">
        <v>3273</v>
      </c>
      <c r="X1625" t="s">
        <v>3354</v>
      </c>
      <c r="Y1625" t="s">
        <v>2677</v>
      </c>
      <c r="Z1625" t="s">
        <v>3365</v>
      </c>
      <c r="AA1625" t="s">
        <v>3406</v>
      </c>
      <c r="AB1625" t="s">
        <v>3421</v>
      </c>
      <c r="AC1625">
        <f>HYPERLINK("https://lsnyc.legalserver.org/matter/dynamic-profile/view/1863502","18-1863502")</f>
        <v>0</v>
      </c>
      <c r="AD1625" t="s">
        <v>3445</v>
      </c>
      <c r="AE1625" t="s">
        <v>3455</v>
      </c>
      <c r="AF1625" t="s">
        <v>4677</v>
      </c>
      <c r="AG1625" t="s">
        <v>3365</v>
      </c>
      <c r="AH1625" t="s">
        <v>4904</v>
      </c>
      <c r="AK1625" t="s">
        <v>4911</v>
      </c>
      <c r="AL1625" t="s">
        <v>2122</v>
      </c>
      <c r="AN1625" t="s">
        <v>3421</v>
      </c>
    </row>
    <row r="1626" spans="1:41">
      <c r="A1626" s="1" t="s">
        <v>1662</v>
      </c>
      <c r="B1626" t="s">
        <v>2000</v>
      </c>
      <c r="C1626" t="s">
        <v>2009</v>
      </c>
      <c r="D1626" t="s">
        <v>2097</v>
      </c>
      <c r="E1626" t="s">
        <v>2112</v>
      </c>
      <c r="F1626" t="s">
        <v>2166</v>
      </c>
      <c r="G1626" t="s">
        <v>2213</v>
      </c>
      <c r="H1626">
        <v>10459</v>
      </c>
      <c r="I1626" t="s">
        <v>2230</v>
      </c>
      <c r="J1626">
        <v>1</v>
      </c>
      <c r="K1626">
        <v>0</v>
      </c>
      <c r="L1626" t="s">
        <v>2608</v>
      </c>
      <c r="M1626" t="s">
        <v>2677</v>
      </c>
      <c r="P1626" t="s">
        <v>3079</v>
      </c>
      <c r="Q1626" t="s">
        <v>3255</v>
      </c>
      <c r="R1626" t="s">
        <v>3258</v>
      </c>
      <c r="S1626" t="s">
        <v>3286</v>
      </c>
      <c r="X1626" t="s">
        <v>3354</v>
      </c>
      <c r="Y1626" t="s">
        <v>2677</v>
      </c>
      <c r="Z1626" t="s">
        <v>3388</v>
      </c>
      <c r="AA1626" t="s">
        <v>3406</v>
      </c>
      <c r="AB1626" t="s">
        <v>3434</v>
      </c>
      <c r="AC1626">
        <f>HYPERLINK("https://lsnyc.legalserver.org/matter/dynamic-profile/view/1851360","17-1851360")</f>
        <v>0</v>
      </c>
      <c r="AD1626" t="s">
        <v>3445</v>
      </c>
      <c r="AE1626" t="s">
        <v>3455</v>
      </c>
      <c r="AF1626" t="s">
        <v>4678</v>
      </c>
      <c r="AG1626" t="s">
        <v>3388</v>
      </c>
      <c r="AH1626" t="s">
        <v>4904</v>
      </c>
      <c r="AK1626" t="s">
        <v>4911</v>
      </c>
      <c r="AL1626" t="s">
        <v>2166</v>
      </c>
      <c r="AN1626" t="s">
        <v>3434</v>
      </c>
    </row>
    <row r="1627" spans="1:41">
      <c r="A1627" s="1" t="s">
        <v>1663</v>
      </c>
      <c r="B1627" t="s">
        <v>1998</v>
      </c>
      <c r="C1627" t="s">
        <v>2012</v>
      </c>
      <c r="D1627" t="s">
        <v>2031</v>
      </c>
      <c r="E1627" t="s">
        <v>2112</v>
      </c>
      <c r="F1627" t="s">
        <v>2116</v>
      </c>
      <c r="G1627" t="s">
        <v>2216</v>
      </c>
      <c r="H1627">
        <v>10302</v>
      </c>
      <c r="I1627" t="s">
        <v>2229</v>
      </c>
      <c r="J1627">
        <v>6</v>
      </c>
      <c r="K1627">
        <v>5</v>
      </c>
      <c r="L1627" t="s">
        <v>2511</v>
      </c>
      <c r="M1627" t="s">
        <v>2677</v>
      </c>
      <c r="P1627" t="s">
        <v>3079</v>
      </c>
      <c r="Q1627" t="s">
        <v>3255</v>
      </c>
      <c r="R1627" t="s">
        <v>3259</v>
      </c>
      <c r="S1627" t="s">
        <v>3264</v>
      </c>
      <c r="T1627" t="s">
        <v>3294</v>
      </c>
      <c r="U1627" t="s">
        <v>2930</v>
      </c>
      <c r="X1627" t="s">
        <v>3354</v>
      </c>
      <c r="Y1627" t="s">
        <v>2678</v>
      </c>
      <c r="Z1627" t="s">
        <v>3357</v>
      </c>
      <c r="AA1627" t="s">
        <v>3406</v>
      </c>
      <c r="AB1627" t="s">
        <v>3412</v>
      </c>
      <c r="AC1627">
        <f>HYPERLINK("https://lsnyc.legalserver.org/matter/dynamic-profile/view/1859554","18-1859554")</f>
        <v>0</v>
      </c>
      <c r="AD1627" t="s">
        <v>3447</v>
      </c>
      <c r="AE1627" t="s">
        <v>3459</v>
      </c>
      <c r="AF1627" t="s">
        <v>4379</v>
      </c>
      <c r="AG1627" t="s">
        <v>3357</v>
      </c>
      <c r="AH1627" t="s">
        <v>4904</v>
      </c>
      <c r="AK1627" t="s">
        <v>4911</v>
      </c>
      <c r="AL1627" t="s">
        <v>2116</v>
      </c>
      <c r="AM1627" t="s">
        <v>3294</v>
      </c>
      <c r="AN1627" t="s">
        <v>3412</v>
      </c>
    </row>
    <row r="1628" spans="1:41">
      <c r="A1628" s="1" t="s">
        <v>1664</v>
      </c>
      <c r="B1628" t="s">
        <v>2001</v>
      </c>
      <c r="C1628" t="s">
        <v>1998</v>
      </c>
      <c r="D1628" t="s">
        <v>2047</v>
      </c>
      <c r="E1628" t="s">
        <v>2111</v>
      </c>
      <c r="F1628" t="s">
        <v>2122</v>
      </c>
      <c r="G1628" t="s">
        <v>2212</v>
      </c>
      <c r="H1628">
        <v>11423</v>
      </c>
      <c r="I1628" t="s">
        <v>2230</v>
      </c>
      <c r="J1628">
        <v>5</v>
      </c>
      <c r="K1628">
        <v>2</v>
      </c>
      <c r="L1628" t="s">
        <v>2609</v>
      </c>
      <c r="M1628" t="s">
        <v>2677</v>
      </c>
      <c r="P1628" t="s">
        <v>3079</v>
      </c>
      <c r="Q1628" t="s">
        <v>2113</v>
      </c>
      <c r="R1628" t="s">
        <v>3258</v>
      </c>
      <c r="S1628" t="s">
        <v>3271</v>
      </c>
      <c r="X1628" t="s">
        <v>3354</v>
      </c>
      <c r="Y1628" t="s">
        <v>2678</v>
      </c>
      <c r="Z1628" t="s">
        <v>3362</v>
      </c>
      <c r="AA1628" t="s">
        <v>3406</v>
      </c>
      <c r="AB1628" t="s">
        <v>3419</v>
      </c>
      <c r="AC1628">
        <f>HYPERLINK("https://lsnyc.legalserver.org/matter/dynamic-profile/view/1863262","18-1863262")</f>
        <v>0</v>
      </c>
      <c r="AD1628" t="s">
        <v>3443</v>
      </c>
      <c r="AE1628" t="s">
        <v>3477</v>
      </c>
      <c r="AF1628" t="s">
        <v>4679</v>
      </c>
      <c r="AG1628" t="s">
        <v>3362</v>
      </c>
      <c r="AH1628" t="s">
        <v>4904</v>
      </c>
      <c r="AL1628" t="s">
        <v>2122</v>
      </c>
      <c r="AN1628" t="s">
        <v>3419</v>
      </c>
    </row>
    <row r="1629" spans="1:41">
      <c r="A1629" s="1" t="s">
        <v>1665</v>
      </c>
      <c r="B1629" t="s">
        <v>2012</v>
      </c>
      <c r="C1629" t="s">
        <v>1998</v>
      </c>
      <c r="D1629" t="s">
        <v>2059</v>
      </c>
      <c r="E1629" t="s">
        <v>2112</v>
      </c>
      <c r="F1629" t="s">
        <v>2122</v>
      </c>
      <c r="G1629" t="s">
        <v>2212</v>
      </c>
      <c r="H1629">
        <v>11435</v>
      </c>
      <c r="I1629" t="s">
        <v>2230</v>
      </c>
      <c r="J1629">
        <v>1</v>
      </c>
      <c r="K1629">
        <v>0</v>
      </c>
      <c r="L1629" t="s">
        <v>2331</v>
      </c>
      <c r="M1629" t="s">
        <v>2677</v>
      </c>
      <c r="P1629" t="s">
        <v>3080</v>
      </c>
      <c r="Q1629" t="s">
        <v>2113</v>
      </c>
      <c r="R1629" t="s">
        <v>3258</v>
      </c>
      <c r="S1629" t="s">
        <v>3286</v>
      </c>
      <c r="T1629" t="s">
        <v>3294</v>
      </c>
      <c r="U1629" t="s">
        <v>3079</v>
      </c>
      <c r="X1629" t="s">
        <v>3354</v>
      </c>
      <c r="Y1629" t="s">
        <v>2677</v>
      </c>
      <c r="Z1629" t="s">
        <v>3388</v>
      </c>
      <c r="AA1629" t="s">
        <v>3406</v>
      </c>
      <c r="AB1629" t="s">
        <v>3434</v>
      </c>
      <c r="AC1629">
        <f>HYPERLINK("https://lsnyc.legalserver.org/matter/dynamic-profile/view/1862992","18-1862992")</f>
        <v>0</v>
      </c>
      <c r="AD1629" t="s">
        <v>3445</v>
      </c>
      <c r="AE1629" t="s">
        <v>3455</v>
      </c>
      <c r="AF1629" t="s">
        <v>4680</v>
      </c>
      <c r="AG1629" t="s">
        <v>3388</v>
      </c>
      <c r="AH1629" t="s">
        <v>4904</v>
      </c>
      <c r="AK1629" t="s">
        <v>4911</v>
      </c>
      <c r="AL1629" t="s">
        <v>2122</v>
      </c>
      <c r="AM1629" t="s">
        <v>3294</v>
      </c>
      <c r="AN1629" t="s">
        <v>3434</v>
      </c>
    </row>
    <row r="1630" spans="1:41">
      <c r="A1630" s="1" t="s">
        <v>1666</v>
      </c>
      <c r="B1630" t="s">
        <v>2016</v>
      </c>
      <c r="C1630" t="s">
        <v>2016</v>
      </c>
      <c r="D1630" t="s">
        <v>2055</v>
      </c>
      <c r="E1630" t="s">
        <v>2112</v>
      </c>
      <c r="F1630" t="s">
        <v>2135</v>
      </c>
      <c r="G1630" t="s">
        <v>2213</v>
      </c>
      <c r="H1630">
        <v>10451</v>
      </c>
      <c r="I1630" t="s">
        <v>2229</v>
      </c>
      <c r="J1630">
        <v>3</v>
      </c>
      <c r="K1630">
        <v>0</v>
      </c>
      <c r="L1630" t="s">
        <v>2277</v>
      </c>
      <c r="M1630" t="s">
        <v>2677</v>
      </c>
      <c r="P1630" t="s">
        <v>3080</v>
      </c>
      <c r="Q1630" t="s">
        <v>3255</v>
      </c>
      <c r="R1630" t="s">
        <v>3258</v>
      </c>
      <c r="S1630" t="s">
        <v>3271</v>
      </c>
      <c r="X1630" t="s">
        <v>3354</v>
      </c>
      <c r="Y1630" t="s">
        <v>2677</v>
      </c>
      <c r="Z1630" t="s">
        <v>3362</v>
      </c>
      <c r="AA1630" t="s">
        <v>3406</v>
      </c>
      <c r="AB1630" t="s">
        <v>3419</v>
      </c>
      <c r="AC1630">
        <f>HYPERLINK("https://lsnyc.legalserver.org/matter/dynamic-profile/view/1863035","18-1863035")</f>
        <v>0</v>
      </c>
      <c r="AD1630" t="s">
        <v>3443</v>
      </c>
      <c r="AE1630" t="s">
        <v>3477</v>
      </c>
      <c r="AF1630" t="s">
        <v>4681</v>
      </c>
      <c r="AG1630" t="s">
        <v>3362</v>
      </c>
      <c r="AH1630" t="s">
        <v>4904</v>
      </c>
      <c r="AK1630" t="s">
        <v>4911</v>
      </c>
      <c r="AL1630" t="s">
        <v>2135</v>
      </c>
      <c r="AN1630" t="s">
        <v>3419</v>
      </c>
    </row>
    <row r="1631" spans="1:41">
      <c r="A1631" s="1" t="s">
        <v>1667</v>
      </c>
      <c r="B1631" t="s">
        <v>2001</v>
      </c>
      <c r="C1631" t="s">
        <v>1998</v>
      </c>
      <c r="D1631" t="s">
        <v>2057</v>
      </c>
      <c r="E1631" t="s">
        <v>2112</v>
      </c>
      <c r="F1631" t="s">
        <v>2122</v>
      </c>
      <c r="G1631" t="s">
        <v>2212</v>
      </c>
      <c r="H1631">
        <v>11419</v>
      </c>
      <c r="J1631">
        <v>2</v>
      </c>
      <c r="K1631">
        <v>1</v>
      </c>
      <c r="L1631" t="s">
        <v>2312</v>
      </c>
      <c r="M1631" t="s">
        <v>2677</v>
      </c>
      <c r="P1631" t="s">
        <v>3081</v>
      </c>
      <c r="Q1631" t="s">
        <v>2113</v>
      </c>
      <c r="R1631" t="s">
        <v>3258</v>
      </c>
      <c r="S1631" t="s">
        <v>3271</v>
      </c>
      <c r="X1631" t="s">
        <v>3354</v>
      </c>
      <c r="Y1631" t="s">
        <v>2678</v>
      </c>
      <c r="Z1631" t="s">
        <v>3362</v>
      </c>
      <c r="AA1631" t="s">
        <v>3406</v>
      </c>
      <c r="AB1631" t="s">
        <v>3419</v>
      </c>
      <c r="AC1631">
        <f>HYPERLINK("https://lsnyc.legalserver.org/matter/dynamic-profile/view/1862880","18-1862880")</f>
        <v>0</v>
      </c>
      <c r="AD1631" t="s">
        <v>3443</v>
      </c>
      <c r="AE1631" t="s">
        <v>3477</v>
      </c>
      <c r="AF1631" t="s">
        <v>4682</v>
      </c>
      <c r="AG1631" t="s">
        <v>3362</v>
      </c>
      <c r="AH1631" t="s">
        <v>4904</v>
      </c>
      <c r="AK1631" t="s">
        <v>4911</v>
      </c>
      <c r="AL1631" t="s">
        <v>2122</v>
      </c>
      <c r="AN1631" t="s">
        <v>3419</v>
      </c>
    </row>
    <row r="1632" spans="1:41">
      <c r="A1632" s="1" t="s">
        <v>1668</v>
      </c>
      <c r="B1632" t="s">
        <v>2004</v>
      </c>
      <c r="C1632" t="s">
        <v>2014</v>
      </c>
      <c r="D1632" t="s">
        <v>2048</v>
      </c>
      <c r="E1632" t="s">
        <v>2111</v>
      </c>
      <c r="F1632" t="s">
        <v>2162</v>
      </c>
      <c r="G1632" t="s">
        <v>2213</v>
      </c>
      <c r="H1632">
        <v>10457</v>
      </c>
      <c r="I1632" t="s">
        <v>2234</v>
      </c>
      <c r="J1632">
        <v>1</v>
      </c>
      <c r="K1632">
        <v>0</v>
      </c>
      <c r="L1632" t="s">
        <v>2260</v>
      </c>
      <c r="M1632" t="s">
        <v>2677</v>
      </c>
      <c r="P1632" t="s">
        <v>3015</v>
      </c>
      <c r="Q1632" t="s">
        <v>2113</v>
      </c>
      <c r="R1632" t="s">
        <v>3259</v>
      </c>
      <c r="S1632" t="s">
        <v>3267</v>
      </c>
      <c r="V1632" t="s">
        <v>3352</v>
      </c>
      <c r="X1632" t="s">
        <v>3354</v>
      </c>
      <c r="Y1632" t="s">
        <v>2678</v>
      </c>
      <c r="Z1632" t="s">
        <v>3359</v>
      </c>
      <c r="AA1632" t="s">
        <v>3406</v>
      </c>
      <c r="AB1632" t="s">
        <v>3415</v>
      </c>
      <c r="AC1632">
        <f>HYPERLINK("https://lsnyc.legalserver.org/matter/dynamic-profile/view/1862913","18-1862913")</f>
        <v>0</v>
      </c>
      <c r="AD1632" t="s">
        <v>3444</v>
      </c>
      <c r="AE1632" t="s">
        <v>3468</v>
      </c>
      <c r="AF1632" t="s">
        <v>3779</v>
      </c>
      <c r="AG1632" t="s">
        <v>3359</v>
      </c>
      <c r="AH1632" t="s">
        <v>4906</v>
      </c>
      <c r="AK1632" t="s">
        <v>4911</v>
      </c>
      <c r="AL1632" t="s">
        <v>2162</v>
      </c>
      <c r="AN1632" t="s">
        <v>3415</v>
      </c>
      <c r="AO1632" t="s">
        <v>3352</v>
      </c>
    </row>
    <row r="1633" spans="1:41">
      <c r="A1633" s="1" t="s">
        <v>1669</v>
      </c>
      <c r="B1633" t="s">
        <v>1998</v>
      </c>
      <c r="C1633" t="s">
        <v>2000</v>
      </c>
      <c r="D1633" t="s">
        <v>2039</v>
      </c>
      <c r="E1633" t="s">
        <v>2112</v>
      </c>
      <c r="F1633" t="s">
        <v>2145</v>
      </c>
      <c r="G1633" t="s">
        <v>2214</v>
      </c>
      <c r="H1633">
        <v>11226</v>
      </c>
      <c r="I1633" t="s">
        <v>2230</v>
      </c>
      <c r="J1633">
        <v>3</v>
      </c>
      <c r="K1633">
        <v>0</v>
      </c>
      <c r="L1633" t="s">
        <v>2304</v>
      </c>
      <c r="M1633" t="s">
        <v>2677</v>
      </c>
      <c r="P1633" t="s">
        <v>3081</v>
      </c>
      <c r="Q1633" t="s">
        <v>3255</v>
      </c>
      <c r="R1633" t="s">
        <v>3258</v>
      </c>
      <c r="S1633" t="s">
        <v>3269</v>
      </c>
      <c r="T1633" t="s">
        <v>3294</v>
      </c>
      <c r="U1633" t="s">
        <v>2760</v>
      </c>
      <c r="X1633" t="s">
        <v>3354</v>
      </c>
      <c r="Y1633" t="s">
        <v>2678</v>
      </c>
      <c r="Z1633" t="s">
        <v>3361</v>
      </c>
      <c r="AA1633" t="s">
        <v>3406</v>
      </c>
      <c r="AB1633" t="s">
        <v>3417</v>
      </c>
      <c r="AC1633">
        <f>HYPERLINK("https://lsnyc.legalserver.org/matter/dynamic-profile/view/1862936","18-1862936")</f>
        <v>0</v>
      </c>
      <c r="AD1633" t="s">
        <v>3446</v>
      </c>
      <c r="AE1633" t="s">
        <v>3473</v>
      </c>
      <c r="AF1633" t="s">
        <v>4683</v>
      </c>
      <c r="AG1633" t="s">
        <v>3361</v>
      </c>
      <c r="AH1633" t="s">
        <v>4904</v>
      </c>
      <c r="AL1633" t="s">
        <v>2145</v>
      </c>
      <c r="AM1633" t="s">
        <v>3294</v>
      </c>
      <c r="AN1633" t="s">
        <v>3417</v>
      </c>
    </row>
    <row r="1634" spans="1:41">
      <c r="A1634" s="1" t="s">
        <v>1670</v>
      </c>
      <c r="B1634" t="s">
        <v>1998</v>
      </c>
      <c r="C1634" t="s">
        <v>2000</v>
      </c>
      <c r="D1634" t="s">
        <v>2039</v>
      </c>
      <c r="E1634" t="s">
        <v>2112</v>
      </c>
      <c r="F1634" t="s">
        <v>2145</v>
      </c>
      <c r="G1634" t="s">
        <v>2214</v>
      </c>
      <c r="H1634">
        <v>11226</v>
      </c>
      <c r="I1634" t="s">
        <v>2230</v>
      </c>
      <c r="J1634">
        <v>3</v>
      </c>
      <c r="K1634">
        <v>0</v>
      </c>
      <c r="L1634" t="s">
        <v>2304</v>
      </c>
      <c r="M1634" t="s">
        <v>2677</v>
      </c>
      <c r="P1634" t="s">
        <v>3081</v>
      </c>
      <c r="Q1634" t="s">
        <v>3255</v>
      </c>
      <c r="R1634" t="s">
        <v>3258</v>
      </c>
      <c r="S1634" t="s">
        <v>3262</v>
      </c>
      <c r="T1634" t="s">
        <v>3294</v>
      </c>
      <c r="U1634" t="s">
        <v>2760</v>
      </c>
      <c r="X1634" t="s">
        <v>3354</v>
      </c>
      <c r="Y1634" t="s">
        <v>2678</v>
      </c>
      <c r="Z1634" t="s">
        <v>3355</v>
      </c>
      <c r="AA1634" t="s">
        <v>3406</v>
      </c>
      <c r="AB1634" t="s">
        <v>3410</v>
      </c>
      <c r="AC1634">
        <f>HYPERLINK("https://lsnyc.legalserver.org/matter/dynamic-profile/view/1862939","18-1862939")</f>
        <v>0</v>
      </c>
      <c r="AD1634" t="s">
        <v>3446</v>
      </c>
      <c r="AE1634" t="s">
        <v>3473</v>
      </c>
      <c r="AF1634" t="s">
        <v>4683</v>
      </c>
      <c r="AG1634" t="s">
        <v>3355</v>
      </c>
      <c r="AH1634" t="s">
        <v>4904</v>
      </c>
      <c r="AL1634" t="s">
        <v>2145</v>
      </c>
      <c r="AM1634" t="s">
        <v>3294</v>
      </c>
      <c r="AN1634" t="s">
        <v>3410</v>
      </c>
    </row>
    <row r="1635" spans="1:41">
      <c r="A1635" s="1" t="s">
        <v>1671</v>
      </c>
      <c r="B1635" t="s">
        <v>1998</v>
      </c>
      <c r="C1635" t="s">
        <v>2000</v>
      </c>
      <c r="D1635" t="s">
        <v>2039</v>
      </c>
      <c r="E1635" t="s">
        <v>2112</v>
      </c>
      <c r="F1635" t="s">
        <v>2145</v>
      </c>
      <c r="G1635" t="s">
        <v>2214</v>
      </c>
      <c r="H1635">
        <v>11226</v>
      </c>
      <c r="I1635" t="s">
        <v>2230</v>
      </c>
      <c r="J1635">
        <v>3</v>
      </c>
      <c r="K1635">
        <v>0</v>
      </c>
      <c r="L1635" t="s">
        <v>2304</v>
      </c>
      <c r="M1635" t="s">
        <v>2677</v>
      </c>
      <c r="P1635" t="s">
        <v>3081</v>
      </c>
      <c r="Q1635" t="s">
        <v>3255</v>
      </c>
      <c r="R1635" t="s">
        <v>3258</v>
      </c>
      <c r="S1635" t="s">
        <v>3273</v>
      </c>
      <c r="T1635" t="s">
        <v>3294</v>
      </c>
      <c r="U1635" t="s">
        <v>2760</v>
      </c>
      <c r="X1635" t="s">
        <v>3354</v>
      </c>
      <c r="Y1635" t="s">
        <v>2678</v>
      </c>
      <c r="Z1635" t="s">
        <v>3395</v>
      </c>
      <c r="AA1635" t="s">
        <v>3406</v>
      </c>
      <c r="AB1635" t="s">
        <v>3421</v>
      </c>
      <c r="AC1635">
        <f>HYPERLINK("https://lsnyc.legalserver.org/matter/dynamic-profile/view/1862941","18-1862941")</f>
        <v>0</v>
      </c>
      <c r="AD1635" t="s">
        <v>3446</v>
      </c>
      <c r="AE1635" t="s">
        <v>3473</v>
      </c>
      <c r="AF1635" t="s">
        <v>4683</v>
      </c>
      <c r="AG1635" t="s">
        <v>3395</v>
      </c>
      <c r="AH1635" t="s">
        <v>4904</v>
      </c>
      <c r="AK1635" t="s">
        <v>4911</v>
      </c>
      <c r="AL1635" t="s">
        <v>2145</v>
      </c>
      <c r="AM1635" t="s">
        <v>3294</v>
      </c>
      <c r="AN1635" t="s">
        <v>3421</v>
      </c>
    </row>
    <row r="1636" spans="1:41">
      <c r="A1636" s="1" t="s">
        <v>1672</v>
      </c>
      <c r="B1636" t="s">
        <v>2001</v>
      </c>
      <c r="C1636" t="s">
        <v>2000</v>
      </c>
      <c r="D1636" t="s">
        <v>2028</v>
      </c>
      <c r="E1636" t="s">
        <v>2111</v>
      </c>
      <c r="F1636" t="s">
        <v>2135</v>
      </c>
      <c r="G1636" t="s">
        <v>2212</v>
      </c>
      <c r="H1636">
        <v>11385</v>
      </c>
      <c r="I1636" t="s">
        <v>2229</v>
      </c>
      <c r="J1636">
        <v>5</v>
      </c>
      <c r="K1636">
        <v>3</v>
      </c>
      <c r="L1636" t="s">
        <v>2284</v>
      </c>
      <c r="M1636" t="s">
        <v>2677</v>
      </c>
      <c r="P1636" t="s">
        <v>2763</v>
      </c>
      <c r="Q1636" t="s">
        <v>3255</v>
      </c>
      <c r="R1636" t="s">
        <v>3259</v>
      </c>
      <c r="S1636" t="s">
        <v>3264</v>
      </c>
      <c r="X1636" t="s">
        <v>3354</v>
      </c>
      <c r="Y1636" t="s">
        <v>2677</v>
      </c>
      <c r="Z1636" t="s">
        <v>3357</v>
      </c>
      <c r="AA1636" t="s">
        <v>3406</v>
      </c>
      <c r="AB1636" t="s">
        <v>3412</v>
      </c>
      <c r="AC1636">
        <f>HYPERLINK("https://lsnyc.legalserver.org/matter/dynamic-profile/view/1862653","18-1862653")</f>
        <v>0</v>
      </c>
      <c r="AD1636" t="s">
        <v>3443</v>
      </c>
      <c r="AE1636" t="s">
        <v>3490</v>
      </c>
      <c r="AF1636" t="s">
        <v>4684</v>
      </c>
      <c r="AG1636" t="s">
        <v>3357</v>
      </c>
      <c r="AH1636" t="s">
        <v>4904</v>
      </c>
      <c r="AI1636" t="s">
        <v>4909</v>
      </c>
      <c r="AL1636" t="s">
        <v>2135</v>
      </c>
      <c r="AN1636" t="s">
        <v>3412</v>
      </c>
    </row>
    <row r="1637" spans="1:41">
      <c r="A1637" s="1" t="s">
        <v>1673</v>
      </c>
      <c r="B1637" t="s">
        <v>2002</v>
      </c>
      <c r="C1637" t="s">
        <v>2009</v>
      </c>
      <c r="D1637" t="s">
        <v>2078</v>
      </c>
      <c r="E1637" t="s">
        <v>2112</v>
      </c>
      <c r="F1637" t="s">
        <v>2117</v>
      </c>
      <c r="G1637" t="s">
        <v>2212</v>
      </c>
      <c r="H1637">
        <v>11433</v>
      </c>
      <c r="I1637" t="s">
        <v>2229</v>
      </c>
      <c r="J1637">
        <v>2</v>
      </c>
      <c r="K1637">
        <v>1</v>
      </c>
      <c r="L1637" t="s">
        <v>2260</v>
      </c>
      <c r="M1637" t="s">
        <v>2677</v>
      </c>
      <c r="P1637" t="s">
        <v>3082</v>
      </c>
      <c r="Q1637" t="s">
        <v>2113</v>
      </c>
      <c r="R1637" t="s">
        <v>3259</v>
      </c>
      <c r="S1637" t="s">
        <v>3270</v>
      </c>
      <c r="X1637" t="s">
        <v>3354</v>
      </c>
      <c r="Y1637" t="s">
        <v>2677</v>
      </c>
      <c r="Z1637" t="s">
        <v>3359</v>
      </c>
      <c r="AA1637" t="s">
        <v>3406</v>
      </c>
      <c r="AB1637" t="s">
        <v>3418</v>
      </c>
      <c r="AC1637">
        <f>HYPERLINK("https://lsnyc.legalserver.org/matter/dynamic-profile/view/1862665","18-1862665")</f>
        <v>0</v>
      </c>
      <c r="AD1637" t="s">
        <v>3445</v>
      </c>
      <c r="AE1637" t="s">
        <v>3455</v>
      </c>
      <c r="AF1637" t="s">
        <v>4685</v>
      </c>
      <c r="AG1637" t="s">
        <v>3359</v>
      </c>
      <c r="AH1637" t="s">
        <v>4904</v>
      </c>
      <c r="AK1637" t="s">
        <v>4911</v>
      </c>
      <c r="AL1637" t="s">
        <v>2117</v>
      </c>
      <c r="AN1637" t="s">
        <v>3418</v>
      </c>
    </row>
    <row r="1638" spans="1:41">
      <c r="A1638" s="1" t="s">
        <v>1674</v>
      </c>
      <c r="B1638" t="s">
        <v>2002</v>
      </c>
      <c r="C1638" t="s">
        <v>2009</v>
      </c>
      <c r="D1638" t="s">
        <v>2050</v>
      </c>
      <c r="E1638" t="s">
        <v>2112</v>
      </c>
      <c r="F1638" t="s">
        <v>2140</v>
      </c>
      <c r="G1638" t="s">
        <v>2211</v>
      </c>
      <c r="H1638">
        <v>10029</v>
      </c>
      <c r="I1638" t="s">
        <v>2245</v>
      </c>
      <c r="J1638">
        <v>1</v>
      </c>
      <c r="K1638">
        <v>0</v>
      </c>
      <c r="L1638" t="s">
        <v>2256</v>
      </c>
      <c r="M1638" t="s">
        <v>2677</v>
      </c>
      <c r="P1638" t="s">
        <v>3082</v>
      </c>
      <c r="Q1638" t="s">
        <v>2113</v>
      </c>
      <c r="R1638" t="s">
        <v>3259</v>
      </c>
      <c r="S1638" t="s">
        <v>3287</v>
      </c>
      <c r="X1638" t="s">
        <v>3354</v>
      </c>
      <c r="Y1638" t="s">
        <v>2677</v>
      </c>
      <c r="Z1638" t="s">
        <v>3378</v>
      </c>
      <c r="AA1638" t="s">
        <v>3406</v>
      </c>
      <c r="AB1638" t="s">
        <v>3435</v>
      </c>
      <c r="AC1638">
        <f>HYPERLINK("https://lsnyc.legalserver.org/matter/dynamic-profile/view/1863166","18-1863166")</f>
        <v>0</v>
      </c>
      <c r="AD1638" t="s">
        <v>3445</v>
      </c>
      <c r="AE1638" t="s">
        <v>3455</v>
      </c>
      <c r="AF1638" t="s">
        <v>4602</v>
      </c>
      <c r="AG1638" t="s">
        <v>3378</v>
      </c>
      <c r="AH1638" t="s">
        <v>4904</v>
      </c>
      <c r="AK1638" t="s">
        <v>4911</v>
      </c>
      <c r="AL1638" t="s">
        <v>2140</v>
      </c>
      <c r="AN1638" t="s">
        <v>3435</v>
      </c>
    </row>
    <row r="1639" spans="1:41">
      <c r="A1639" s="1" t="s">
        <v>1675</v>
      </c>
      <c r="B1639" t="s">
        <v>2001</v>
      </c>
      <c r="C1639" t="s">
        <v>2001</v>
      </c>
      <c r="D1639" t="s">
        <v>2029</v>
      </c>
      <c r="E1639" t="s">
        <v>2112</v>
      </c>
      <c r="F1639" t="s">
        <v>2116</v>
      </c>
      <c r="G1639" t="s">
        <v>2214</v>
      </c>
      <c r="H1639">
        <v>11223</v>
      </c>
      <c r="I1639" t="s">
        <v>2229</v>
      </c>
      <c r="J1639">
        <v>5</v>
      </c>
      <c r="K1639">
        <v>4</v>
      </c>
      <c r="L1639" t="s">
        <v>2580</v>
      </c>
      <c r="M1639" t="s">
        <v>2677</v>
      </c>
      <c r="P1639" t="s">
        <v>3083</v>
      </c>
      <c r="Q1639" t="s">
        <v>2113</v>
      </c>
      <c r="R1639" t="s">
        <v>3259</v>
      </c>
      <c r="S1639" t="s">
        <v>3264</v>
      </c>
      <c r="X1639" t="s">
        <v>3354</v>
      </c>
      <c r="Y1639" t="s">
        <v>2677</v>
      </c>
      <c r="Z1639" t="s">
        <v>3357</v>
      </c>
      <c r="AA1639" t="s">
        <v>3406</v>
      </c>
      <c r="AB1639" t="s">
        <v>3412</v>
      </c>
      <c r="AC1639">
        <f>HYPERLINK("https://lsnyc.legalserver.org/matter/dynamic-profile/view/1862438","18-1862438")</f>
        <v>0</v>
      </c>
      <c r="AD1639" t="s">
        <v>3445</v>
      </c>
      <c r="AE1639" t="s">
        <v>3455</v>
      </c>
      <c r="AF1639" t="s">
        <v>4615</v>
      </c>
      <c r="AG1639" t="s">
        <v>3357</v>
      </c>
      <c r="AH1639" t="s">
        <v>4904</v>
      </c>
      <c r="AK1639" t="s">
        <v>4911</v>
      </c>
      <c r="AL1639" t="s">
        <v>2116</v>
      </c>
      <c r="AN1639" t="s">
        <v>3412</v>
      </c>
    </row>
    <row r="1640" spans="1:41">
      <c r="A1640" s="1" t="s">
        <v>1676</v>
      </c>
      <c r="B1640" t="s">
        <v>2021</v>
      </c>
      <c r="C1640" t="s">
        <v>1998</v>
      </c>
      <c r="D1640" t="s">
        <v>2060</v>
      </c>
      <c r="E1640" t="s">
        <v>2112</v>
      </c>
      <c r="F1640" t="s">
        <v>2139</v>
      </c>
      <c r="G1640" t="s">
        <v>2211</v>
      </c>
      <c r="H1640">
        <v>10031</v>
      </c>
      <c r="I1640" t="s">
        <v>2230</v>
      </c>
      <c r="J1640">
        <v>1</v>
      </c>
      <c r="K1640">
        <v>0</v>
      </c>
      <c r="L1640" t="s">
        <v>2610</v>
      </c>
      <c r="M1640" t="s">
        <v>2677</v>
      </c>
      <c r="P1640" t="s">
        <v>3083</v>
      </c>
      <c r="Q1640" t="s">
        <v>3255</v>
      </c>
      <c r="R1640" t="s">
        <v>3258</v>
      </c>
      <c r="S1640" t="s">
        <v>3271</v>
      </c>
      <c r="X1640" t="s">
        <v>3354</v>
      </c>
      <c r="Y1640" t="s">
        <v>2678</v>
      </c>
      <c r="Z1640" t="s">
        <v>3369</v>
      </c>
      <c r="AA1640" t="s">
        <v>3406</v>
      </c>
      <c r="AB1640" t="s">
        <v>3419</v>
      </c>
      <c r="AC1640">
        <f>HYPERLINK("https://lsnyc.legalserver.org/matter/dynamic-profile/view/1862464","18-1862464")</f>
        <v>0</v>
      </c>
      <c r="AD1640" t="s">
        <v>3442</v>
      </c>
      <c r="AE1640" t="s">
        <v>3448</v>
      </c>
      <c r="AF1640" t="s">
        <v>4686</v>
      </c>
      <c r="AG1640" t="s">
        <v>3369</v>
      </c>
      <c r="AH1640" t="s">
        <v>4904</v>
      </c>
      <c r="AK1640" t="s">
        <v>4911</v>
      </c>
      <c r="AL1640" t="s">
        <v>2139</v>
      </c>
      <c r="AN1640" t="s">
        <v>3419</v>
      </c>
    </row>
    <row r="1641" spans="1:41">
      <c r="A1641" s="1" t="s">
        <v>1677</v>
      </c>
      <c r="B1641" t="s">
        <v>1998</v>
      </c>
      <c r="C1641" t="s">
        <v>2000</v>
      </c>
      <c r="D1641" t="s">
        <v>2080</v>
      </c>
      <c r="E1641" t="s">
        <v>2111</v>
      </c>
      <c r="F1641" t="s">
        <v>2140</v>
      </c>
      <c r="G1641" t="s">
        <v>2212</v>
      </c>
      <c r="H1641">
        <v>11104</v>
      </c>
      <c r="I1641" t="s">
        <v>2245</v>
      </c>
      <c r="J1641">
        <v>2</v>
      </c>
      <c r="K1641">
        <v>0</v>
      </c>
      <c r="L1641" t="s">
        <v>2286</v>
      </c>
      <c r="M1641" t="s">
        <v>2677</v>
      </c>
      <c r="P1641" t="s">
        <v>2782</v>
      </c>
      <c r="Q1641" t="s">
        <v>2113</v>
      </c>
      <c r="R1641" t="s">
        <v>3258</v>
      </c>
      <c r="S1641" t="s">
        <v>3279</v>
      </c>
      <c r="T1641" t="s">
        <v>3301</v>
      </c>
      <c r="U1641" t="s">
        <v>2803</v>
      </c>
      <c r="V1641" t="s">
        <v>3352</v>
      </c>
      <c r="X1641" t="s">
        <v>3354</v>
      </c>
      <c r="Y1641" t="s">
        <v>2678</v>
      </c>
      <c r="Z1641" t="s">
        <v>3377</v>
      </c>
      <c r="AA1641" t="s">
        <v>3406</v>
      </c>
      <c r="AB1641" t="s">
        <v>3427</v>
      </c>
      <c r="AC1641">
        <f>HYPERLINK("https://lsnyc.legalserver.org/matter/dynamic-profile/view/1862287","18-1862287")</f>
        <v>0</v>
      </c>
      <c r="AD1641" t="s">
        <v>3443</v>
      </c>
      <c r="AE1641" t="s">
        <v>3450</v>
      </c>
      <c r="AF1641" t="s">
        <v>3839</v>
      </c>
      <c r="AG1641" t="s">
        <v>3377</v>
      </c>
      <c r="AH1641" t="s">
        <v>4904</v>
      </c>
      <c r="AL1641" t="s">
        <v>2140</v>
      </c>
      <c r="AM1641" t="s">
        <v>3301</v>
      </c>
      <c r="AN1641" t="s">
        <v>3427</v>
      </c>
      <c r="AO1641" t="s">
        <v>3352</v>
      </c>
    </row>
    <row r="1642" spans="1:41">
      <c r="A1642" s="1" t="s">
        <v>1678</v>
      </c>
      <c r="B1642" t="s">
        <v>2000</v>
      </c>
      <c r="C1642" t="s">
        <v>1998</v>
      </c>
      <c r="D1642" t="s">
        <v>2044</v>
      </c>
      <c r="E1642" t="s">
        <v>2112</v>
      </c>
      <c r="F1642" t="s">
        <v>2135</v>
      </c>
      <c r="G1642" t="s">
        <v>2213</v>
      </c>
      <c r="H1642">
        <v>10472</v>
      </c>
      <c r="I1642" t="s">
        <v>2229</v>
      </c>
      <c r="J1642">
        <v>3</v>
      </c>
      <c r="K1642">
        <v>1</v>
      </c>
      <c r="L1642" t="s">
        <v>2306</v>
      </c>
      <c r="M1642" t="s">
        <v>2677</v>
      </c>
      <c r="P1642" t="s">
        <v>2749</v>
      </c>
      <c r="Q1642" t="s">
        <v>2113</v>
      </c>
      <c r="R1642" t="s">
        <v>3259</v>
      </c>
      <c r="S1642" t="s">
        <v>3268</v>
      </c>
      <c r="T1642" t="s">
        <v>3294</v>
      </c>
      <c r="U1642" t="s">
        <v>3055</v>
      </c>
      <c r="V1642" t="s">
        <v>3353</v>
      </c>
      <c r="X1642" t="s">
        <v>3354</v>
      </c>
      <c r="Y1642" t="s">
        <v>2678</v>
      </c>
      <c r="Z1642" t="s">
        <v>3360</v>
      </c>
      <c r="AA1642" t="s">
        <v>3406</v>
      </c>
      <c r="AB1642" t="s">
        <v>3416</v>
      </c>
      <c r="AC1642">
        <f>HYPERLINK("https://lsnyc.legalserver.org/matter/dynamic-profile/view/1862393","18-1862393")</f>
        <v>0</v>
      </c>
      <c r="AD1642" t="s">
        <v>3444</v>
      </c>
      <c r="AE1642" t="s">
        <v>3468</v>
      </c>
      <c r="AF1642" t="s">
        <v>4687</v>
      </c>
      <c r="AG1642" t="s">
        <v>3360</v>
      </c>
      <c r="AH1642" t="s">
        <v>4904</v>
      </c>
      <c r="AL1642" t="s">
        <v>2135</v>
      </c>
      <c r="AM1642" t="s">
        <v>3294</v>
      </c>
      <c r="AN1642" t="s">
        <v>3416</v>
      </c>
      <c r="AO1642" t="s">
        <v>3353</v>
      </c>
    </row>
    <row r="1643" spans="1:41">
      <c r="A1643" s="1" t="s">
        <v>1679</v>
      </c>
      <c r="B1643" t="s">
        <v>1998</v>
      </c>
      <c r="C1643" t="s">
        <v>1998</v>
      </c>
      <c r="D1643" t="s">
        <v>2092</v>
      </c>
      <c r="E1643" t="s">
        <v>2112</v>
      </c>
      <c r="F1643" t="s">
        <v>2116</v>
      </c>
      <c r="G1643" t="s">
        <v>2214</v>
      </c>
      <c r="H1643">
        <v>11106</v>
      </c>
      <c r="I1643" t="s">
        <v>2229</v>
      </c>
      <c r="J1643">
        <v>5</v>
      </c>
      <c r="K1643">
        <v>3</v>
      </c>
      <c r="L1643" t="s">
        <v>2307</v>
      </c>
      <c r="M1643" t="s">
        <v>2677</v>
      </c>
      <c r="P1643" t="s">
        <v>3084</v>
      </c>
      <c r="Q1643" t="s">
        <v>2113</v>
      </c>
      <c r="R1643" t="s">
        <v>3259</v>
      </c>
      <c r="S1643" t="s">
        <v>3264</v>
      </c>
      <c r="X1643" t="s">
        <v>3354</v>
      </c>
      <c r="Y1643" t="s">
        <v>2677</v>
      </c>
      <c r="Z1643" t="s">
        <v>3357</v>
      </c>
      <c r="AA1643" t="s">
        <v>3406</v>
      </c>
      <c r="AB1643" t="s">
        <v>3412</v>
      </c>
      <c r="AC1643">
        <f>HYPERLINK("https://lsnyc.legalserver.org/matter/dynamic-profile/view/1862395","18-1862395")</f>
        <v>0</v>
      </c>
      <c r="AD1643" t="s">
        <v>3445</v>
      </c>
      <c r="AE1643" t="s">
        <v>3455</v>
      </c>
      <c r="AF1643" t="s">
        <v>4688</v>
      </c>
      <c r="AG1643" t="s">
        <v>3357</v>
      </c>
      <c r="AH1643" t="s">
        <v>4904</v>
      </c>
      <c r="AK1643" t="s">
        <v>4911</v>
      </c>
      <c r="AL1643" t="s">
        <v>2116</v>
      </c>
      <c r="AN1643" t="s">
        <v>3412</v>
      </c>
    </row>
    <row r="1644" spans="1:41">
      <c r="A1644" s="1" t="s">
        <v>1680</v>
      </c>
      <c r="B1644" t="s">
        <v>2000</v>
      </c>
      <c r="C1644" t="s">
        <v>1998</v>
      </c>
      <c r="D1644" t="s">
        <v>2056</v>
      </c>
      <c r="E1644" t="s">
        <v>2112</v>
      </c>
      <c r="F1644" t="s">
        <v>2116</v>
      </c>
      <c r="G1644" t="s">
        <v>2213</v>
      </c>
      <c r="H1644">
        <v>10453</v>
      </c>
      <c r="I1644" t="s">
        <v>2229</v>
      </c>
      <c r="J1644">
        <v>3</v>
      </c>
      <c r="K1644">
        <v>2</v>
      </c>
      <c r="L1644" t="s">
        <v>2285</v>
      </c>
      <c r="M1644" t="s">
        <v>2677</v>
      </c>
      <c r="P1644" t="s">
        <v>3084</v>
      </c>
      <c r="Q1644" t="s">
        <v>2113</v>
      </c>
      <c r="R1644" t="s">
        <v>3259</v>
      </c>
      <c r="S1644" t="s">
        <v>3264</v>
      </c>
      <c r="T1644" t="s">
        <v>3294</v>
      </c>
      <c r="U1644" t="s">
        <v>3039</v>
      </c>
      <c r="X1644" t="s">
        <v>3354</v>
      </c>
      <c r="Y1644" t="s">
        <v>2677</v>
      </c>
      <c r="Z1644" t="s">
        <v>3357</v>
      </c>
      <c r="AA1644" t="s">
        <v>3406</v>
      </c>
      <c r="AB1644" t="s">
        <v>3412</v>
      </c>
      <c r="AC1644">
        <f>HYPERLINK("https://lsnyc.legalserver.org/matter/dynamic-profile/view/1862399","18-1862399")</f>
        <v>0</v>
      </c>
      <c r="AD1644" t="s">
        <v>3445</v>
      </c>
      <c r="AE1644" t="s">
        <v>3455</v>
      </c>
      <c r="AF1644" t="s">
        <v>4689</v>
      </c>
      <c r="AG1644" t="s">
        <v>3357</v>
      </c>
      <c r="AH1644" t="s">
        <v>4904</v>
      </c>
      <c r="AK1644" t="s">
        <v>4911</v>
      </c>
      <c r="AL1644" t="s">
        <v>2116</v>
      </c>
      <c r="AM1644" t="s">
        <v>3294</v>
      </c>
      <c r="AN1644" t="s">
        <v>3412</v>
      </c>
    </row>
    <row r="1645" spans="1:41">
      <c r="A1645" s="1" t="s">
        <v>1681</v>
      </c>
      <c r="B1645" t="s">
        <v>2000</v>
      </c>
      <c r="C1645" t="s">
        <v>2002</v>
      </c>
      <c r="D1645" t="s">
        <v>2052</v>
      </c>
      <c r="E1645" t="s">
        <v>2112</v>
      </c>
      <c r="F1645" t="s">
        <v>2117</v>
      </c>
      <c r="G1645" t="s">
        <v>2216</v>
      </c>
      <c r="H1645">
        <v>10301</v>
      </c>
      <c r="I1645" t="s">
        <v>2229</v>
      </c>
      <c r="J1645">
        <v>3</v>
      </c>
      <c r="K1645">
        <v>2</v>
      </c>
      <c r="L1645" t="s">
        <v>2260</v>
      </c>
      <c r="M1645" t="s">
        <v>2677</v>
      </c>
      <c r="P1645" t="s">
        <v>3085</v>
      </c>
      <c r="Q1645" t="s">
        <v>3255</v>
      </c>
      <c r="R1645" t="s">
        <v>3259</v>
      </c>
      <c r="S1645" t="s">
        <v>3267</v>
      </c>
      <c r="X1645" t="s">
        <v>3354</v>
      </c>
      <c r="Y1645" t="s">
        <v>2678</v>
      </c>
      <c r="Z1645" t="s">
        <v>3359</v>
      </c>
      <c r="AA1645" t="s">
        <v>3406</v>
      </c>
      <c r="AB1645" t="s">
        <v>3415</v>
      </c>
      <c r="AC1645">
        <f>HYPERLINK("https://lsnyc.legalserver.org/matter/dynamic-profile/view/1861618","18-1861618")</f>
        <v>0</v>
      </c>
      <c r="AD1645" t="s">
        <v>3447</v>
      </c>
      <c r="AE1645" t="s">
        <v>3459</v>
      </c>
      <c r="AF1645" t="s">
        <v>3526</v>
      </c>
      <c r="AG1645" t="s">
        <v>3359</v>
      </c>
      <c r="AH1645" t="s">
        <v>4906</v>
      </c>
      <c r="AK1645" t="s">
        <v>4911</v>
      </c>
      <c r="AL1645" t="s">
        <v>2117</v>
      </c>
      <c r="AN1645" t="s">
        <v>3415</v>
      </c>
    </row>
    <row r="1646" spans="1:41">
      <c r="A1646" s="1" t="s">
        <v>1682</v>
      </c>
      <c r="B1646" t="s">
        <v>2001</v>
      </c>
      <c r="C1646" t="s">
        <v>2009</v>
      </c>
      <c r="D1646" t="s">
        <v>2058</v>
      </c>
      <c r="E1646" t="s">
        <v>2112</v>
      </c>
      <c r="F1646" t="s">
        <v>2115</v>
      </c>
      <c r="G1646" t="s">
        <v>2217</v>
      </c>
      <c r="H1646">
        <v>11901</v>
      </c>
      <c r="I1646" t="s">
        <v>2229</v>
      </c>
      <c r="J1646">
        <v>2</v>
      </c>
      <c r="K1646">
        <v>1</v>
      </c>
      <c r="L1646" t="s">
        <v>2260</v>
      </c>
      <c r="M1646" t="s">
        <v>2677</v>
      </c>
      <c r="P1646" t="s">
        <v>3085</v>
      </c>
      <c r="Q1646" t="s">
        <v>3255</v>
      </c>
      <c r="R1646" t="s">
        <v>3259</v>
      </c>
      <c r="S1646" t="s">
        <v>3267</v>
      </c>
      <c r="X1646" t="s">
        <v>3354</v>
      </c>
      <c r="Y1646" t="s">
        <v>2678</v>
      </c>
      <c r="Z1646" t="s">
        <v>3359</v>
      </c>
      <c r="AA1646" t="s">
        <v>3406</v>
      </c>
      <c r="AB1646" t="s">
        <v>3415</v>
      </c>
      <c r="AC1646">
        <f>HYPERLINK("https://lsnyc.legalserver.org/matter/dynamic-profile/view/1861640","18-1861640")</f>
        <v>0</v>
      </c>
      <c r="AD1646" t="s">
        <v>3447</v>
      </c>
      <c r="AE1646" t="s">
        <v>3478</v>
      </c>
      <c r="AF1646" t="s">
        <v>4690</v>
      </c>
      <c r="AG1646" t="s">
        <v>3359</v>
      </c>
      <c r="AH1646" t="s">
        <v>4906</v>
      </c>
      <c r="AK1646" t="s">
        <v>4911</v>
      </c>
      <c r="AL1646" t="s">
        <v>2115</v>
      </c>
      <c r="AN1646" t="s">
        <v>3415</v>
      </c>
    </row>
    <row r="1647" spans="1:41">
      <c r="A1647" s="1" t="s">
        <v>1683</v>
      </c>
      <c r="B1647" t="s">
        <v>2009</v>
      </c>
      <c r="C1647" t="s">
        <v>2005</v>
      </c>
      <c r="D1647" t="s">
        <v>2052</v>
      </c>
      <c r="E1647" t="s">
        <v>2111</v>
      </c>
      <c r="F1647" t="s">
        <v>2115</v>
      </c>
      <c r="G1647" t="s">
        <v>2216</v>
      </c>
      <c r="H1647">
        <v>10304</v>
      </c>
      <c r="I1647" t="s">
        <v>2229</v>
      </c>
      <c r="J1647">
        <v>2</v>
      </c>
      <c r="K1647">
        <v>1</v>
      </c>
      <c r="L1647" t="s">
        <v>2260</v>
      </c>
      <c r="M1647" t="s">
        <v>2677</v>
      </c>
      <c r="P1647" t="s">
        <v>3085</v>
      </c>
      <c r="Q1647" t="s">
        <v>3255</v>
      </c>
      <c r="R1647" t="s">
        <v>3259</v>
      </c>
      <c r="S1647" t="s">
        <v>3267</v>
      </c>
      <c r="X1647" t="s">
        <v>3354</v>
      </c>
      <c r="Y1647" t="s">
        <v>2678</v>
      </c>
      <c r="Z1647" t="s">
        <v>3359</v>
      </c>
      <c r="AA1647" t="s">
        <v>3406</v>
      </c>
      <c r="AB1647" t="s">
        <v>3415</v>
      </c>
      <c r="AC1647">
        <f>HYPERLINK("https://lsnyc.legalserver.org/matter/dynamic-profile/view/1861647","18-1861647")</f>
        <v>0</v>
      </c>
      <c r="AD1647" t="s">
        <v>3447</v>
      </c>
      <c r="AE1647" t="s">
        <v>3478</v>
      </c>
      <c r="AF1647" t="s">
        <v>4618</v>
      </c>
      <c r="AG1647" t="s">
        <v>3359</v>
      </c>
      <c r="AH1647" t="s">
        <v>4906</v>
      </c>
      <c r="AK1647" t="s">
        <v>4911</v>
      </c>
      <c r="AL1647" t="s">
        <v>2115</v>
      </c>
      <c r="AN1647" t="s">
        <v>3415</v>
      </c>
    </row>
    <row r="1648" spans="1:41">
      <c r="A1648" s="1" t="s">
        <v>1684</v>
      </c>
      <c r="B1648" t="s">
        <v>1998</v>
      </c>
      <c r="C1648" t="s">
        <v>1998</v>
      </c>
      <c r="D1648" t="s">
        <v>2084</v>
      </c>
      <c r="E1648" t="s">
        <v>2112</v>
      </c>
      <c r="F1648" t="s">
        <v>2117</v>
      </c>
      <c r="G1648" t="s">
        <v>2212</v>
      </c>
      <c r="H1648">
        <v>11433</v>
      </c>
      <c r="I1648" t="s">
        <v>2229</v>
      </c>
      <c r="J1648">
        <v>2</v>
      </c>
      <c r="K1648">
        <v>1</v>
      </c>
      <c r="L1648" t="s">
        <v>2260</v>
      </c>
      <c r="M1648" t="s">
        <v>2677</v>
      </c>
      <c r="P1648" t="s">
        <v>3085</v>
      </c>
      <c r="Q1648" t="s">
        <v>3255</v>
      </c>
      <c r="R1648" t="s">
        <v>3259</v>
      </c>
      <c r="S1648" t="s">
        <v>3276</v>
      </c>
      <c r="T1648" t="s">
        <v>3294</v>
      </c>
      <c r="U1648" t="s">
        <v>2968</v>
      </c>
      <c r="V1648" t="s">
        <v>3353</v>
      </c>
      <c r="X1648" t="s">
        <v>3354</v>
      </c>
      <c r="Y1648" t="s">
        <v>2678</v>
      </c>
      <c r="Z1648" t="s">
        <v>3373</v>
      </c>
      <c r="AA1648" t="s">
        <v>3406</v>
      </c>
      <c r="AB1648" t="s">
        <v>3424</v>
      </c>
      <c r="AC1648">
        <f>HYPERLINK("https://lsnyc.legalserver.org/matter/dynamic-profile/view/1862050","18-1862050")</f>
        <v>0</v>
      </c>
      <c r="AD1648" t="s">
        <v>3443</v>
      </c>
      <c r="AE1648" t="s">
        <v>3449</v>
      </c>
      <c r="AF1648" t="s">
        <v>4691</v>
      </c>
      <c r="AG1648" t="s">
        <v>3373</v>
      </c>
      <c r="AH1648" t="s">
        <v>4904</v>
      </c>
      <c r="AK1648" t="s">
        <v>4911</v>
      </c>
      <c r="AL1648" t="s">
        <v>2117</v>
      </c>
      <c r="AM1648" t="s">
        <v>3294</v>
      </c>
      <c r="AN1648" t="s">
        <v>3424</v>
      </c>
      <c r="AO1648" t="s">
        <v>3353</v>
      </c>
    </row>
    <row r="1649" spans="1:41">
      <c r="A1649" s="1" t="s">
        <v>1685</v>
      </c>
      <c r="B1649" t="s">
        <v>2016</v>
      </c>
      <c r="C1649" t="s">
        <v>2009</v>
      </c>
      <c r="D1649" t="s">
        <v>2060</v>
      </c>
      <c r="E1649" t="s">
        <v>2112</v>
      </c>
      <c r="F1649" t="s">
        <v>2117</v>
      </c>
      <c r="G1649" t="s">
        <v>2216</v>
      </c>
      <c r="H1649">
        <v>10304</v>
      </c>
      <c r="I1649" t="s">
        <v>2229</v>
      </c>
      <c r="J1649">
        <v>2</v>
      </c>
      <c r="K1649">
        <v>1</v>
      </c>
      <c r="L1649" t="s">
        <v>2260</v>
      </c>
      <c r="M1649" t="s">
        <v>2677</v>
      </c>
      <c r="P1649" t="s">
        <v>3086</v>
      </c>
      <c r="Q1649" t="s">
        <v>2113</v>
      </c>
      <c r="R1649" t="s">
        <v>3259</v>
      </c>
      <c r="S1649" t="s">
        <v>3267</v>
      </c>
      <c r="T1649" t="s">
        <v>3294</v>
      </c>
      <c r="U1649" t="s">
        <v>2956</v>
      </c>
      <c r="X1649" t="s">
        <v>3354</v>
      </c>
      <c r="Y1649" t="s">
        <v>2678</v>
      </c>
      <c r="Z1649" t="s">
        <v>3359</v>
      </c>
      <c r="AA1649" t="s">
        <v>3406</v>
      </c>
      <c r="AB1649" t="s">
        <v>3415</v>
      </c>
      <c r="AC1649">
        <f>HYPERLINK("https://lsnyc.legalserver.org/matter/dynamic-profile/view/1858565","18-1858565")</f>
        <v>0</v>
      </c>
      <c r="AD1649" t="s">
        <v>3447</v>
      </c>
      <c r="AE1649" t="s">
        <v>3459</v>
      </c>
      <c r="AF1649" t="s">
        <v>4692</v>
      </c>
      <c r="AG1649" t="s">
        <v>3359</v>
      </c>
      <c r="AH1649" t="s">
        <v>4906</v>
      </c>
      <c r="AK1649" t="s">
        <v>4911</v>
      </c>
      <c r="AL1649" t="s">
        <v>2117</v>
      </c>
      <c r="AM1649" t="s">
        <v>3294</v>
      </c>
      <c r="AN1649" t="s">
        <v>3415</v>
      </c>
    </row>
    <row r="1650" spans="1:41">
      <c r="A1650" s="1" t="s">
        <v>1686</v>
      </c>
      <c r="B1650" t="s">
        <v>2000</v>
      </c>
      <c r="C1650" t="s">
        <v>1998</v>
      </c>
      <c r="D1650" t="s">
        <v>2068</v>
      </c>
      <c r="E1650" t="s">
        <v>2112</v>
      </c>
      <c r="F1650" t="s">
        <v>2139</v>
      </c>
      <c r="G1650" t="s">
        <v>2214</v>
      </c>
      <c r="H1650">
        <v>11234</v>
      </c>
      <c r="I1650" t="s">
        <v>2230</v>
      </c>
      <c r="J1650">
        <v>4</v>
      </c>
      <c r="K1650">
        <v>3</v>
      </c>
      <c r="L1650" t="s">
        <v>2611</v>
      </c>
      <c r="M1650" t="s">
        <v>2677</v>
      </c>
      <c r="P1650" t="s">
        <v>3087</v>
      </c>
      <c r="Q1650" t="s">
        <v>2113</v>
      </c>
      <c r="R1650" t="s">
        <v>3259</v>
      </c>
      <c r="S1650" t="s">
        <v>3270</v>
      </c>
      <c r="T1650" t="s">
        <v>3294</v>
      </c>
      <c r="U1650" t="s">
        <v>2955</v>
      </c>
      <c r="X1650" t="s">
        <v>3354</v>
      </c>
      <c r="Y1650" t="s">
        <v>2678</v>
      </c>
      <c r="Z1650" t="s">
        <v>3359</v>
      </c>
      <c r="AA1650" t="s">
        <v>3406</v>
      </c>
      <c r="AB1650" t="s">
        <v>3418</v>
      </c>
      <c r="AC1650">
        <f>HYPERLINK("https://lsnyc.legalserver.org/matter/dynamic-profile/view/1861608","18-1861608")</f>
        <v>0</v>
      </c>
      <c r="AD1650" t="s">
        <v>3446</v>
      </c>
      <c r="AE1650" t="s">
        <v>3456</v>
      </c>
      <c r="AF1650" t="s">
        <v>4693</v>
      </c>
      <c r="AG1650" t="s">
        <v>3359</v>
      </c>
      <c r="AH1650" t="s">
        <v>4906</v>
      </c>
      <c r="AK1650" t="s">
        <v>4911</v>
      </c>
      <c r="AL1650" t="s">
        <v>2139</v>
      </c>
      <c r="AM1650" t="s">
        <v>3294</v>
      </c>
      <c r="AN1650" t="s">
        <v>3418</v>
      </c>
    </row>
    <row r="1651" spans="1:41">
      <c r="A1651" s="1" t="s">
        <v>1687</v>
      </c>
      <c r="B1651" t="s">
        <v>2004</v>
      </c>
      <c r="C1651" t="s">
        <v>1998</v>
      </c>
      <c r="D1651" t="s">
        <v>2080</v>
      </c>
      <c r="E1651" t="s">
        <v>2111</v>
      </c>
      <c r="F1651" t="s">
        <v>2118</v>
      </c>
      <c r="G1651" t="s">
        <v>2212</v>
      </c>
      <c r="H1651">
        <v>11105</v>
      </c>
      <c r="I1651" t="s">
        <v>2231</v>
      </c>
      <c r="J1651">
        <v>1</v>
      </c>
      <c r="K1651">
        <v>0</v>
      </c>
      <c r="L1651" t="s">
        <v>2260</v>
      </c>
      <c r="M1651" t="s">
        <v>2677</v>
      </c>
      <c r="P1651" t="s">
        <v>3087</v>
      </c>
      <c r="Q1651" t="s">
        <v>2113</v>
      </c>
      <c r="R1651" t="s">
        <v>3259</v>
      </c>
      <c r="S1651" t="s">
        <v>3267</v>
      </c>
      <c r="X1651" t="s">
        <v>3354</v>
      </c>
      <c r="Y1651" t="s">
        <v>2678</v>
      </c>
      <c r="Z1651" t="s">
        <v>3359</v>
      </c>
      <c r="AA1651" t="s">
        <v>3406</v>
      </c>
      <c r="AB1651" t="s">
        <v>3415</v>
      </c>
      <c r="AC1651">
        <f>HYPERLINK("https://lsnyc.legalserver.org/matter/dynamic-profile/view/1861709","18-1861709")</f>
        <v>0</v>
      </c>
      <c r="AD1651" t="s">
        <v>3446</v>
      </c>
      <c r="AE1651" t="s">
        <v>3481</v>
      </c>
      <c r="AF1651" t="s">
        <v>4694</v>
      </c>
      <c r="AG1651" t="s">
        <v>3359</v>
      </c>
      <c r="AH1651" t="s">
        <v>4906</v>
      </c>
      <c r="AK1651" t="s">
        <v>4911</v>
      </c>
      <c r="AL1651" t="s">
        <v>2118</v>
      </c>
      <c r="AN1651" t="s">
        <v>3415</v>
      </c>
    </row>
    <row r="1652" spans="1:41">
      <c r="A1652" s="1" t="s">
        <v>1688</v>
      </c>
      <c r="B1652" t="s">
        <v>2000</v>
      </c>
      <c r="C1652" t="s">
        <v>2002</v>
      </c>
      <c r="D1652" t="s">
        <v>2039</v>
      </c>
      <c r="E1652" t="s">
        <v>2112</v>
      </c>
      <c r="F1652" t="s">
        <v>2123</v>
      </c>
      <c r="G1652" t="s">
        <v>2213</v>
      </c>
      <c r="H1652">
        <v>10457</v>
      </c>
      <c r="I1652" t="s">
        <v>2229</v>
      </c>
      <c r="J1652">
        <v>4</v>
      </c>
      <c r="K1652">
        <v>2</v>
      </c>
      <c r="L1652" t="s">
        <v>2612</v>
      </c>
      <c r="M1652" t="s">
        <v>2678</v>
      </c>
      <c r="P1652" t="s">
        <v>3088</v>
      </c>
      <c r="Q1652" t="s">
        <v>2113</v>
      </c>
      <c r="R1652" t="s">
        <v>3258</v>
      </c>
      <c r="S1652" t="s">
        <v>3271</v>
      </c>
      <c r="X1652" t="s">
        <v>3354</v>
      </c>
      <c r="Y1652" t="s">
        <v>2677</v>
      </c>
      <c r="Z1652" t="s">
        <v>3362</v>
      </c>
      <c r="AA1652" t="s">
        <v>3406</v>
      </c>
      <c r="AB1652" t="s">
        <v>3419</v>
      </c>
      <c r="AC1652">
        <f>HYPERLINK("https://lsnyc.legalserver.org/matter/dynamic-profile/view/1861520","18-1861520")</f>
        <v>0</v>
      </c>
      <c r="AD1652" t="s">
        <v>3445</v>
      </c>
      <c r="AE1652" t="s">
        <v>3455</v>
      </c>
      <c r="AF1652" t="s">
        <v>4695</v>
      </c>
      <c r="AG1652" t="s">
        <v>3362</v>
      </c>
      <c r="AH1652" t="s">
        <v>4904</v>
      </c>
      <c r="AJ1652" t="s">
        <v>4910</v>
      </c>
      <c r="AL1652" t="s">
        <v>2123</v>
      </c>
      <c r="AN1652" t="s">
        <v>3419</v>
      </c>
    </row>
    <row r="1653" spans="1:41">
      <c r="A1653" s="1" t="s">
        <v>1689</v>
      </c>
      <c r="B1653" t="s">
        <v>2004</v>
      </c>
      <c r="C1653" t="s">
        <v>2001</v>
      </c>
      <c r="D1653" t="s">
        <v>2059</v>
      </c>
      <c r="E1653" t="s">
        <v>2111</v>
      </c>
      <c r="F1653" t="s">
        <v>2122</v>
      </c>
      <c r="G1653" t="s">
        <v>2214</v>
      </c>
      <c r="H1653">
        <v>11234</v>
      </c>
      <c r="I1653" t="s">
        <v>2230</v>
      </c>
      <c r="J1653">
        <v>1</v>
      </c>
      <c r="K1653">
        <v>0</v>
      </c>
      <c r="L1653" t="s">
        <v>2285</v>
      </c>
      <c r="M1653" t="s">
        <v>2677</v>
      </c>
      <c r="P1653" t="s">
        <v>3088</v>
      </c>
      <c r="Q1653" t="s">
        <v>2113</v>
      </c>
      <c r="R1653" t="s">
        <v>3258</v>
      </c>
      <c r="S1653" t="s">
        <v>3273</v>
      </c>
      <c r="T1653" t="s">
        <v>3294</v>
      </c>
      <c r="U1653" t="s">
        <v>2875</v>
      </c>
      <c r="X1653" t="s">
        <v>3354</v>
      </c>
      <c r="Y1653" t="s">
        <v>2678</v>
      </c>
      <c r="Z1653" t="s">
        <v>3365</v>
      </c>
      <c r="AA1653" t="s">
        <v>3406</v>
      </c>
      <c r="AB1653" t="s">
        <v>3421</v>
      </c>
      <c r="AC1653">
        <f>HYPERLINK("https://lsnyc.legalserver.org/matter/dynamic-profile/view/1861530","18-1861530")</f>
        <v>0</v>
      </c>
      <c r="AD1653" t="s">
        <v>3446</v>
      </c>
      <c r="AE1653" t="s">
        <v>3473</v>
      </c>
      <c r="AF1653" t="s">
        <v>4696</v>
      </c>
      <c r="AG1653" t="s">
        <v>3365</v>
      </c>
      <c r="AH1653" t="s">
        <v>4904</v>
      </c>
      <c r="AK1653" t="s">
        <v>4911</v>
      </c>
      <c r="AL1653" t="s">
        <v>2122</v>
      </c>
      <c r="AM1653" t="s">
        <v>3294</v>
      </c>
      <c r="AN1653" t="s">
        <v>3421</v>
      </c>
    </row>
    <row r="1654" spans="1:41">
      <c r="A1654" s="1" t="s">
        <v>1690</v>
      </c>
      <c r="B1654" t="s">
        <v>2002</v>
      </c>
      <c r="C1654" t="s">
        <v>1998</v>
      </c>
      <c r="D1654" t="s">
        <v>2093</v>
      </c>
      <c r="E1654" t="s">
        <v>2111</v>
      </c>
      <c r="F1654" t="s">
        <v>2120</v>
      </c>
      <c r="G1654" t="s">
        <v>2214</v>
      </c>
      <c r="H1654">
        <v>11236</v>
      </c>
      <c r="I1654" t="s">
        <v>2230</v>
      </c>
      <c r="J1654">
        <v>2</v>
      </c>
      <c r="K1654">
        <v>0</v>
      </c>
      <c r="L1654" t="s">
        <v>2613</v>
      </c>
      <c r="M1654" t="s">
        <v>2677</v>
      </c>
      <c r="P1654" t="s">
        <v>3089</v>
      </c>
      <c r="Q1654" t="s">
        <v>3255</v>
      </c>
      <c r="R1654" t="s">
        <v>3258</v>
      </c>
      <c r="S1654" t="s">
        <v>3271</v>
      </c>
      <c r="X1654" t="s">
        <v>3354</v>
      </c>
      <c r="Y1654" t="s">
        <v>2678</v>
      </c>
      <c r="Z1654" t="s">
        <v>3362</v>
      </c>
      <c r="AA1654" t="s">
        <v>3406</v>
      </c>
      <c r="AB1654" t="s">
        <v>3419</v>
      </c>
      <c r="AC1654">
        <f>HYPERLINK("https://lsnyc.legalserver.org/matter/dynamic-profile/view/1861376","18-1861376")</f>
        <v>0</v>
      </c>
      <c r="AD1654" t="s">
        <v>3446</v>
      </c>
      <c r="AE1654" t="s">
        <v>3473</v>
      </c>
      <c r="AF1654" t="s">
        <v>4697</v>
      </c>
      <c r="AG1654" t="s">
        <v>3362</v>
      </c>
      <c r="AH1654" t="s">
        <v>4904</v>
      </c>
      <c r="AK1654" t="s">
        <v>4911</v>
      </c>
      <c r="AL1654" t="s">
        <v>2120</v>
      </c>
      <c r="AN1654" t="s">
        <v>3419</v>
      </c>
    </row>
    <row r="1655" spans="1:41">
      <c r="A1655" s="1" t="s">
        <v>1691</v>
      </c>
      <c r="B1655" t="s">
        <v>2002</v>
      </c>
      <c r="C1655" t="s">
        <v>1998</v>
      </c>
      <c r="D1655" t="s">
        <v>2093</v>
      </c>
      <c r="E1655" t="s">
        <v>2111</v>
      </c>
      <c r="F1655" t="s">
        <v>2120</v>
      </c>
      <c r="G1655" t="s">
        <v>2214</v>
      </c>
      <c r="H1655">
        <v>11236</v>
      </c>
      <c r="I1655" t="s">
        <v>2230</v>
      </c>
      <c r="J1655">
        <v>2</v>
      </c>
      <c r="K1655">
        <v>0</v>
      </c>
      <c r="L1655" t="s">
        <v>2613</v>
      </c>
      <c r="M1655" t="s">
        <v>2677</v>
      </c>
      <c r="P1655" t="s">
        <v>3089</v>
      </c>
      <c r="Q1655" t="s">
        <v>3255</v>
      </c>
      <c r="R1655" t="s">
        <v>3258</v>
      </c>
      <c r="S1655" t="s">
        <v>3286</v>
      </c>
      <c r="X1655" t="s">
        <v>3354</v>
      </c>
      <c r="Y1655" t="s">
        <v>2678</v>
      </c>
      <c r="Z1655" t="s">
        <v>3388</v>
      </c>
      <c r="AA1655" t="s">
        <v>3406</v>
      </c>
      <c r="AB1655" t="s">
        <v>3434</v>
      </c>
      <c r="AC1655">
        <f>HYPERLINK("https://lsnyc.legalserver.org/matter/dynamic-profile/view/1861380","18-1861380")</f>
        <v>0</v>
      </c>
      <c r="AD1655" t="s">
        <v>3446</v>
      </c>
      <c r="AE1655" t="s">
        <v>3473</v>
      </c>
      <c r="AF1655" t="s">
        <v>4697</v>
      </c>
      <c r="AG1655" t="s">
        <v>3388</v>
      </c>
      <c r="AH1655" t="s">
        <v>4904</v>
      </c>
      <c r="AK1655" t="s">
        <v>4911</v>
      </c>
      <c r="AL1655" t="s">
        <v>2120</v>
      </c>
      <c r="AN1655" t="s">
        <v>3434</v>
      </c>
    </row>
    <row r="1656" spans="1:41">
      <c r="A1656" s="1" t="s">
        <v>1692</v>
      </c>
      <c r="B1656" t="s">
        <v>2001</v>
      </c>
      <c r="C1656" t="s">
        <v>2017</v>
      </c>
      <c r="D1656" t="s">
        <v>2080</v>
      </c>
      <c r="E1656" t="s">
        <v>2112</v>
      </c>
      <c r="F1656" t="s">
        <v>2114</v>
      </c>
      <c r="G1656" t="s">
        <v>2211</v>
      </c>
      <c r="H1656">
        <v>10031</v>
      </c>
      <c r="I1656" t="s">
        <v>2230</v>
      </c>
      <c r="J1656">
        <v>2</v>
      </c>
      <c r="K1656">
        <v>1</v>
      </c>
      <c r="L1656" t="s">
        <v>2260</v>
      </c>
      <c r="M1656" t="s">
        <v>2677</v>
      </c>
      <c r="P1656" t="s">
        <v>2801</v>
      </c>
      <c r="Q1656" t="s">
        <v>3255</v>
      </c>
      <c r="R1656" t="s">
        <v>3259</v>
      </c>
      <c r="S1656" t="s">
        <v>3267</v>
      </c>
      <c r="X1656" t="s">
        <v>3354</v>
      </c>
      <c r="Y1656" t="s">
        <v>2678</v>
      </c>
      <c r="Z1656" t="s">
        <v>3359</v>
      </c>
      <c r="AA1656" t="s">
        <v>3406</v>
      </c>
      <c r="AB1656" t="s">
        <v>3415</v>
      </c>
      <c r="AC1656">
        <f>HYPERLINK("https://lsnyc.legalserver.org/matter/dynamic-profile/view/1861399","18-1861399")</f>
        <v>0</v>
      </c>
      <c r="AD1656" t="s">
        <v>3442</v>
      </c>
      <c r="AE1656" t="s">
        <v>3460</v>
      </c>
      <c r="AF1656" t="s">
        <v>4558</v>
      </c>
      <c r="AG1656" t="s">
        <v>3359</v>
      </c>
      <c r="AH1656" t="s">
        <v>4906</v>
      </c>
      <c r="AL1656" t="s">
        <v>2114</v>
      </c>
      <c r="AN1656" t="s">
        <v>3415</v>
      </c>
    </row>
    <row r="1657" spans="1:41">
      <c r="A1657" s="1" t="s">
        <v>1693</v>
      </c>
      <c r="B1657" t="s">
        <v>2001</v>
      </c>
      <c r="C1657" t="s">
        <v>1998</v>
      </c>
      <c r="D1657" t="s">
        <v>2054</v>
      </c>
      <c r="E1657" t="s">
        <v>2112</v>
      </c>
      <c r="F1657" t="s">
        <v>2114</v>
      </c>
      <c r="G1657" t="s">
        <v>2211</v>
      </c>
      <c r="H1657">
        <v>10031</v>
      </c>
      <c r="I1657" t="s">
        <v>2229</v>
      </c>
      <c r="J1657">
        <v>2</v>
      </c>
      <c r="K1657">
        <v>1</v>
      </c>
      <c r="L1657" t="s">
        <v>2260</v>
      </c>
      <c r="M1657" t="s">
        <v>2677</v>
      </c>
      <c r="P1657" t="s">
        <v>2801</v>
      </c>
      <c r="Q1657" t="s">
        <v>2113</v>
      </c>
      <c r="R1657" t="s">
        <v>3259</v>
      </c>
      <c r="S1657" t="s">
        <v>3267</v>
      </c>
      <c r="X1657" t="s">
        <v>3354</v>
      </c>
      <c r="Y1657" t="s">
        <v>2678</v>
      </c>
      <c r="Z1657" t="s">
        <v>3359</v>
      </c>
      <c r="AA1657" t="s">
        <v>3406</v>
      </c>
      <c r="AB1657" t="s">
        <v>3415</v>
      </c>
      <c r="AC1657">
        <f>HYPERLINK("https://lsnyc.legalserver.org/matter/dynamic-profile/view/1861407","18-1861407")</f>
        <v>0</v>
      </c>
      <c r="AD1657" t="s">
        <v>3442</v>
      </c>
      <c r="AE1657" t="s">
        <v>3460</v>
      </c>
      <c r="AF1657" t="s">
        <v>3863</v>
      </c>
      <c r="AG1657" t="s">
        <v>3359</v>
      </c>
      <c r="AH1657" t="s">
        <v>4906</v>
      </c>
      <c r="AL1657" t="s">
        <v>2114</v>
      </c>
      <c r="AN1657" t="s">
        <v>3415</v>
      </c>
    </row>
    <row r="1658" spans="1:41">
      <c r="A1658" s="1" t="s">
        <v>1694</v>
      </c>
      <c r="B1658" t="s">
        <v>2002</v>
      </c>
      <c r="C1658" t="s">
        <v>2009</v>
      </c>
      <c r="D1658" t="s">
        <v>2092</v>
      </c>
      <c r="E1658" t="s">
        <v>2112</v>
      </c>
      <c r="F1658" t="s">
        <v>2121</v>
      </c>
      <c r="G1658" t="s">
        <v>2212</v>
      </c>
      <c r="H1658">
        <v>11361</v>
      </c>
      <c r="I1658" t="s">
        <v>2229</v>
      </c>
      <c r="J1658">
        <v>2</v>
      </c>
      <c r="K1658">
        <v>1</v>
      </c>
      <c r="L1658" t="s">
        <v>2266</v>
      </c>
      <c r="M1658" t="s">
        <v>2677</v>
      </c>
      <c r="P1658" t="s">
        <v>3089</v>
      </c>
      <c r="Q1658" t="s">
        <v>2113</v>
      </c>
      <c r="R1658" t="s">
        <v>3259</v>
      </c>
      <c r="S1658" t="s">
        <v>3287</v>
      </c>
      <c r="X1658" t="s">
        <v>3354</v>
      </c>
      <c r="Y1658" t="s">
        <v>2677</v>
      </c>
      <c r="Z1658" t="s">
        <v>3378</v>
      </c>
      <c r="AA1658" t="s">
        <v>3406</v>
      </c>
      <c r="AB1658" t="s">
        <v>3435</v>
      </c>
      <c r="AC1658">
        <f>HYPERLINK("https://lsnyc.legalserver.org/matter/dynamic-profile/view/1861462","18-1861462")</f>
        <v>0</v>
      </c>
      <c r="AD1658" t="s">
        <v>3445</v>
      </c>
      <c r="AE1658" t="s">
        <v>3455</v>
      </c>
      <c r="AF1658" t="s">
        <v>4601</v>
      </c>
      <c r="AG1658" t="s">
        <v>3378</v>
      </c>
      <c r="AH1658" t="s">
        <v>4904</v>
      </c>
      <c r="AK1658" t="s">
        <v>4911</v>
      </c>
      <c r="AL1658" t="s">
        <v>2121</v>
      </c>
      <c r="AN1658" t="s">
        <v>3435</v>
      </c>
    </row>
    <row r="1659" spans="1:41">
      <c r="A1659" s="1" t="s">
        <v>1695</v>
      </c>
      <c r="B1659" t="s">
        <v>2001</v>
      </c>
      <c r="C1659" t="s">
        <v>2001</v>
      </c>
      <c r="D1659" t="s">
        <v>2086</v>
      </c>
      <c r="E1659" t="s">
        <v>2112</v>
      </c>
      <c r="F1659" t="s">
        <v>2135</v>
      </c>
      <c r="G1659" t="s">
        <v>2214</v>
      </c>
      <c r="H1659">
        <v>11232</v>
      </c>
      <c r="I1659" t="s">
        <v>2229</v>
      </c>
      <c r="J1659">
        <v>1</v>
      </c>
      <c r="K1659">
        <v>0</v>
      </c>
      <c r="L1659" t="s">
        <v>2285</v>
      </c>
      <c r="M1659" t="s">
        <v>2677</v>
      </c>
      <c r="P1659" t="s">
        <v>3089</v>
      </c>
      <c r="Q1659" t="s">
        <v>2113</v>
      </c>
      <c r="R1659" t="s">
        <v>3258</v>
      </c>
      <c r="S1659" t="s">
        <v>3265</v>
      </c>
      <c r="X1659" t="s">
        <v>3354</v>
      </c>
      <c r="Y1659" t="s">
        <v>2677</v>
      </c>
      <c r="Z1659" t="s">
        <v>3385</v>
      </c>
      <c r="AA1659" t="s">
        <v>3406</v>
      </c>
      <c r="AB1659" t="s">
        <v>3413</v>
      </c>
      <c r="AC1659">
        <f>HYPERLINK("https://lsnyc.legalserver.org/matter/dynamic-profile/view/1863372","18-1863372")</f>
        <v>0</v>
      </c>
      <c r="AD1659" t="s">
        <v>3445</v>
      </c>
      <c r="AE1659" t="s">
        <v>3455</v>
      </c>
      <c r="AF1659" t="s">
        <v>3978</v>
      </c>
      <c r="AG1659" t="s">
        <v>3385</v>
      </c>
      <c r="AH1659" t="s">
        <v>4904</v>
      </c>
      <c r="AK1659" t="s">
        <v>4911</v>
      </c>
      <c r="AL1659" t="s">
        <v>2135</v>
      </c>
      <c r="AN1659" t="s">
        <v>3413</v>
      </c>
    </row>
    <row r="1660" spans="1:41">
      <c r="A1660" s="1" t="s">
        <v>1696</v>
      </c>
      <c r="B1660" t="s">
        <v>2000</v>
      </c>
      <c r="C1660" t="s">
        <v>1998</v>
      </c>
      <c r="D1660" t="s">
        <v>2060</v>
      </c>
      <c r="E1660" t="s">
        <v>2112</v>
      </c>
      <c r="F1660" t="s">
        <v>2116</v>
      </c>
      <c r="G1660" t="s">
        <v>2212</v>
      </c>
      <c r="H1660">
        <v>11368</v>
      </c>
      <c r="I1660" t="s">
        <v>2229</v>
      </c>
      <c r="J1660">
        <v>3</v>
      </c>
      <c r="K1660">
        <v>2</v>
      </c>
      <c r="L1660" t="s">
        <v>2555</v>
      </c>
      <c r="M1660" t="s">
        <v>2677</v>
      </c>
      <c r="P1660" t="s">
        <v>3090</v>
      </c>
      <c r="Q1660" t="s">
        <v>2113</v>
      </c>
      <c r="R1660" t="s">
        <v>3259</v>
      </c>
      <c r="S1660" t="s">
        <v>3275</v>
      </c>
      <c r="X1660" t="s">
        <v>3354</v>
      </c>
      <c r="Y1660" t="s">
        <v>2677</v>
      </c>
      <c r="Z1660" t="s">
        <v>3392</v>
      </c>
      <c r="AA1660" t="s">
        <v>3406</v>
      </c>
      <c r="AB1660" t="s">
        <v>3423</v>
      </c>
      <c r="AC1660">
        <f>HYPERLINK("https://lsnyc.legalserver.org/matter/dynamic-profile/view/1861325","18-1861325")</f>
        <v>0</v>
      </c>
      <c r="AD1660" t="s">
        <v>3445</v>
      </c>
      <c r="AE1660" t="s">
        <v>3455</v>
      </c>
      <c r="AF1660" t="s">
        <v>4665</v>
      </c>
      <c r="AG1660" t="s">
        <v>3392</v>
      </c>
      <c r="AH1660" t="s">
        <v>4904</v>
      </c>
      <c r="AK1660" t="s">
        <v>4911</v>
      </c>
      <c r="AL1660" t="s">
        <v>2116</v>
      </c>
      <c r="AN1660" t="s">
        <v>3423</v>
      </c>
    </row>
    <row r="1661" spans="1:41">
      <c r="A1661" s="1" t="s">
        <v>1697</v>
      </c>
      <c r="B1661" t="s">
        <v>2016</v>
      </c>
      <c r="C1661" t="s">
        <v>1998</v>
      </c>
      <c r="D1661" t="s">
        <v>2048</v>
      </c>
      <c r="E1661" t="s">
        <v>2111</v>
      </c>
      <c r="F1661" t="s">
        <v>2123</v>
      </c>
      <c r="G1661" t="s">
        <v>2213</v>
      </c>
      <c r="H1661">
        <v>10458</v>
      </c>
      <c r="I1661" t="s">
        <v>2229</v>
      </c>
      <c r="J1661">
        <v>1</v>
      </c>
      <c r="K1661">
        <v>0</v>
      </c>
      <c r="L1661" t="s">
        <v>2260</v>
      </c>
      <c r="M1661" t="s">
        <v>2677</v>
      </c>
      <c r="P1661" t="s">
        <v>3090</v>
      </c>
      <c r="Q1661" t="s">
        <v>3255</v>
      </c>
      <c r="R1661" t="s">
        <v>3259</v>
      </c>
      <c r="S1661" t="s">
        <v>3264</v>
      </c>
      <c r="V1661" t="s">
        <v>3352</v>
      </c>
      <c r="X1661" t="s">
        <v>3354</v>
      </c>
      <c r="Y1661" t="s">
        <v>2678</v>
      </c>
      <c r="Z1661" t="s">
        <v>3357</v>
      </c>
      <c r="AA1661" t="s">
        <v>3406</v>
      </c>
      <c r="AB1661" t="s">
        <v>3412</v>
      </c>
      <c r="AC1661">
        <f>HYPERLINK("https://lsnyc.legalserver.org/matter/dynamic-profile/view/1861334","18-1861334")</f>
        <v>0</v>
      </c>
      <c r="AD1661" t="s">
        <v>3444</v>
      </c>
      <c r="AE1661" t="s">
        <v>3466</v>
      </c>
      <c r="AF1661" t="s">
        <v>4698</v>
      </c>
      <c r="AG1661" t="s">
        <v>3357</v>
      </c>
      <c r="AH1661" t="s">
        <v>4904</v>
      </c>
      <c r="AL1661" t="s">
        <v>2123</v>
      </c>
      <c r="AN1661" t="s">
        <v>3412</v>
      </c>
      <c r="AO1661" t="s">
        <v>3352</v>
      </c>
    </row>
    <row r="1662" spans="1:41">
      <c r="A1662" s="1" t="s">
        <v>1698</v>
      </c>
      <c r="B1662" t="s">
        <v>1998</v>
      </c>
      <c r="C1662" t="s">
        <v>2001</v>
      </c>
      <c r="D1662" t="s">
        <v>2053</v>
      </c>
      <c r="E1662" t="s">
        <v>2112</v>
      </c>
      <c r="F1662" t="s">
        <v>2117</v>
      </c>
      <c r="G1662" t="s">
        <v>2216</v>
      </c>
      <c r="H1662">
        <v>10301</v>
      </c>
      <c r="I1662" t="s">
        <v>2229</v>
      </c>
      <c r="J1662">
        <v>3</v>
      </c>
      <c r="K1662">
        <v>2</v>
      </c>
      <c r="L1662" t="s">
        <v>2260</v>
      </c>
      <c r="M1662" t="s">
        <v>2677</v>
      </c>
      <c r="P1662" t="s">
        <v>3091</v>
      </c>
      <c r="Q1662" t="s">
        <v>3255</v>
      </c>
      <c r="R1662" t="s">
        <v>3259</v>
      </c>
      <c r="S1662" t="s">
        <v>3267</v>
      </c>
      <c r="T1662" t="s">
        <v>3294</v>
      </c>
      <c r="U1662" t="s">
        <v>3091</v>
      </c>
      <c r="X1662" t="s">
        <v>3354</v>
      </c>
      <c r="Y1662" t="s">
        <v>2678</v>
      </c>
      <c r="Z1662" t="s">
        <v>3359</v>
      </c>
      <c r="AA1662" t="s">
        <v>3406</v>
      </c>
      <c r="AB1662" t="s">
        <v>3415</v>
      </c>
      <c r="AC1662">
        <f>HYPERLINK("https://lsnyc.legalserver.org/matter/dynamic-profile/view/1861614","18-1861614")</f>
        <v>0</v>
      </c>
      <c r="AD1662" t="s">
        <v>3447</v>
      </c>
      <c r="AE1662" t="s">
        <v>3459</v>
      </c>
      <c r="AF1662" t="s">
        <v>3527</v>
      </c>
      <c r="AG1662" t="s">
        <v>3359</v>
      </c>
      <c r="AH1662" t="s">
        <v>4906</v>
      </c>
      <c r="AK1662" t="s">
        <v>4911</v>
      </c>
      <c r="AL1662" t="s">
        <v>2117</v>
      </c>
      <c r="AM1662" t="s">
        <v>3294</v>
      </c>
      <c r="AN1662" t="s">
        <v>3415</v>
      </c>
    </row>
    <row r="1663" spans="1:41">
      <c r="A1663" s="1" t="s">
        <v>1699</v>
      </c>
      <c r="B1663" t="s">
        <v>1998</v>
      </c>
      <c r="C1663" t="s">
        <v>2000</v>
      </c>
      <c r="D1663" t="s">
        <v>2039</v>
      </c>
      <c r="E1663" t="s">
        <v>2112</v>
      </c>
      <c r="F1663" t="s">
        <v>2120</v>
      </c>
      <c r="G1663" t="s">
        <v>2214</v>
      </c>
      <c r="H1663">
        <v>11226</v>
      </c>
      <c r="I1663" t="s">
        <v>2230</v>
      </c>
      <c r="J1663">
        <v>2</v>
      </c>
      <c r="K1663">
        <v>0</v>
      </c>
      <c r="L1663" t="s">
        <v>2614</v>
      </c>
      <c r="M1663" t="s">
        <v>2677</v>
      </c>
      <c r="P1663" t="s">
        <v>3092</v>
      </c>
      <c r="Q1663" t="s">
        <v>3255</v>
      </c>
      <c r="R1663" t="s">
        <v>3258</v>
      </c>
      <c r="S1663" t="s">
        <v>3273</v>
      </c>
      <c r="T1663" t="s">
        <v>3294</v>
      </c>
      <c r="U1663" t="s">
        <v>2760</v>
      </c>
      <c r="X1663" t="s">
        <v>3354</v>
      </c>
      <c r="Y1663" t="s">
        <v>2678</v>
      </c>
      <c r="Z1663" t="s">
        <v>3370</v>
      </c>
      <c r="AA1663" t="s">
        <v>3406</v>
      </c>
      <c r="AB1663" t="s">
        <v>3421</v>
      </c>
      <c r="AC1663">
        <f>HYPERLINK("https://lsnyc.legalserver.org/matter/dynamic-profile/view/1860963","18-1860963")</f>
        <v>0</v>
      </c>
      <c r="AD1663" t="s">
        <v>3446</v>
      </c>
      <c r="AE1663" t="s">
        <v>3473</v>
      </c>
      <c r="AF1663" t="s">
        <v>4683</v>
      </c>
      <c r="AG1663" t="s">
        <v>3370</v>
      </c>
      <c r="AH1663" t="s">
        <v>4904</v>
      </c>
      <c r="AK1663" t="s">
        <v>4911</v>
      </c>
      <c r="AL1663" t="s">
        <v>2120</v>
      </c>
      <c r="AM1663" t="s">
        <v>3294</v>
      </c>
      <c r="AN1663" t="s">
        <v>3421</v>
      </c>
    </row>
    <row r="1664" spans="1:41">
      <c r="A1664" s="1" t="s">
        <v>1700</v>
      </c>
      <c r="B1664" t="s">
        <v>1998</v>
      </c>
      <c r="C1664" t="s">
        <v>2016</v>
      </c>
      <c r="D1664" t="s">
        <v>2038</v>
      </c>
      <c r="E1664" t="s">
        <v>2112</v>
      </c>
      <c r="F1664" t="s">
        <v>2135</v>
      </c>
      <c r="G1664" t="s">
        <v>2213</v>
      </c>
      <c r="H1664">
        <v>10468</v>
      </c>
      <c r="I1664" t="s">
        <v>2229</v>
      </c>
      <c r="J1664">
        <v>1</v>
      </c>
      <c r="K1664">
        <v>0</v>
      </c>
      <c r="L1664" t="s">
        <v>2260</v>
      </c>
      <c r="M1664" t="s">
        <v>2677</v>
      </c>
      <c r="P1664" t="s">
        <v>3093</v>
      </c>
      <c r="Q1664" t="s">
        <v>2113</v>
      </c>
      <c r="R1664" t="s">
        <v>3259</v>
      </c>
      <c r="S1664" t="s">
        <v>3287</v>
      </c>
      <c r="X1664" t="s">
        <v>3354</v>
      </c>
      <c r="Y1664" t="s">
        <v>2677</v>
      </c>
      <c r="Z1664" t="s">
        <v>3378</v>
      </c>
      <c r="AA1664" t="s">
        <v>3406</v>
      </c>
      <c r="AB1664" t="s">
        <v>3435</v>
      </c>
      <c r="AC1664">
        <f>HYPERLINK("https://lsnyc.legalserver.org/matter/dynamic-profile/view/1860861","18-1860861")</f>
        <v>0</v>
      </c>
      <c r="AD1664" t="s">
        <v>3445</v>
      </c>
      <c r="AE1664" t="s">
        <v>3455</v>
      </c>
      <c r="AF1664" t="s">
        <v>4621</v>
      </c>
      <c r="AG1664" t="s">
        <v>3378</v>
      </c>
      <c r="AH1664" t="s">
        <v>4904</v>
      </c>
      <c r="AK1664" t="s">
        <v>4911</v>
      </c>
      <c r="AL1664" t="s">
        <v>2135</v>
      </c>
      <c r="AN1664" t="s">
        <v>3435</v>
      </c>
    </row>
    <row r="1665" spans="1:41">
      <c r="A1665" s="1" t="s">
        <v>1701</v>
      </c>
      <c r="B1665" t="s">
        <v>1998</v>
      </c>
      <c r="C1665" t="s">
        <v>2012</v>
      </c>
      <c r="D1665" t="s">
        <v>2032</v>
      </c>
      <c r="E1665" t="s">
        <v>2111</v>
      </c>
      <c r="F1665" t="s">
        <v>2123</v>
      </c>
      <c r="G1665" t="s">
        <v>2212</v>
      </c>
      <c r="H1665">
        <v>11434</v>
      </c>
      <c r="I1665" t="s">
        <v>2229</v>
      </c>
      <c r="J1665">
        <v>1</v>
      </c>
      <c r="K1665">
        <v>0</v>
      </c>
      <c r="L1665" t="s">
        <v>2615</v>
      </c>
      <c r="M1665" t="s">
        <v>2677</v>
      </c>
      <c r="P1665" t="s">
        <v>3093</v>
      </c>
      <c r="Q1665" t="s">
        <v>2113</v>
      </c>
      <c r="R1665" t="s">
        <v>3261</v>
      </c>
      <c r="S1665" t="s">
        <v>3283</v>
      </c>
      <c r="X1665" t="s">
        <v>3354</v>
      </c>
      <c r="Y1665" t="s">
        <v>2678</v>
      </c>
      <c r="Z1665" t="s">
        <v>3362</v>
      </c>
      <c r="AA1665" t="s">
        <v>3409</v>
      </c>
      <c r="AB1665" t="s">
        <v>3431</v>
      </c>
      <c r="AC1665">
        <f>HYPERLINK("https://lsnyc.legalserver.org/matter/dynamic-profile/view/1860918","18-1860918")</f>
        <v>0</v>
      </c>
      <c r="AD1665" t="s">
        <v>3443</v>
      </c>
      <c r="AE1665" t="s">
        <v>3477</v>
      </c>
      <c r="AF1665" t="s">
        <v>4699</v>
      </c>
      <c r="AG1665" t="s">
        <v>3362</v>
      </c>
      <c r="AH1665" t="s">
        <v>3409</v>
      </c>
      <c r="AK1665" t="s">
        <v>4911</v>
      </c>
      <c r="AL1665" t="s">
        <v>2123</v>
      </c>
      <c r="AN1665" t="s">
        <v>3431</v>
      </c>
    </row>
    <row r="1666" spans="1:41">
      <c r="A1666" s="1" t="s">
        <v>1702</v>
      </c>
      <c r="B1666" t="s">
        <v>2001</v>
      </c>
      <c r="C1666" t="s">
        <v>2001</v>
      </c>
      <c r="D1666" t="s">
        <v>2048</v>
      </c>
      <c r="E1666" t="s">
        <v>2112</v>
      </c>
      <c r="F1666" t="s">
        <v>2117</v>
      </c>
      <c r="G1666" t="s">
        <v>2213</v>
      </c>
      <c r="H1666">
        <v>10451</v>
      </c>
      <c r="I1666" t="s">
        <v>2229</v>
      </c>
      <c r="J1666">
        <v>4</v>
      </c>
      <c r="K1666">
        <v>2</v>
      </c>
      <c r="L1666" t="s">
        <v>2300</v>
      </c>
      <c r="M1666" t="s">
        <v>2677</v>
      </c>
      <c r="P1666" t="s">
        <v>3094</v>
      </c>
      <c r="Q1666" t="s">
        <v>2113</v>
      </c>
      <c r="R1666" t="s">
        <v>3259</v>
      </c>
      <c r="S1666" t="s">
        <v>3267</v>
      </c>
      <c r="T1666" t="s">
        <v>3294</v>
      </c>
      <c r="U1666" t="s">
        <v>3093</v>
      </c>
      <c r="V1666" t="s">
        <v>3353</v>
      </c>
      <c r="X1666" t="s">
        <v>3354</v>
      </c>
      <c r="Y1666" t="s">
        <v>2678</v>
      </c>
      <c r="Z1666" t="s">
        <v>3380</v>
      </c>
      <c r="AA1666" t="s">
        <v>3406</v>
      </c>
      <c r="AB1666" t="s">
        <v>3415</v>
      </c>
      <c r="AC1666">
        <f>HYPERLINK("https://lsnyc.legalserver.org/matter/dynamic-profile/view/1860734","18-1860734")</f>
        <v>0</v>
      </c>
      <c r="AD1666" t="s">
        <v>3444</v>
      </c>
      <c r="AE1666" t="s">
        <v>3468</v>
      </c>
      <c r="AF1666" t="s">
        <v>4700</v>
      </c>
      <c r="AG1666" t="s">
        <v>3380</v>
      </c>
      <c r="AH1666" t="s">
        <v>4906</v>
      </c>
      <c r="AK1666" t="s">
        <v>4911</v>
      </c>
      <c r="AL1666" t="s">
        <v>2117</v>
      </c>
      <c r="AM1666" t="s">
        <v>3294</v>
      </c>
      <c r="AN1666" t="s">
        <v>3415</v>
      </c>
      <c r="AO1666" t="s">
        <v>3353</v>
      </c>
    </row>
    <row r="1667" spans="1:41">
      <c r="A1667" s="1" t="s">
        <v>1703</v>
      </c>
      <c r="B1667" t="s">
        <v>2023</v>
      </c>
      <c r="C1667" t="s">
        <v>2024</v>
      </c>
      <c r="D1667" t="s">
        <v>2068</v>
      </c>
      <c r="E1667" t="s">
        <v>2112</v>
      </c>
      <c r="F1667" t="s">
        <v>2123</v>
      </c>
      <c r="G1667" t="s">
        <v>2213</v>
      </c>
      <c r="H1667">
        <v>10467</v>
      </c>
      <c r="I1667" t="s">
        <v>2229</v>
      </c>
      <c r="J1667">
        <v>5</v>
      </c>
      <c r="K1667">
        <v>4</v>
      </c>
      <c r="L1667" t="s">
        <v>2616</v>
      </c>
      <c r="M1667" t="s">
        <v>2677</v>
      </c>
      <c r="P1667" t="s">
        <v>3094</v>
      </c>
      <c r="Q1667" t="s">
        <v>2113</v>
      </c>
      <c r="R1667" t="s">
        <v>3258</v>
      </c>
      <c r="S1667" t="s">
        <v>3274</v>
      </c>
      <c r="T1667" t="s">
        <v>3302</v>
      </c>
      <c r="U1667" t="s">
        <v>3037</v>
      </c>
      <c r="V1667" t="s">
        <v>3352</v>
      </c>
      <c r="X1667" t="s">
        <v>3354</v>
      </c>
      <c r="Y1667" t="s">
        <v>2678</v>
      </c>
      <c r="Z1667" t="s">
        <v>3371</v>
      </c>
      <c r="AA1667" t="s">
        <v>3406</v>
      </c>
      <c r="AB1667" t="s">
        <v>3422</v>
      </c>
      <c r="AC1667">
        <f>HYPERLINK("https://lsnyc.legalserver.org/matter/dynamic-profile/view/1860786","18-1860786")</f>
        <v>0</v>
      </c>
      <c r="AD1667" t="s">
        <v>3444</v>
      </c>
      <c r="AE1667" t="s">
        <v>3468</v>
      </c>
      <c r="AF1667" t="s">
        <v>4701</v>
      </c>
      <c r="AG1667" t="s">
        <v>3371</v>
      </c>
      <c r="AH1667" t="s">
        <v>4904</v>
      </c>
      <c r="AK1667" t="s">
        <v>4911</v>
      </c>
      <c r="AL1667" t="s">
        <v>2123</v>
      </c>
      <c r="AM1667" t="s">
        <v>3302</v>
      </c>
      <c r="AN1667" t="s">
        <v>3422</v>
      </c>
      <c r="AO1667" t="s">
        <v>3352</v>
      </c>
    </row>
    <row r="1668" spans="1:41">
      <c r="A1668" s="1" t="s">
        <v>1704</v>
      </c>
      <c r="B1668" t="s">
        <v>2001</v>
      </c>
      <c r="C1668" t="s">
        <v>2000</v>
      </c>
      <c r="D1668" t="s">
        <v>2068</v>
      </c>
      <c r="E1668" t="s">
        <v>2111</v>
      </c>
      <c r="F1668" t="s">
        <v>2131</v>
      </c>
      <c r="G1668" t="s">
        <v>2214</v>
      </c>
      <c r="H1668">
        <v>11232</v>
      </c>
      <c r="I1668" t="s">
        <v>2229</v>
      </c>
      <c r="J1668">
        <v>2</v>
      </c>
      <c r="K1668">
        <v>0</v>
      </c>
      <c r="L1668" t="s">
        <v>2617</v>
      </c>
      <c r="M1668" t="s">
        <v>2678</v>
      </c>
      <c r="N1668" t="s">
        <v>2679</v>
      </c>
      <c r="O1668" t="s">
        <v>2684</v>
      </c>
      <c r="P1668" t="s">
        <v>3094</v>
      </c>
      <c r="Q1668" t="s">
        <v>2113</v>
      </c>
      <c r="R1668" t="s">
        <v>3259</v>
      </c>
      <c r="S1668" t="s">
        <v>3268</v>
      </c>
      <c r="X1668" t="s">
        <v>3354</v>
      </c>
      <c r="Y1668" t="s">
        <v>2677</v>
      </c>
      <c r="Z1668" t="s">
        <v>3368</v>
      </c>
      <c r="AA1668" t="s">
        <v>3406</v>
      </c>
      <c r="AB1668" t="s">
        <v>3416</v>
      </c>
      <c r="AC1668">
        <f>HYPERLINK("https://lsnyc.legalserver.org/matter/dynamic-profile/view/1860854","18-1860854")</f>
        <v>0</v>
      </c>
      <c r="AD1668" t="s">
        <v>3445</v>
      </c>
      <c r="AE1668" t="s">
        <v>3455</v>
      </c>
      <c r="AF1668" t="s">
        <v>4702</v>
      </c>
      <c r="AG1668" t="s">
        <v>3368</v>
      </c>
      <c r="AH1668" t="s">
        <v>4904</v>
      </c>
      <c r="AK1668" t="s">
        <v>4911</v>
      </c>
      <c r="AL1668" t="s">
        <v>2131</v>
      </c>
      <c r="AN1668" t="s">
        <v>3416</v>
      </c>
    </row>
    <row r="1669" spans="1:41">
      <c r="A1669" s="1" t="s">
        <v>1705</v>
      </c>
      <c r="B1669" t="s">
        <v>1998</v>
      </c>
      <c r="C1669" t="s">
        <v>1998</v>
      </c>
      <c r="D1669" t="s">
        <v>2045</v>
      </c>
      <c r="E1669" t="s">
        <v>2111</v>
      </c>
      <c r="F1669" t="s">
        <v>2131</v>
      </c>
      <c r="G1669" t="s">
        <v>2214</v>
      </c>
      <c r="H1669">
        <v>11223</v>
      </c>
      <c r="I1669" t="s">
        <v>2229</v>
      </c>
      <c r="J1669">
        <v>2</v>
      </c>
      <c r="K1669">
        <v>0</v>
      </c>
      <c r="L1669" t="s">
        <v>2564</v>
      </c>
      <c r="M1669" t="s">
        <v>2678</v>
      </c>
      <c r="N1669" t="s">
        <v>2679</v>
      </c>
      <c r="O1669" t="s">
        <v>2684</v>
      </c>
      <c r="P1669" t="s">
        <v>3095</v>
      </c>
      <c r="Q1669" t="s">
        <v>3256</v>
      </c>
      <c r="R1669" t="s">
        <v>3259</v>
      </c>
      <c r="S1669" t="s">
        <v>3268</v>
      </c>
      <c r="X1669" t="s">
        <v>3354</v>
      </c>
      <c r="Y1669" t="s">
        <v>2677</v>
      </c>
      <c r="Z1669" t="s">
        <v>3368</v>
      </c>
      <c r="AA1669" t="s">
        <v>3406</v>
      </c>
      <c r="AB1669" t="s">
        <v>3416</v>
      </c>
      <c r="AC1669">
        <f>HYPERLINK("https://lsnyc.legalserver.org/matter/dynamic-profile/view/1860613","18-1860613")</f>
        <v>0</v>
      </c>
      <c r="AD1669" t="s">
        <v>3445</v>
      </c>
      <c r="AE1669" t="s">
        <v>3455</v>
      </c>
      <c r="AF1669" t="s">
        <v>3541</v>
      </c>
      <c r="AG1669" t="s">
        <v>3368</v>
      </c>
      <c r="AH1669" t="s">
        <v>4904</v>
      </c>
      <c r="AK1669" t="s">
        <v>4911</v>
      </c>
      <c r="AL1669" t="s">
        <v>2131</v>
      </c>
      <c r="AN1669" t="s">
        <v>3416</v>
      </c>
    </row>
    <row r="1670" spans="1:41">
      <c r="A1670" s="1" t="s">
        <v>1706</v>
      </c>
      <c r="B1670" t="s">
        <v>2007</v>
      </c>
      <c r="C1670" t="s">
        <v>2001</v>
      </c>
      <c r="D1670" t="s">
        <v>2060</v>
      </c>
      <c r="E1670" t="s">
        <v>2112</v>
      </c>
      <c r="F1670" t="s">
        <v>2155</v>
      </c>
      <c r="G1670" t="s">
        <v>2212</v>
      </c>
      <c r="H1670">
        <v>11104</v>
      </c>
      <c r="I1670" t="s">
        <v>2242</v>
      </c>
      <c r="J1670">
        <v>1</v>
      </c>
      <c r="K1670">
        <v>0</v>
      </c>
      <c r="L1670" t="s">
        <v>2256</v>
      </c>
      <c r="M1670" t="s">
        <v>2677</v>
      </c>
      <c r="P1670" t="s">
        <v>3095</v>
      </c>
      <c r="Q1670" t="s">
        <v>2113</v>
      </c>
      <c r="R1670" t="s">
        <v>3261</v>
      </c>
      <c r="S1670" t="s">
        <v>3283</v>
      </c>
      <c r="X1670" t="s">
        <v>3354</v>
      </c>
      <c r="Y1670" t="s">
        <v>2678</v>
      </c>
      <c r="Z1670" t="s">
        <v>3361</v>
      </c>
      <c r="AA1670" t="s">
        <v>3409</v>
      </c>
      <c r="AB1670" t="s">
        <v>3431</v>
      </c>
      <c r="AC1670">
        <f>HYPERLINK("https://lsnyc.legalserver.org/matter/dynamic-profile/view/1860643","18-1860643")</f>
        <v>0</v>
      </c>
      <c r="AD1670" t="s">
        <v>3443</v>
      </c>
      <c r="AE1670" t="s">
        <v>3490</v>
      </c>
      <c r="AF1670" t="s">
        <v>4703</v>
      </c>
      <c r="AG1670" t="s">
        <v>3361</v>
      </c>
      <c r="AH1670" t="s">
        <v>3409</v>
      </c>
      <c r="AK1670" t="s">
        <v>4911</v>
      </c>
      <c r="AL1670" t="s">
        <v>2155</v>
      </c>
      <c r="AN1670" t="s">
        <v>3431</v>
      </c>
    </row>
    <row r="1671" spans="1:41">
      <c r="A1671" s="1" t="s">
        <v>1707</v>
      </c>
      <c r="B1671" t="s">
        <v>2021</v>
      </c>
      <c r="C1671" t="s">
        <v>1998</v>
      </c>
      <c r="D1671" t="s">
        <v>2055</v>
      </c>
      <c r="E1671" t="s">
        <v>2112</v>
      </c>
      <c r="F1671" t="s">
        <v>2120</v>
      </c>
      <c r="G1671" t="s">
        <v>2214</v>
      </c>
      <c r="H1671">
        <v>11212</v>
      </c>
      <c r="I1671" t="s">
        <v>2230</v>
      </c>
      <c r="J1671">
        <v>1</v>
      </c>
      <c r="K1671">
        <v>0</v>
      </c>
      <c r="L1671" t="s">
        <v>2384</v>
      </c>
      <c r="M1671" t="s">
        <v>2677</v>
      </c>
      <c r="P1671" t="s">
        <v>2744</v>
      </c>
      <c r="Q1671" t="s">
        <v>2113</v>
      </c>
      <c r="R1671" t="s">
        <v>3259</v>
      </c>
      <c r="S1671" t="s">
        <v>3287</v>
      </c>
      <c r="X1671" t="s">
        <v>3354</v>
      </c>
      <c r="Y1671" t="s">
        <v>2678</v>
      </c>
      <c r="Z1671" t="s">
        <v>3378</v>
      </c>
      <c r="AA1671" t="s">
        <v>3406</v>
      </c>
      <c r="AB1671" t="s">
        <v>3435</v>
      </c>
      <c r="AC1671">
        <f>HYPERLINK("https://lsnyc.legalserver.org/matter/dynamic-profile/view/1860663","18-1860663")</f>
        <v>0</v>
      </c>
      <c r="AD1671" t="s">
        <v>3443</v>
      </c>
      <c r="AE1671" t="s">
        <v>3457</v>
      </c>
      <c r="AF1671" t="s">
        <v>3862</v>
      </c>
      <c r="AG1671" t="s">
        <v>3378</v>
      </c>
      <c r="AH1671" t="s">
        <v>4904</v>
      </c>
      <c r="AI1671" t="s">
        <v>4909</v>
      </c>
      <c r="AL1671" t="s">
        <v>2120</v>
      </c>
      <c r="AN1671" t="s">
        <v>3435</v>
      </c>
    </row>
    <row r="1672" spans="1:41">
      <c r="A1672" s="1" t="s">
        <v>1708</v>
      </c>
      <c r="B1672" t="s">
        <v>2000</v>
      </c>
      <c r="C1672" t="s">
        <v>2016</v>
      </c>
      <c r="D1672" t="s">
        <v>2083</v>
      </c>
      <c r="E1672" t="s">
        <v>2112</v>
      </c>
      <c r="F1672" t="s">
        <v>2123</v>
      </c>
      <c r="G1672" t="s">
        <v>2212</v>
      </c>
      <c r="H1672">
        <v>11433</v>
      </c>
      <c r="I1672" t="s">
        <v>2229</v>
      </c>
      <c r="J1672">
        <v>4</v>
      </c>
      <c r="K1672">
        <v>2</v>
      </c>
      <c r="L1672" t="s">
        <v>2586</v>
      </c>
      <c r="M1672" t="s">
        <v>2677</v>
      </c>
      <c r="P1672" t="s">
        <v>3095</v>
      </c>
      <c r="Q1672" t="s">
        <v>2113</v>
      </c>
      <c r="R1672" t="s">
        <v>3258</v>
      </c>
      <c r="S1672" t="s">
        <v>3271</v>
      </c>
      <c r="X1672" t="s">
        <v>3354</v>
      </c>
      <c r="Y1672" t="s">
        <v>2677</v>
      </c>
      <c r="Z1672" t="s">
        <v>3362</v>
      </c>
      <c r="AA1672" t="s">
        <v>3406</v>
      </c>
      <c r="AB1672" t="s">
        <v>3419</v>
      </c>
      <c r="AC1672">
        <f>HYPERLINK("https://lsnyc.legalserver.org/matter/dynamic-profile/view/1860680","18-1860680")</f>
        <v>0</v>
      </c>
      <c r="AD1672" t="s">
        <v>3445</v>
      </c>
      <c r="AE1672" t="s">
        <v>3455</v>
      </c>
      <c r="AF1672" t="s">
        <v>4629</v>
      </c>
      <c r="AG1672" t="s">
        <v>3362</v>
      </c>
      <c r="AH1672" t="s">
        <v>4904</v>
      </c>
      <c r="AK1672" t="s">
        <v>4911</v>
      </c>
      <c r="AL1672" t="s">
        <v>2123</v>
      </c>
      <c r="AN1672" t="s">
        <v>3419</v>
      </c>
    </row>
    <row r="1673" spans="1:41">
      <c r="A1673" s="1" t="s">
        <v>1709</v>
      </c>
      <c r="B1673" t="s">
        <v>2002</v>
      </c>
      <c r="C1673" t="s">
        <v>2012</v>
      </c>
      <c r="D1673" t="s">
        <v>2044</v>
      </c>
      <c r="E1673" t="s">
        <v>2111</v>
      </c>
      <c r="F1673" t="s">
        <v>2121</v>
      </c>
      <c r="G1673" t="s">
        <v>2211</v>
      </c>
      <c r="H1673">
        <v>10016</v>
      </c>
      <c r="I1673" t="s">
        <v>2229</v>
      </c>
      <c r="J1673">
        <v>1</v>
      </c>
      <c r="K1673">
        <v>0</v>
      </c>
      <c r="L1673" t="s">
        <v>2260</v>
      </c>
      <c r="M1673" t="s">
        <v>2677</v>
      </c>
      <c r="P1673" t="s">
        <v>3096</v>
      </c>
      <c r="Q1673" t="s">
        <v>3255</v>
      </c>
      <c r="R1673" t="s">
        <v>3259</v>
      </c>
      <c r="S1673" t="s">
        <v>3268</v>
      </c>
      <c r="X1673" t="s">
        <v>3354</v>
      </c>
      <c r="Y1673" t="s">
        <v>2678</v>
      </c>
      <c r="Z1673" t="s">
        <v>3368</v>
      </c>
      <c r="AA1673" t="s">
        <v>3406</v>
      </c>
      <c r="AB1673" t="s">
        <v>3416</v>
      </c>
      <c r="AC1673">
        <f>HYPERLINK("https://lsnyc.legalserver.org/matter/dynamic-profile/view/1860481","18-1860481")</f>
        <v>0</v>
      </c>
      <c r="AD1673" t="s">
        <v>3442</v>
      </c>
      <c r="AE1673" t="s">
        <v>3460</v>
      </c>
      <c r="AF1673" t="s">
        <v>4704</v>
      </c>
      <c r="AG1673" t="s">
        <v>3368</v>
      </c>
      <c r="AH1673" t="s">
        <v>4904</v>
      </c>
      <c r="AK1673" t="s">
        <v>4911</v>
      </c>
      <c r="AL1673" t="s">
        <v>2121</v>
      </c>
      <c r="AN1673" t="s">
        <v>3416</v>
      </c>
    </row>
    <row r="1674" spans="1:41">
      <c r="A1674" s="1" t="s">
        <v>1710</v>
      </c>
      <c r="B1674" t="s">
        <v>1998</v>
      </c>
      <c r="C1674" t="s">
        <v>1998</v>
      </c>
      <c r="D1674" t="s">
        <v>2070</v>
      </c>
      <c r="E1674" t="s">
        <v>2112</v>
      </c>
      <c r="F1674" t="s">
        <v>2116</v>
      </c>
      <c r="G1674" t="s">
        <v>2213</v>
      </c>
      <c r="H1674">
        <v>10470</v>
      </c>
      <c r="I1674" t="s">
        <v>2230</v>
      </c>
      <c r="J1674">
        <v>2</v>
      </c>
      <c r="K1674">
        <v>1</v>
      </c>
      <c r="L1674" t="s">
        <v>2306</v>
      </c>
      <c r="M1674" t="s">
        <v>2677</v>
      </c>
      <c r="P1674" t="s">
        <v>2961</v>
      </c>
      <c r="Q1674" t="s">
        <v>2113</v>
      </c>
      <c r="R1674" t="s">
        <v>3259</v>
      </c>
      <c r="S1674" t="s">
        <v>3270</v>
      </c>
      <c r="X1674" t="s">
        <v>3354</v>
      </c>
      <c r="Y1674" t="s">
        <v>2677</v>
      </c>
      <c r="Z1674" t="s">
        <v>3362</v>
      </c>
      <c r="AA1674" t="s">
        <v>3406</v>
      </c>
      <c r="AB1674" t="s">
        <v>3418</v>
      </c>
      <c r="AC1674">
        <f>HYPERLINK("https://lsnyc.legalserver.org/matter/dynamic-profile/view/1860518","18-1860518")</f>
        <v>0</v>
      </c>
      <c r="AD1674" t="s">
        <v>3445</v>
      </c>
      <c r="AE1674" t="s">
        <v>3455</v>
      </c>
      <c r="AF1674" t="s">
        <v>4705</v>
      </c>
      <c r="AG1674" t="s">
        <v>3362</v>
      </c>
      <c r="AH1674" t="s">
        <v>4904</v>
      </c>
      <c r="AK1674" t="s">
        <v>4911</v>
      </c>
      <c r="AL1674" t="s">
        <v>2116</v>
      </c>
      <c r="AN1674" t="s">
        <v>3418</v>
      </c>
    </row>
    <row r="1675" spans="1:41">
      <c r="A1675" s="1" t="s">
        <v>1711</v>
      </c>
      <c r="B1675" t="s">
        <v>1998</v>
      </c>
      <c r="C1675" t="s">
        <v>2001</v>
      </c>
      <c r="D1675" t="s">
        <v>2084</v>
      </c>
      <c r="E1675" t="s">
        <v>2112</v>
      </c>
      <c r="F1675" t="s">
        <v>2122</v>
      </c>
      <c r="G1675" t="s">
        <v>2214</v>
      </c>
      <c r="H1675">
        <v>11213</v>
      </c>
      <c r="I1675" t="s">
        <v>2230</v>
      </c>
      <c r="J1675">
        <v>2</v>
      </c>
      <c r="K1675">
        <v>0</v>
      </c>
      <c r="L1675" t="s">
        <v>2307</v>
      </c>
      <c r="M1675" t="s">
        <v>2678</v>
      </c>
      <c r="P1675" t="s">
        <v>3097</v>
      </c>
      <c r="Q1675" t="s">
        <v>2113</v>
      </c>
      <c r="R1675" t="s">
        <v>3258</v>
      </c>
      <c r="S1675" t="s">
        <v>3271</v>
      </c>
      <c r="X1675" t="s">
        <v>3354</v>
      </c>
      <c r="Y1675" t="s">
        <v>2677</v>
      </c>
      <c r="Z1675" t="s">
        <v>3362</v>
      </c>
      <c r="AA1675" t="s">
        <v>3406</v>
      </c>
      <c r="AB1675" t="s">
        <v>3419</v>
      </c>
      <c r="AC1675">
        <f>HYPERLINK("https://lsnyc.legalserver.org/matter/dynamic-profile/view/1860296","18-1860296")</f>
        <v>0</v>
      </c>
      <c r="AD1675" t="s">
        <v>3445</v>
      </c>
      <c r="AE1675" t="s">
        <v>3455</v>
      </c>
      <c r="AF1675" t="s">
        <v>4706</v>
      </c>
      <c r="AG1675" t="s">
        <v>3362</v>
      </c>
      <c r="AH1675" t="s">
        <v>4904</v>
      </c>
      <c r="AJ1675" t="s">
        <v>4910</v>
      </c>
      <c r="AL1675" t="s">
        <v>2122</v>
      </c>
      <c r="AN1675" t="s">
        <v>3419</v>
      </c>
    </row>
    <row r="1676" spans="1:41">
      <c r="A1676" s="1" t="s">
        <v>1712</v>
      </c>
      <c r="B1676" t="s">
        <v>1998</v>
      </c>
      <c r="C1676" t="s">
        <v>2001</v>
      </c>
      <c r="D1676" t="s">
        <v>2053</v>
      </c>
      <c r="E1676" t="s">
        <v>2112</v>
      </c>
      <c r="F1676" t="s">
        <v>2117</v>
      </c>
      <c r="G1676" t="s">
        <v>2213</v>
      </c>
      <c r="H1676">
        <v>10453</v>
      </c>
      <c r="I1676" t="s">
        <v>2229</v>
      </c>
      <c r="J1676">
        <v>2</v>
      </c>
      <c r="K1676">
        <v>1</v>
      </c>
      <c r="L1676" t="s">
        <v>2260</v>
      </c>
      <c r="M1676" t="s">
        <v>2677</v>
      </c>
      <c r="P1676" t="s">
        <v>3097</v>
      </c>
      <c r="Q1676" t="s">
        <v>2113</v>
      </c>
      <c r="R1676" t="s">
        <v>3259</v>
      </c>
      <c r="S1676" t="s">
        <v>3267</v>
      </c>
      <c r="T1676" t="s">
        <v>3294</v>
      </c>
      <c r="U1676" t="s">
        <v>3054</v>
      </c>
      <c r="X1676" t="s">
        <v>3354</v>
      </c>
      <c r="Y1676" t="s">
        <v>2678</v>
      </c>
      <c r="Z1676" t="s">
        <v>3359</v>
      </c>
      <c r="AA1676" t="s">
        <v>3406</v>
      </c>
      <c r="AB1676" t="s">
        <v>3415</v>
      </c>
      <c r="AC1676">
        <f>HYPERLINK("https://lsnyc.legalserver.org/matter/dynamic-profile/view/1860414","18-1860414")</f>
        <v>0</v>
      </c>
      <c r="AD1676" t="s">
        <v>3444</v>
      </c>
      <c r="AE1676" t="s">
        <v>3464</v>
      </c>
      <c r="AF1676" t="s">
        <v>4707</v>
      </c>
      <c r="AG1676" t="s">
        <v>3359</v>
      </c>
      <c r="AH1676" t="s">
        <v>4906</v>
      </c>
      <c r="AK1676" t="s">
        <v>4911</v>
      </c>
      <c r="AL1676" t="s">
        <v>2117</v>
      </c>
      <c r="AM1676" t="s">
        <v>3294</v>
      </c>
      <c r="AN1676" t="s">
        <v>3415</v>
      </c>
    </row>
    <row r="1677" spans="1:41">
      <c r="A1677" s="1" t="s">
        <v>1713</v>
      </c>
      <c r="B1677" t="s">
        <v>2009</v>
      </c>
      <c r="C1677" t="s">
        <v>2016</v>
      </c>
      <c r="D1677" t="s">
        <v>2099</v>
      </c>
      <c r="E1677" t="s">
        <v>2112</v>
      </c>
      <c r="F1677" t="s">
        <v>2179</v>
      </c>
      <c r="G1677" t="s">
        <v>2212</v>
      </c>
      <c r="H1677">
        <v>11411</v>
      </c>
      <c r="I1677" t="s">
        <v>2230</v>
      </c>
      <c r="J1677">
        <v>6</v>
      </c>
      <c r="K1677">
        <v>3</v>
      </c>
      <c r="L1677" t="s">
        <v>2618</v>
      </c>
      <c r="M1677" t="s">
        <v>2677</v>
      </c>
      <c r="P1677" t="s">
        <v>3098</v>
      </c>
      <c r="Q1677" t="s">
        <v>2113</v>
      </c>
      <c r="R1677" t="s">
        <v>3259</v>
      </c>
      <c r="S1677" t="s">
        <v>3270</v>
      </c>
      <c r="X1677" t="s">
        <v>3354</v>
      </c>
      <c r="Y1677" t="s">
        <v>2678</v>
      </c>
      <c r="Z1677" t="s">
        <v>3377</v>
      </c>
      <c r="AA1677" t="s">
        <v>3406</v>
      </c>
      <c r="AB1677" t="s">
        <v>3418</v>
      </c>
      <c r="AC1677">
        <f>HYPERLINK("https://lsnyc.legalserver.org/matter/dynamic-profile/view/1860178","18-1860178")</f>
        <v>0</v>
      </c>
      <c r="AD1677" t="s">
        <v>3443</v>
      </c>
      <c r="AE1677" t="s">
        <v>3477</v>
      </c>
      <c r="AF1677" t="s">
        <v>4708</v>
      </c>
      <c r="AG1677" t="s">
        <v>3377</v>
      </c>
      <c r="AH1677" t="s">
        <v>4904</v>
      </c>
      <c r="AK1677" t="s">
        <v>4911</v>
      </c>
      <c r="AL1677" t="s">
        <v>2179</v>
      </c>
      <c r="AN1677" t="s">
        <v>3418</v>
      </c>
    </row>
    <row r="1678" spans="1:41">
      <c r="A1678" s="1" t="s">
        <v>1714</v>
      </c>
      <c r="B1678" t="s">
        <v>1998</v>
      </c>
      <c r="C1678" t="s">
        <v>2000</v>
      </c>
      <c r="D1678" t="s">
        <v>2078</v>
      </c>
      <c r="E1678" t="s">
        <v>2112</v>
      </c>
      <c r="F1678" t="s">
        <v>2120</v>
      </c>
      <c r="G1678" t="s">
        <v>2214</v>
      </c>
      <c r="H1678">
        <v>11213</v>
      </c>
      <c r="I1678" t="s">
        <v>2230</v>
      </c>
      <c r="J1678">
        <v>2</v>
      </c>
      <c r="K1678">
        <v>1</v>
      </c>
      <c r="L1678" t="s">
        <v>2283</v>
      </c>
      <c r="M1678" t="s">
        <v>2677</v>
      </c>
      <c r="P1678" t="s">
        <v>2727</v>
      </c>
      <c r="Q1678" t="s">
        <v>2113</v>
      </c>
      <c r="R1678" t="s">
        <v>3258</v>
      </c>
      <c r="S1678" t="s">
        <v>3273</v>
      </c>
      <c r="T1678" t="s">
        <v>3297</v>
      </c>
      <c r="U1678" t="s">
        <v>2727</v>
      </c>
      <c r="V1678" t="s">
        <v>3352</v>
      </c>
      <c r="X1678" t="s">
        <v>3354</v>
      </c>
      <c r="Y1678" t="s">
        <v>2678</v>
      </c>
      <c r="Z1678" t="s">
        <v>3365</v>
      </c>
      <c r="AA1678" t="s">
        <v>3406</v>
      </c>
      <c r="AB1678" t="s">
        <v>3421</v>
      </c>
      <c r="AC1678">
        <f>HYPERLINK("https://lsnyc.legalserver.org/matter/dynamic-profile/view/1860053","18-1860053")</f>
        <v>0</v>
      </c>
      <c r="AD1678" t="s">
        <v>3446</v>
      </c>
      <c r="AE1678" t="s">
        <v>3465</v>
      </c>
      <c r="AF1678" t="s">
        <v>4709</v>
      </c>
      <c r="AG1678" t="s">
        <v>3365</v>
      </c>
      <c r="AH1678" t="s">
        <v>4904</v>
      </c>
      <c r="AL1678" t="s">
        <v>2120</v>
      </c>
      <c r="AM1678" t="s">
        <v>3297</v>
      </c>
      <c r="AN1678" t="s">
        <v>3421</v>
      </c>
      <c r="AO1678" t="s">
        <v>3352</v>
      </c>
    </row>
    <row r="1679" spans="1:41">
      <c r="A1679" s="1" t="s">
        <v>1715</v>
      </c>
      <c r="B1679" t="s">
        <v>2021</v>
      </c>
      <c r="C1679" t="s">
        <v>1998</v>
      </c>
      <c r="D1679" t="s">
        <v>2086</v>
      </c>
      <c r="E1679" t="s">
        <v>2112</v>
      </c>
      <c r="G1679" t="s">
        <v>2212</v>
      </c>
      <c r="H1679">
        <v>11413</v>
      </c>
      <c r="I1679" t="s">
        <v>2230</v>
      </c>
      <c r="J1679">
        <v>1</v>
      </c>
      <c r="K1679">
        <v>0</v>
      </c>
      <c r="L1679" t="s">
        <v>2619</v>
      </c>
      <c r="M1679" t="s">
        <v>2678</v>
      </c>
      <c r="P1679" t="s">
        <v>3099</v>
      </c>
      <c r="Q1679" t="s">
        <v>3255</v>
      </c>
      <c r="R1679" t="s">
        <v>3258</v>
      </c>
      <c r="S1679" t="s">
        <v>3265</v>
      </c>
      <c r="X1679" t="s">
        <v>3354</v>
      </c>
      <c r="Y1679" t="s">
        <v>2677</v>
      </c>
      <c r="Z1679" t="s">
        <v>3358</v>
      </c>
      <c r="AA1679" t="s">
        <v>3406</v>
      </c>
      <c r="AB1679" t="s">
        <v>3413</v>
      </c>
      <c r="AC1679">
        <f>HYPERLINK("https://lsnyc.legalserver.org/matter/dynamic-profile/view/1860101","18-1860101")</f>
        <v>0</v>
      </c>
      <c r="AD1679" t="s">
        <v>3445</v>
      </c>
      <c r="AE1679" t="s">
        <v>3455</v>
      </c>
      <c r="AF1679" t="s">
        <v>4673</v>
      </c>
      <c r="AG1679" t="s">
        <v>3358</v>
      </c>
      <c r="AH1679" t="s">
        <v>4906</v>
      </c>
      <c r="AJ1679" t="s">
        <v>4910</v>
      </c>
      <c r="AN1679" t="s">
        <v>3413</v>
      </c>
    </row>
    <row r="1680" spans="1:41">
      <c r="A1680" s="1" t="s">
        <v>1716</v>
      </c>
      <c r="B1680" t="s">
        <v>1998</v>
      </c>
      <c r="C1680" t="s">
        <v>2012</v>
      </c>
      <c r="D1680" t="s">
        <v>2058</v>
      </c>
      <c r="E1680" t="s">
        <v>2112</v>
      </c>
      <c r="F1680" t="s">
        <v>2117</v>
      </c>
      <c r="G1680" t="s">
        <v>2216</v>
      </c>
      <c r="H1680">
        <v>10305</v>
      </c>
      <c r="I1680" t="s">
        <v>2229</v>
      </c>
      <c r="J1680">
        <v>10</v>
      </c>
      <c r="K1680">
        <v>5</v>
      </c>
      <c r="L1680" t="s">
        <v>2260</v>
      </c>
      <c r="M1680" t="s">
        <v>2677</v>
      </c>
      <c r="P1680" t="s">
        <v>3100</v>
      </c>
      <c r="Q1680" t="s">
        <v>2113</v>
      </c>
      <c r="R1680" t="s">
        <v>3259</v>
      </c>
      <c r="S1680" t="s">
        <v>3267</v>
      </c>
      <c r="T1680" t="s">
        <v>3300</v>
      </c>
      <c r="U1680" t="s">
        <v>3069</v>
      </c>
      <c r="X1680" t="s">
        <v>3354</v>
      </c>
      <c r="Y1680" t="s">
        <v>2678</v>
      </c>
      <c r="Z1680" t="s">
        <v>3359</v>
      </c>
      <c r="AA1680" t="s">
        <v>3406</v>
      </c>
      <c r="AB1680" t="s">
        <v>3415</v>
      </c>
      <c r="AC1680">
        <f>HYPERLINK("https://lsnyc.legalserver.org/matter/dynamic-profile/view/1857574","18-1857574")</f>
        <v>0</v>
      </c>
      <c r="AD1680" t="s">
        <v>3447</v>
      </c>
      <c r="AE1680" t="s">
        <v>3463</v>
      </c>
      <c r="AF1680" t="s">
        <v>4710</v>
      </c>
      <c r="AG1680" t="s">
        <v>3359</v>
      </c>
      <c r="AH1680" t="s">
        <v>4906</v>
      </c>
      <c r="AK1680" t="s">
        <v>4911</v>
      </c>
      <c r="AL1680" t="s">
        <v>2117</v>
      </c>
      <c r="AM1680" t="s">
        <v>3300</v>
      </c>
      <c r="AN1680" t="s">
        <v>3415</v>
      </c>
    </row>
    <row r="1681" spans="1:40">
      <c r="A1681" s="1" t="s">
        <v>1717</v>
      </c>
      <c r="B1681" t="s">
        <v>1998</v>
      </c>
      <c r="C1681" t="s">
        <v>2003</v>
      </c>
      <c r="D1681" t="s">
        <v>2064</v>
      </c>
      <c r="E1681" t="s">
        <v>2111</v>
      </c>
      <c r="F1681" t="s">
        <v>2117</v>
      </c>
      <c r="G1681" t="s">
        <v>2216</v>
      </c>
      <c r="H1681">
        <v>10305</v>
      </c>
      <c r="I1681" t="s">
        <v>2229</v>
      </c>
      <c r="J1681">
        <v>10</v>
      </c>
      <c r="K1681">
        <v>5</v>
      </c>
      <c r="L1681" t="s">
        <v>2260</v>
      </c>
      <c r="M1681" t="s">
        <v>2677</v>
      </c>
      <c r="P1681" t="s">
        <v>3100</v>
      </c>
      <c r="Q1681" t="s">
        <v>2113</v>
      </c>
      <c r="R1681" t="s">
        <v>3259</v>
      </c>
      <c r="S1681" t="s">
        <v>3267</v>
      </c>
      <c r="T1681" t="s">
        <v>3300</v>
      </c>
      <c r="U1681" t="s">
        <v>3069</v>
      </c>
      <c r="X1681" t="s">
        <v>3354</v>
      </c>
      <c r="Y1681" t="s">
        <v>2678</v>
      </c>
      <c r="Z1681" t="s">
        <v>3359</v>
      </c>
      <c r="AA1681" t="s">
        <v>3406</v>
      </c>
      <c r="AB1681" t="s">
        <v>3415</v>
      </c>
      <c r="AC1681">
        <f>HYPERLINK("https://lsnyc.legalserver.org/matter/dynamic-profile/view/1857575","18-1857575")</f>
        <v>0</v>
      </c>
      <c r="AD1681" t="s">
        <v>3447</v>
      </c>
      <c r="AE1681" t="s">
        <v>3463</v>
      </c>
      <c r="AF1681" t="s">
        <v>4711</v>
      </c>
      <c r="AG1681" t="s">
        <v>3359</v>
      </c>
      <c r="AH1681" t="s">
        <v>4906</v>
      </c>
      <c r="AK1681" t="s">
        <v>4911</v>
      </c>
      <c r="AL1681" t="s">
        <v>2117</v>
      </c>
      <c r="AM1681" t="s">
        <v>3300</v>
      </c>
      <c r="AN1681" t="s">
        <v>3415</v>
      </c>
    </row>
    <row r="1682" spans="1:40">
      <c r="A1682" s="1" t="s">
        <v>1718</v>
      </c>
      <c r="B1682" t="s">
        <v>1998</v>
      </c>
      <c r="C1682" t="s">
        <v>2001</v>
      </c>
      <c r="D1682" t="s">
        <v>2091</v>
      </c>
      <c r="E1682" t="s">
        <v>2112</v>
      </c>
      <c r="F1682" t="s">
        <v>2117</v>
      </c>
      <c r="G1682" t="s">
        <v>2216</v>
      </c>
      <c r="H1682">
        <v>10305</v>
      </c>
      <c r="I1682" t="s">
        <v>2229</v>
      </c>
      <c r="J1682">
        <v>10</v>
      </c>
      <c r="K1682">
        <v>5</v>
      </c>
      <c r="L1682" t="s">
        <v>2260</v>
      </c>
      <c r="M1682" t="s">
        <v>2677</v>
      </c>
      <c r="P1682" t="s">
        <v>3100</v>
      </c>
      <c r="Q1682" t="s">
        <v>2113</v>
      </c>
      <c r="R1682" t="s">
        <v>3259</v>
      </c>
      <c r="S1682" t="s">
        <v>3267</v>
      </c>
      <c r="X1682" t="s">
        <v>3354</v>
      </c>
      <c r="Y1682" t="s">
        <v>2678</v>
      </c>
      <c r="Z1682" t="s">
        <v>3359</v>
      </c>
      <c r="AA1682" t="s">
        <v>3406</v>
      </c>
      <c r="AB1682" t="s">
        <v>3415</v>
      </c>
      <c r="AC1682">
        <f>HYPERLINK("https://lsnyc.legalserver.org/matter/dynamic-profile/view/1857576","18-1857576")</f>
        <v>0</v>
      </c>
      <c r="AD1682" t="s">
        <v>3447</v>
      </c>
      <c r="AE1682" t="s">
        <v>3463</v>
      </c>
      <c r="AF1682" t="s">
        <v>4712</v>
      </c>
      <c r="AG1682" t="s">
        <v>3359</v>
      </c>
      <c r="AH1682" t="s">
        <v>4906</v>
      </c>
      <c r="AK1682" t="s">
        <v>4911</v>
      </c>
      <c r="AL1682" t="s">
        <v>2117</v>
      </c>
      <c r="AN1682" t="s">
        <v>3415</v>
      </c>
    </row>
    <row r="1683" spans="1:40">
      <c r="A1683" s="1" t="s">
        <v>1719</v>
      </c>
      <c r="B1683" t="s">
        <v>2002</v>
      </c>
      <c r="C1683" t="s">
        <v>1998</v>
      </c>
      <c r="D1683" t="s">
        <v>2044</v>
      </c>
      <c r="E1683" t="s">
        <v>2112</v>
      </c>
      <c r="F1683" t="s">
        <v>2143</v>
      </c>
      <c r="G1683" t="s">
        <v>2216</v>
      </c>
      <c r="H1683">
        <v>10304</v>
      </c>
      <c r="I1683" t="s">
        <v>2230</v>
      </c>
      <c r="J1683">
        <v>3</v>
      </c>
      <c r="K1683">
        <v>2</v>
      </c>
      <c r="L1683" t="s">
        <v>2620</v>
      </c>
      <c r="M1683" t="s">
        <v>2677</v>
      </c>
      <c r="P1683" t="s">
        <v>3018</v>
      </c>
      <c r="Q1683" t="s">
        <v>2113</v>
      </c>
      <c r="R1683" t="s">
        <v>3259</v>
      </c>
      <c r="S1683" t="s">
        <v>3270</v>
      </c>
      <c r="X1683" t="s">
        <v>3354</v>
      </c>
      <c r="Y1683" t="s">
        <v>2677</v>
      </c>
      <c r="Z1683" t="s">
        <v>3362</v>
      </c>
      <c r="AA1683" t="s">
        <v>3406</v>
      </c>
      <c r="AB1683" t="s">
        <v>3418</v>
      </c>
      <c r="AC1683">
        <f>HYPERLINK("https://lsnyc.legalserver.org/matter/dynamic-profile/view/1859761","18-1859761")</f>
        <v>0</v>
      </c>
      <c r="AD1683" t="s">
        <v>3445</v>
      </c>
      <c r="AE1683" t="s">
        <v>3455</v>
      </c>
      <c r="AF1683" t="s">
        <v>4713</v>
      </c>
      <c r="AG1683" t="s">
        <v>3362</v>
      </c>
      <c r="AH1683" t="s">
        <v>4904</v>
      </c>
      <c r="AK1683" t="s">
        <v>4911</v>
      </c>
      <c r="AL1683" t="s">
        <v>2143</v>
      </c>
      <c r="AN1683" t="s">
        <v>3418</v>
      </c>
    </row>
    <row r="1684" spans="1:40">
      <c r="A1684" s="1" t="s">
        <v>1720</v>
      </c>
      <c r="B1684" t="s">
        <v>2001</v>
      </c>
      <c r="C1684" t="s">
        <v>1998</v>
      </c>
      <c r="D1684" t="s">
        <v>2056</v>
      </c>
      <c r="E1684" t="s">
        <v>2112</v>
      </c>
      <c r="F1684" t="s">
        <v>2123</v>
      </c>
      <c r="G1684" t="s">
        <v>2212</v>
      </c>
      <c r="H1684">
        <v>11418</v>
      </c>
      <c r="I1684" t="s">
        <v>2229</v>
      </c>
      <c r="J1684">
        <v>2</v>
      </c>
      <c r="K1684">
        <v>1</v>
      </c>
      <c r="L1684" t="s">
        <v>2260</v>
      </c>
      <c r="M1684" t="s">
        <v>2677</v>
      </c>
      <c r="P1684" t="s">
        <v>3101</v>
      </c>
      <c r="Q1684" t="s">
        <v>2113</v>
      </c>
      <c r="R1684" t="s">
        <v>3258</v>
      </c>
      <c r="S1684" t="s">
        <v>3273</v>
      </c>
      <c r="X1684" t="s">
        <v>3354</v>
      </c>
      <c r="Y1684" t="s">
        <v>2677</v>
      </c>
      <c r="Z1684" t="s">
        <v>3365</v>
      </c>
      <c r="AA1684" t="s">
        <v>3406</v>
      </c>
      <c r="AB1684" t="s">
        <v>3421</v>
      </c>
      <c r="AC1684">
        <f>HYPERLINK("https://lsnyc.legalserver.org/matter/dynamic-profile/view/1859782","18-1859782")</f>
        <v>0</v>
      </c>
      <c r="AD1684" t="s">
        <v>3445</v>
      </c>
      <c r="AE1684" t="s">
        <v>3455</v>
      </c>
      <c r="AF1684" t="s">
        <v>4624</v>
      </c>
      <c r="AG1684" t="s">
        <v>3365</v>
      </c>
      <c r="AH1684" t="s">
        <v>4904</v>
      </c>
      <c r="AK1684" t="s">
        <v>4911</v>
      </c>
      <c r="AL1684" t="s">
        <v>2123</v>
      </c>
      <c r="AN1684" t="s">
        <v>3421</v>
      </c>
    </row>
    <row r="1685" spans="1:40">
      <c r="A1685" s="1" t="s">
        <v>1721</v>
      </c>
      <c r="B1685" t="s">
        <v>2000</v>
      </c>
      <c r="C1685" t="s">
        <v>1998</v>
      </c>
      <c r="D1685" t="s">
        <v>2092</v>
      </c>
      <c r="E1685" t="s">
        <v>2112</v>
      </c>
      <c r="F1685" t="s">
        <v>2136</v>
      </c>
      <c r="G1685" t="s">
        <v>2213</v>
      </c>
      <c r="H1685">
        <v>10473</v>
      </c>
      <c r="I1685" t="s">
        <v>2230</v>
      </c>
      <c r="J1685">
        <v>4</v>
      </c>
      <c r="K1685">
        <v>3</v>
      </c>
      <c r="L1685" t="s">
        <v>2265</v>
      </c>
      <c r="M1685" t="s">
        <v>2677</v>
      </c>
      <c r="P1685" t="s">
        <v>3101</v>
      </c>
      <c r="Q1685" t="s">
        <v>2113</v>
      </c>
      <c r="R1685" t="s">
        <v>3258</v>
      </c>
      <c r="S1685" t="s">
        <v>3271</v>
      </c>
      <c r="T1685" t="s">
        <v>3294</v>
      </c>
      <c r="X1685" t="s">
        <v>3354</v>
      </c>
      <c r="Y1685" t="s">
        <v>2678</v>
      </c>
      <c r="Z1685" t="s">
        <v>3369</v>
      </c>
      <c r="AA1685" t="s">
        <v>3406</v>
      </c>
      <c r="AB1685" t="s">
        <v>3419</v>
      </c>
      <c r="AC1685">
        <f>HYPERLINK("https://lsnyc.legalserver.org/matter/dynamic-profile/view/1859811","18-1859811")</f>
        <v>0</v>
      </c>
      <c r="AD1685" t="s">
        <v>3444</v>
      </c>
      <c r="AE1685" t="s">
        <v>3474</v>
      </c>
      <c r="AF1685" t="s">
        <v>4714</v>
      </c>
      <c r="AG1685" t="s">
        <v>3369</v>
      </c>
      <c r="AH1685" t="s">
        <v>4904</v>
      </c>
      <c r="AK1685" t="s">
        <v>4911</v>
      </c>
      <c r="AL1685" t="s">
        <v>2136</v>
      </c>
      <c r="AM1685" t="s">
        <v>3294</v>
      </c>
      <c r="AN1685" t="s">
        <v>3419</v>
      </c>
    </row>
    <row r="1686" spans="1:40">
      <c r="A1686" s="1" t="s">
        <v>1722</v>
      </c>
      <c r="B1686" t="s">
        <v>2000</v>
      </c>
      <c r="C1686" t="s">
        <v>2019</v>
      </c>
      <c r="D1686" t="s">
        <v>2028</v>
      </c>
      <c r="E1686" t="s">
        <v>2112</v>
      </c>
      <c r="F1686" t="s">
        <v>2204</v>
      </c>
      <c r="G1686" t="s">
        <v>2211</v>
      </c>
      <c r="H1686">
        <v>10027</v>
      </c>
      <c r="I1686" t="s">
        <v>2230</v>
      </c>
      <c r="J1686">
        <v>2</v>
      </c>
      <c r="K1686">
        <v>0</v>
      </c>
      <c r="L1686" t="s">
        <v>2593</v>
      </c>
      <c r="M1686" t="s">
        <v>2677</v>
      </c>
      <c r="P1686" t="s">
        <v>3102</v>
      </c>
      <c r="Q1686" t="s">
        <v>3255</v>
      </c>
      <c r="R1686" t="s">
        <v>3258</v>
      </c>
      <c r="S1686" t="s">
        <v>3271</v>
      </c>
      <c r="X1686" t="s">
        <v>3354</v>
      </c>
      <c r="Y1686" t="s">
        <v>2677</v>
      </c>
      <c r="Z1686" t="s">
        <v>3362</v>
      </c>
      <c r="AA1686" t="s">
        <v>3406</v>
      </c>
      <c r="AB1686" t="s">
        <v>3419</v>
      </c>
      <c r="AC1686">
        <f>HYPERLINK("https://lsnyc.legalserver.org/matter/dynamic-profile/view/1859710","18-1859710")</f>
        <v>0</v>
      </c>
      <c r="AD1686" t="s">
        <v>3445</v>
      </c>
      <c r="AE1686" t="s">
        <v>3455</v>
      </c>
      <c r="AF1686" t="s">
        <v>4715</v>
      </c>
      <c r="AG1686" t="s">
        <v>3362</v>
      </c>
      <c r="AH1686" t="s">
        <v>4904</v>
      </c>
      <c r="AK1686" t="s">
        <v>4911</v>
      </c>
      <c r="AL1686" t="s">
        <v>2204</v>
      </c>
      <c r="AN1686" t="s">
        <v>3419</v>
      </c>
    </row>
    <row r="1687" spans="1:40">
      <c r="A1687" s="1" t="s">
        <v>1723</v>
      </c>
      <c r="B1687" t="s">
        <v>1998</v>
      </c>
      <c r="C1687" t="s">
        <v>2003</v>
      </c>
      <c r="D1687" t="s">
        <v>2052</v>
      </c>
      <c r="E1687" t="s">
        <v>2111</v>
      </c>
      <c r="F1687" t="s">
        <v>2114</v>
      </c>
      <c r="G1687" t="s">
        <v>2216</v>
      </c>
      <c r="H1687">
        <v>10312</v>
      </c>
      <c r="I1687" t="s">
        <v>2229</v>
      </c>
      <c r="J1687">
        <v>4</v>
      </c>
      <c r="K1687">
        <v>2</v>
      </c>
      <c r="L1687" t="s">
        <v>2621</v>
      </c>
      <c r="M1687" t="s">
        <v>2677</v>
      </c>
      <c r="P1687" t="s">
        <v>3103</v>
      </c>
      <c r="Q1687" t="s">
        <v>2113</v>
      </c>
      <c r="R1687" t="s">
        <v>3259</v>
      </c>
      <c r="S1687" t="s">
        <v>3267</v>
      </c>
      <c r="X1687" t="s">
        <v>3354</v>
      </c>
      <c r="Y1687" t="s">
        <v>2678</v>
      </c>
      <c r="Z1687" t="s">
        <v>3359</v>
      </c>
      <c r="AA1687" t="s">
        <v>3406</v>
      </c>
      <c r="AB1687" t="s">
        <v>3415</v>
      </c>
      <c r="AC1687">
        <f>HYPERLINK("https://lsnyc.legalserver.org/matter/dynamic-profile/view/1860042","18-1860042")</f>
        <v>0</v>
      </c>
      <c r="AD1687" t="s">
        <v>3447</v>
      </c>
      <c r="AE1687" t="s">
        <v>3463</v>
      </c>
      <c r="AF1687" t="s">
        <v>4716</v>
      </c>
      <c r="AG1687" t="s">
        <v>3359</v>
      </c>
      <c r="AH1687" t="s">
        <v>4906</v>
      </c>
      <c r="AK1687" t="s">
        <v>4911</v>
      </c>
      <c r="AL1687" t="s">
        <v>2114</v>
      </c>
      <c r="AN1687" t="s">
        <v>3415</v>
      </c>
    </row>
    <row r="1688" spans="1:40">
      <c r="A1688" s="1" t="s">
        <v>1724</v>
      </c>
      <c r="B1688" t="s">
        <v>1998</v>
      </c>
      <c r="C1688" t="s">
        <v>2001</v>
      </c>
      <c r="D1688" t="s">
        <v>2053</v>
      </c>
      <c r="E1688" t="s">
        <v>2112</v>
      </c>
      <c r="F1688" t="s">
        <v>2114</v>
      </c>
      <c r="G1688" t="s">
        <v>2216</v>
      </c>
      <c r="H1688">
        <v>10312</v>
      </c>
      <c r="I1688" t="s">
        <v>2229</v>
      </c>
      <c r="J1688">
        <v>4</v>
      </c>
      <c r="K1688">
        <v>2</v>
      </c>
      <c r="L1688" t="s">
        <v>2621</v>
      </c>
      <c r="M1688" t="s">
        <v>2677</v>
      </c>
      <c r="P1688" t="s">
        <v>3103</v>
      </c>
      <c r="Q1688" t="s">
        <v>2113</v>
      </c>
      <c r="R1688" t="s">
        <v>3259</v>
      </c>
      <c r="S1688" t="s">
        <v>3267</v>
      </c>
      <c r="X1688" t="s">
        <v>3354</v>
      </c>
      <c r="Y1688" t="s">
        <v>2678</v>
      </c>
      <c r="Z1688" t="s">
        <v>3359</v>
      </c>
      <c r="AA1688" t="s">
        <v>3406</v>
      </c>
      <c r="AB1688" t="s">
        <v>3415</v>
      </c>
      <c r="AC1688">
        <f>HYPERLINK("https://lsnyc.legalserver.org/matter/dynamic-profile/view/1860046","18-1860046")</f>
        <v>0</v>
      </c>
      <c r="AD1688" t="s">
        <v>3447</v>
      </c>
      <c r="AE1688" t="s">
        <v>3463</v>
      </c>
      <c r="AF1688" t="s">
        <v>4717</v>
      </c>
      <c r="AG1688" t="s">
        <v>3359</v>
      </c>
      <c r="AH1688" t="s">
        <v>4906</v>
      </c>
      <c r="AK1688" t="s">
        <v>4911</v>
      </c>
      <c r="AL1688" t="s">
        <v>2114</v>
      </c>
      <c r="AN1688" t="s">
        <v>3415</v>
      </c>
    </row>
    <row r="1689" spans="1:40">
      <c r="A1689" s="1" t="s">
        <v>1725</v>
      </c>
      <c r="B1689" t="s">
        <v>2015</v>
      </c>
      <c r="C1689" t="s">
        <v>2001</v>
      </c>
      <c r="D1689" t="s">
        <v>2045</v>
      </c>
      <c r="E1689" t="s">
        <v>2111</v>
      </c>
      <c r="F1689" t="s">
        <v>2134</v>
      </c>
      <c r="G1689" t="s">
        <v>2214</v>
      </c>
      <c r="H1689">
        <v>11234</v>
      </c>
      <c r="I1689" t="s">
        <v>2232</v>
      </c>
      <c r="J1689">
        <v>1</v>
      </c>
      <c r="K1689">
        <v>0</v>
      </c>
      <c r="L1689" t="s">
        <v>2300</v>
      </c>
      <c r="M1689" t="s">
        <v>2678</v>
      </c>
      <c r="N1689" t="s">
        <v>2679</v>
      </c>
      <c r="O1689" t="s">
        <v>2684</v>
      </c>
      <c r="P1689" t="s">
        <v>3104</v>
      </c>
      <c r="Q1689" t="s">
        <v>2113</v>
      </c>
      <c r="R1689" t="s">
        <v>3259</v>
      </c>
      <c r="S1689" t="s">
        <v>3268</v>
      </c>
      <c r="X1689" t="s">
        <v>3354</v>
      </c>
      <c r="Y1689" t="s">
        <v>2677</v>
      </c>
      <c r="Z1689" t="s">
        <v>3368</v>
      </c>
      <c r="AA1689" t="s">
        <v>3406</v>
      </c>
      <c r="AB1689" t="s">
        <v>3416</v>
      </c>
      <c r="AC1689">
        <f>HYPERLINK("https://lsnyc.legalserver.org/matter/dynamic-profile/view/1859346","18-1859346")</f>
        <v>0</v>
      </c>
      <c r="AD1689" t="s">
        <v>3445</v>
      </c>
      <c r="AE1689" t="s">
        <v>3455</v>
      </c>
      <c r="AF1689" t="s">
        <v>4718</v>
      </c>
      <c r="AG1689" t="s">
        <v>3368</v>
      </c>
      <c r="AH1689" t="s">
        <v>4904</v>
      </c>
      <c r="AK1689" t="s">
        <v>4911</v>
      </c>
      <c r="AL1689" t="s">
        <v>2134</v>
      </c>
      <c r="AN1689" t="s">
        <v>3416</v>
      </c>
    </row>
    <row r="1690" spans="1:40">
      <c r="A1690" s="1" t="s">
        <v>1726</v>
      </c>
      <c r="B1690" t="s">
        <v>1998</v>
      </c>
      <c r="C1690" t="s">
        <v>2001</v>
      </c>
      <c r="D1690" t="s">
        <v>2060</v>
      </c>
      <c r="E1690" t="s">
        <v>2111</v>
      </c>
      <c r="F1690" t="s">
        <v>2194</v>
      </c>
      <c r="G1690" t="s">
        <v>2213</v>
      </c>
      <c r="H1690">
        <v>10472</v>
      </c>
      <c r="I1690" t="s">
        <v>2230</v>
      </c>
      <c r="J1690">
        <v>1</v>
      </c>
      <c r="K1690">
        <v>0</v>
      </c>
      <c r="L1690" t="s">
        <v>2260</v>
      </c>
      <c r="M1690" t="s">
        <v>2677</v>
      </c>
      <c r="P1690" t="s">
        <v>3105</v>
      </c>
      <c r="Q1690" t="s">
        <v>2113</v>
      </c>
      <c r="R1690" t="s">
        <v>3259</v>
      </c>
      <c r="S1690" t="s">
        <v>3267</v>
      </c>
      <c r="T1690" t="s">
        <v>3294</v>
      </c>
      <c r="U1690" t="s">
        <v>3323</v>
      </c>
      <c r="X1690" t="s">
        <v>3354</v>
      </c>
      <c r="Y1690" t="s">
        <v>2678</v>
      </c>
      <c r="Z1690" t="s">
        <v>3380</v>
      </c>
      <c r="AA1690" t="s">
        <v>3406</v>
      </c>
      <c r="AB1690" t="s">
        <v>3415</v>
      </c>
      <c r="AC1690">
        <f>HYPERLINK("https://lsnyc.legalserver.org/matter/dynamic-profile/view/1859398","18-1859398")</f>
        <v>0</v>
      </c>
      <c r="AD1690" t="s">
        <v>3444</v>
      </c>
      <c r="AE1690" t="s">
        <v>3451</v>
      </c>
      <c r="AF1690" t="s">
        <v>4719</v>
      </c>
      <c r="AG1690" t="s">
        <v>3380</v>
      </c>
      <c r="AH1690" t="s">
        <v>4904</v>
      </c>
      <c r="AK1690" t="s">
        <v>4911</v>
      </c>
      <c r="AL1690" t="s">
        <v>2194</v>
      </c>
      <c r="AM1690" t="s">
        <v>3294</v>
      </c>
      <c r="AN1690" t="s">
        <v>3415</v>
      </c>
    </row>
    <row r="1691" spans="1:40">
      <c r="A1691" s="1" t="s">
        <v>1727</v>
      </c>
      <c r="B1691" t="s">
        <v>1998</v>
      </c>
      <c r="C1691" t="s">
        <v>2001</v>
      </c>
      <c r="D1691" t="s">
        <v>2056</v>
      </c>
      <c r="E1691" t="s">
        <v>2112</v>
      </c>
      <c r="F1691" t="s">
        <v>2179</v>
      </c>
      <c r="G1691" t="s">
        <v>2212</v>
      </c>
      <c r="H1691">
        <v>11432</v>
      </c>
      <c r="I1691" t="s">
        <v>2230</v>
      </c>
      <c r="J1691">
        <v>8</v>
      </c>
      <c r="K1691">
        <v>7</v>
      </c>
      <c r="L1691" t="s">
        <v>2281</v>
      </c>
      <c r="M1691" t="s">
        <v>2677</v>
      </c>
      <c r="P1691" t="s">
        <v>3104</v>
      </c>
      <c r="Q1691" t="s">
        <v>2113</v>
      </c>
      <c r="R1691" t="s">
        <v>3258</v>
      </c>
      <c r="S1691" t="s">
        <v>3262</v>
      </c>
      <c r="T1691" t="s">
        <v>3294</v>
      </c>
      <c r="U1691" t="s">
        <v>3103</v>
      </c>
      <c r="X1691" t="s">
        <v>3354</v>
      </c>
      <c r="Y1691" t="s">
        <v>2678</v>
      </c>
      <c r="Z1691" t="s">
        <v>3355</v>
      </c>
      <c r="AA1691" t="s">
        <v>3406</v>
      </c>
      <c r="AB1691" t="s">
        <v>3410</v>
      </c>
      <c r="AC1691">
        <f>HYPERLINK("https://lsnyc.legalserver.org/matter/dynamic-profile/view/1859534","18-1859534")</f>
        <v>0</v>
      </c>
      <c r="AD1691" t="s">
        <v>3443</v>
      </c>
      <c r="AE1691" t="s">
        <v>3457</v>
      </c>
      <c r="AF1691" t="s">
        <v>4720</v>
      </c>
      <c r="AG1691" t="s">
        <v>3355</v>
      </c>
      <c r="AH1691" t="s">
        <v>4904</v>
      </c>
      <c r="AK1691" t="s">
        <v>4911</v>
      </c>
      <c r="AL1691" t="s">
        <v>2179</v>
      </c>
      <c r="AM1691" t="s">
        <v>3294</v>
      </c>
      <c r="AN1691" t="s">
        <v>3410</v>
      </c>
    </row>
    <row r="1692" spans="1:40">
      <c r="A1692" s="1" t="s">
        <v>1728</v>
      </c>
      <c r="B1692" t="s">
        <v>1998</v>
      </c>
      <c r="C1692" t="s">
        <v>1998</v>
      </c>
      <c r="D1692" t="s">
        <v>2094</v>
      </c>
      <c r="E1692" t="s">
        <v>2111</v>
      </c>
      <c r="F1692" t="s">
        <v>2123</v>
      </c>
      <c r="G1692" t="s">
        <v>2213</v>
      </c>
      <c r="H1692">
        <v>10456</v>
      </c>
      <c r="I1692" t="s">
        <v>2229</v>
      </c>
      <c r="J1692">
        <v>2</v>
      </c>
      <c r="K1692">
        <v>0</v>
      </c>
      <c r="L1692" t="s">
        <v>2299</v>
      </c>
      <c r="M1692" t="s">
        <v>2677</v>
      </c>
      <c r="P1692" t="s">
        <v>3106</v>
      </c>
      <c r="Q1692" t="s">
        <v>2113</v>
      </c>
      <c r="R1692" t="s">
        <v>3259</v>
      </c>
      <c r="S1692" t="s">
        <v>3270</v>
      </c>
      <c r="X1692" t="s">
        <v>3354</v>
      </c>
      <c r="Y1692" t="s">
        <v>2677</v>
      </c>
      <c r="Z1692" t="s">
        <v>3362</v>
      </c>
      <c r="AA1692" t="s">
        <v>3406</v>
      </c>
      <c r="AB1692" t="s">
        <v>3418</v>
      </c>
      <c r="AC1692">
        <f>HYPERLINK("https://lsnyc.legalserver.org/matter/dynamic-profile/view/1859179","18-1859179")</f>
        <v>0</v>
      </c>
      <c r="AD1692" t="s">
        <v>3445</v>
      </c>
      <c r="AE1692" t="s">
        <v>3455</v>
      </c>
      <c r="AF1692" t="s">
        <v>4721</v>
      </c>
      <c r="AG1692" t="s">
        <v>3362</v>
      </c>
      <c r="AH1692" t="s">
        <v>4904</v>
      </c>
      <c r="AK1692" t="s">
        <v>4911</v>
      </c>
      <c r="AL1692" t="s">
        <v>2123</v>
      </c>
      <c r="AN1692" t="s">
        <v>3418</v>
      </c>
    </row>
    <row r="1693" spans="1:40">
      <c r="A1693" s="1" t="s">
        <v>1729</v>
      </c>
      <c r="B1693" t="s">
        <v>2001</v>
      </c>
      <c r="C1693" t="s">
        <v>2016</v>
      </c>
      <c r="D1693" t="s">
        <v>2050</v>
      </c>
      <c r="E1693" t="s">
        <v>2112</v>
      </c>
      <c r="F1693" t="s">
        <v>2123</v>
      </c>
      <c r="G1693" t="s">
        <v>2211</v>
      </c>
      <c r="H1693">
        <v>10453</v>
      </c>
      <c r="I1693" t="s">
        <v>2229</v>
      </c>
      <c r="J1693">
        <v>3</v>
      </c>
      <c r="K1693">
        <v>0</v>
      </c>
      <c r="L1693" t="s">
        <v>2622</v>
      </c>
      <c r="M1693" t="s">
        <v>2677</v>
      </c>
      <c r="P1693" t="s">
        <v>2747</v>
      </c>
      <c r="Q1693" t="s">
        <v>2113</v>
      </c>
      <c r="R1693" t="s">
        <v>3259</v>
      </c>
      <c r="S1693" t="s">
        <v>3287</v>
      </c>
      <c r="T1693" t="s">
        <v>3294</v>
      </c>
      <c r="U1693" t="s">
        <v>3090</v>
      </c>
      <c r="X1693" t="s">
        <v>3354</v>
      </c>
      <c r="Y1693" t="s">
        <v>2678</v>
      </c>
      <c r="Z1693" t="s">
        <v>3378</v>
      </c>
      <c r="AA1693" t="s">
        <v>3406</v>
      </c>
      <c r="AB1693" t="s">
        <v>3435</v>
      </c>
      <c r="AC1693">
        <f>HYPERLINK("https://lsnyc.legalserver.org/matter/dynamic-profile/view/1859037","18-1859037")</f>
        <v>0</v>
      </c>
      <c r="AD1693" t="s">
        <v>3444</v>
      </c>
      <c r="AE1693" t="s">
        <v>3451</v>
      </c>
      <c r="AF1693" t="s">
        <v>4722</v>
      </c>
      <c r="AG1693" t="s">
        <v>3378</v>
      </c>
      <c r="AH1693" t="s">
        <v>4904</v>
      </c>
      <c r="AL1693" t="s">
        <v>2123</v>
      </c>
      <c r="AM1693" t="s">
        <v>3294</v>
      </c>
      <c r="AN1693" t="s">
        <v>3435</v>
      </c>
    </row>
    <row r="1694" spans="1:40">
      <c r="A1694" s="1" t="s">
        <v>1730</v>
      </c>
      <c r="B1694" t="s">
        <v>2001</v>
      </c>
      <c r="C1694" t="s">
        <v>2002</v>
      </c>
      <c r="D1694" t="s">
        <v>2099</v>
      </c>
      <c r="E1694" t="s">
        <v>2112</v>
      </c>
      <c r="F1694" t="s">
        <v>2123</v>
      </c>
      <c r="G1694" t="s">
        <v>2213</v>
      </c>
      <c r="H1694">
        <v>10460</v>
      </c>
      <c r="I1694" t="s">
        <v>2229</v>
      </c>
      <c r="J1694">
        <v>6</v>
      </c>
      <c r="K1694">
        <v>1</v>
      </c>
      <c r="L1694" t="s">
        <v>2623</v>
      </c>
      <c r="M1694" t="s">
        <v>2677</v>
      </c>
      <c r="P1694" t="s">
        <v>3107</v>
      </c>
      <c r="Q1694" t="s">
        <v>2113</v>
      </c>
      <c r="R1694" t="s">
        <v>3258</v>
      </c>
      <c r="S1694" t="s">
        <v>3271</v>
      </c>
      <c r="X1694" t="s">
        <v>3354</v>
      </c>
      <c r="Y1694" t="s">
        <v>2677</v>
      </c>
      <c r="Z1694" t="s">
        <v>3362</v>
      </c>
      <c r="AA1694" t="s">
        <v>3406</v>
      </c>
      <c r="AB1694" t="s">
        <v>3419</v>
      </c>
      <c r="AC1694">
        <f>HYPERLINK("https://lsnyc.legalserver.org/matter/dynamic-profile/view/1859051","18-1859051")</f>
        <v>0</v>
      </c>
      <c r="AD1694" t="s">
        <v>3445</v>
      </c>
      <c r="AE1694" t="s">
        <v>3455</v>
      </c>
      <c r="AF1694" t="s">
        <v>4723</v>
      </c>
      <c r="AG1694" t="s">
        <v>3362</v>
      </c>
      <c r="AH1694" t="s">
        <v>4904</v>
      </c>
      <c r="AK1694" t="s">
        <v>4911</v>
      </c>
      <c r="AL1694" t="s">
        <v>2123</v>
      </c>
      <c r="AN1694" t="s">
        <v>3419</v>
      </c>
    </row>
    <row r="1695" spans="1:40">
      <c r="A1695" s="1" t="s">
        <v>1731</v>
      </c>
      <c r="B1695" t="s">
        <v>2002</v>
      </c>
      <c r="C1695" t="s">
        <v>2001</v>
      </c>
      <c r="D1695" t="s">
        <v>2100</v>
      </c>
      <c r="E1695" t="s">
        <v>2111</v>
      </c>
      <c r="F1695" t="s">
        <v>2123</v>
      </c>
      <c r="G1695" t="s">
        <v>2213</v>
      </c>
      <c r="H1695">
        <v>10467</v>
      </c>
      <c r="I1695" t="s">
        <v>2229</v>
      </c>
      <c r="J1695">
        <v>1</v>
      </c>
      <c r="K1695">
        <v>0</v>
      </c>
      <c r="L1695" t="s">
        <v>2414</v>
      </c>
      <c r="M1695" t="s">
        <v>2677</v>
      </c>
      <c r="P1695" t="s">
        <v>2953</v>
      </c>
      <c r="Q1695" t="s">
        <v>2113</v>
      </c>
      <c r="R1695" t="s">
        <v>3258</v>
      </c>
      <c r="S1695" t="s">
        <v>3271</v>
      </c>
      <c r="X1695" t="s">
        <v>3354</v>
      </c>
      <c r="Y1695" t="s">
        <v>2677</v>
      </c>
      <c r="Z1695" t="s">
        <v>3362</v>
      </c>
      <c r="AA1695" t="s">
        <v>3406</v>
      </c>
      <c r="AB1695" t="s">
        <v>3419</v>
      </c>
      <c r="AC1695">
        <f>HYPERLINK("https://lsnyc.legalserver.org/matter/dynamic-profile/view/1859083","18-1859083")</f>
        <v>0</v>
      </c>
      <c r="AD1695" t="s">
        <v>3445</v>
      </c>
      <c r="AE1695" t="s">
        <v>3455</v>
      </c>
      <c r="AF1695" t="s">
        <v>3955</v>
      </c>
      <c r="AG1695" t="s">
        <v>3362</v>
      </c>
      <c r="AH1695" t="s">
        <v>4904</v>
      </c>
      <c r="AK1695" t="s">
        <v>4911</v>
      </c>
      <c r="AL1695" t="s">
        <v>2123</v>
      </c>
      <c r="AN1695" t="s">
        <v>3419</v>
      </c>
    </row>
    <row r="1696" spans="1:40">
      <c r="A1696" s="1" t="s">
        <v>1732</v>
      </c>
      <c r="B1696" t="s">
        <v>2014</v>
      </c>
      <c r="C1696" t="s">
        <v>1998</v>
      </c>
      <c r="D1696" t="s">
        <v>2034</v>
      </c>
      <c r="E1696" t="s">
        <v>2111</v>
      </c>
      <c r="F1696" t="s">
        <v>2125</v>
      </c>
      <c r="G1696" t="s">
        <v>2213</v>
      </c>
      <c r="H1696">
        <v>10453</v>
      </c>
      <c r="I1696" t="s">
        <v>2234</v>
      </c>
      <c r="J1696">
        <v>2</v>
      </c>
      <c r="K1696">
        <v>0</v>
      </c>
      <c r="L1696" t="s">
        <v>2260</v>
      </c>
      <c r="M1696" t="s">
        <v>2677</v>
      </c>
      <c r="P1696" t="s">
        <v>2767</v>
      </c>
      <c r="Q1696" t="s">
        <v>2113</v>
      </c>
      <c r="R1696" t="s">
        <v>3259</v>
      </c>
      <c r="S1696" t="s">
        <v>3272</v>
      </c>
      <c r="T1696" t="s">
        <v>3294</v>
      </c>
      <c r="U1696" t="s">
        <v>3102</v>
      </c>
      <c r="X1696" t="s">
        <v>3354</v>
      </c>
      <c r="Y1696" t="s">
        <v>2678</v>
      </c>
      <c r="Z1696" t="s">
        <v>3364</v>
      </c>
      <c r="AA1696" t="s">
        <v>3406</v>
      </c>
      <c r="AB1696" t="s">
        <v>3420</v>
      </c>
      <c r="AC1696">
        <f>HYPERLINK("https://lsnyc.legalserver.org/matter/dynamic-profile/view/1859133","18-1859133")</f>
        <v>0</v>
      </c>
      <c r="AD1696" t="s">
        <v>3444</v>
      </c>
      <c r="AE1696" t="s">
        <v>3451</v>
      </c>
      <c r="AF1696" t="s">
        <v>4724</v>
      </c>
      <c r="AG1696" t="s">
        <v>3364</v>
      </c>
      <c r="AH1696" t="s">
        <v>4904</v>
      </c>
      <c r="AI1696" t="s">
        <v>4909</v>
      </c>
      <c r="AL1696" t="s">
        <v>2125</v>
      </c>
      <c r="AM1696" t="s">
        <v>3294</v>
      </c>
      <c r="AN1696" t="s">
        <v>3420</v>
      </c>
    </row>
    <row r="1697" spans="1:41">
      <c r="A1697" s="1" t="s">
        <v>1733</v>
      </c>
      <c r="B1697" t="s">
        <v>2000</v>
      </c>
      <c r="C1697" t="s">
        <v>2017</v>
      </c>
      <c r="D1697" t="s">
        <v>2048</v>
      </c>
      <c r="E1697" t="s">
        <v>2112</v>
      </c>
      <c r="F1697" t="s">
        <v>2202</v>
      </c>
      <c r="G1697" t="s">
        <v>2212</v>
      </c>
      <c r="H1697">
        <v>11433</v>
      </c>
      <c r="I1697" t="s">
        <v>2230</v>
      </c>
      <c r="J1697">
        <v>2</v>
      </c>
      <c r="K1697">
        <v>1</v>
      </c>
      <c r="L1697" t="s">
        <v>2585</v>
      </c>
      <c r="M1697" t="s">
        <v>2677</v>
      </c>
      <c r="P1697" t="s">
        <v>3108</v>
      </c>
      <c r="Q1697" t="s">
        <v>2113</v>
      </c>
      <c r="R1697" t="s">
        <v>3259</v>
      </c>
      <c r="S1697" t="s">
        <v>3270</v>
      </c>
      <c r="X1697" t="s">
        <v>3354</v>
      </c>
      <c r="Y1697" t="s">
        <v>2677</v>
      </c>
      <c r="Z1697" t="s">
        <v>3378</v>
      </c>
      <c r="AA1697" t="s">
        <v>3406</v>
      </c>
      <c r="AB1697" t="s">
        <v>3418</v>
      </c>
      <c r="AC1697">
        <f>HYPERLINK("https://lsnyc.legalserver.org/matter/dynamic-profile/view/1858859","18-1858859")</f>
        <v>0</v>
      </c>
      <c r="AD1697" t="s">
        <v>3445</v>
      </c>
      <c r="AE1697" t="s">
        <v>3455</v>
      </c>
      <c r="AF1697" t="s">
        <v>4626</v>
      </c>
      <c r="AG1697" t="s">
        <v>3378</v>
      </c>
      <c r="AH1697" t="s">
        <v>4904</v>
      </c>
      <c r="AK1697" t="s">
        <v>4911</v>
      </c>
      <c r="AL1697" t="s">
        <v>2202</v>
      </c>
      <c r="AN1697" t="s">
        <v>3418</v>
      </c>
    </row>
    <row r="1698" spans="1:41">
      <c r="A1698" s="1" t="s">
        <v>1734</v>
      </c>
      <c r="B1698" t="s">
        <v>1998</v>
      </c>
      <c r="C1698" t="s">
        <v>2001</v>
      </c>
      <c r="D1698" t="s">
        <v>2034</v>
      </c>
      <c r="E1698" t="s">
        <v>2111</v>
      </c>
      <c r="F1698" t="s">
        <v>2160</v>
      </c>
      <c r="G1698" t="s">
        <v>2214</v>
      </c>
      <c r="H1698">
        <v>11208</v>
      </c>
      <c r="I1698" t="s">
        <v>2230</v>
      </c>
      <c r="J1698">
        <v>1</v>
      </c>
      <c r="K1698">
        <v>0</v>
      </c>
      <c r="L1698" t="s">
        <v>2624</v>
      </c>
      <c r="M1698" t="s">
        <v>2677</v>
      </c>
      <c r="P1698" t="s">
        <v>3108</v>
      </c>
      <c r="Q1698" t="s">
        <v>3255</v>
      </c>
      <c r="R1698" t="s">
        <v>3258</v>
      </c>
      <c r="S1698" t="s">
        <v>3271</v>
      </c>
      <c r="X1698" t="s">
        <v>3354</v>
      </c>
      <c r="Y1698" t="s">
        <v>2677</v>
      </c>
      <c r="Z1698" t="s">
        <v>3362</v>
      </c>
      <c r="AA1698" t="s">
        <v>3406</v>
      </c>
      <c r="AB1698" t="s">
        <v>3419</v>
      </c>
      <c r="AC1698">
        <f>HYPERLINK("https://lsnyc.legalserver.org/matter/dynamic-profile/view/1858865","18-1858865")</f>
        <v>0</v>
      </c>
      <c r="AD1698" t="s">
        <v>3445</v>
      </c>
      <c r="AE1698" t="s">
        <v>3455</v>
      </c>
      <c r="AF1698" t="s">
        <v>4725</v>
      </c>
      <c r="AG1698" t="s">
        <v>3362</v>
      </c>
      <c r="AH1698" t="s">
        <v>4904</v>
      </c>
      <c r="AK1698" t="s">
        <v>4911</v>
      </c>
      <c r="AL1698" t="s">
        <v>2160</v>
      </c>
      <c r="AN1698" t="s">
        <v>3419</v>
      </c>
    </row>
    <row r="1699" spans="1:41">
      <c r="A1699" s="1" t="s">
        <v>1735</v>
      </c>
      <c r="B1699" t="s">
        <v>2000</v>
      </c>
      <c r="C1699" t="s">
        <v>2000</v>
      </c>
      <c r="D1699" t="s">
        <v>2031</v>
      </c>
      <c r="E1699" t="s">
        <v>2111</v>
      </c>
      <c r="F1699" t="s">
        <v>2143</v>
      </c>
      <c r="G1699" t="s">
        <v>2211</v>
      </c>
      <c r="H1699">
        <v>10039</v>
      </c>
      <c r="I1699" t="s">
        <v>2230</v>
      </c>
      <c r="J1699">
        <v>2</v>
      </c>
      <c r="K1699">
        <v>0</v>
      </c>
      <c r="L1699" t="s">
        <v>2316</v>
      </c>
      <c r="M1699" t="s">
        <v>2677</v>
      </c>
      <c r="P1699" t="s">
        <v>3108</v>
      </c>
      <c r="Q1699" t="s">
        <v>2113</v>
      </c>
      <c r="R1699" t="s">
        <v>3258</v>
      </c>
      <c r="S1699" t="s">
        <v>3279</v>
      </c>
      <c r="X1699" t="s">
        <v>3354</v>
      </c>
      <c r="Y1699" t="s">
        <v>2677</v>
      </c>
      <c r="Z1699" t="s">
        <v>3377</v>
      </c>
      <c r="AA1699" t="s">
        <v>3406</v>
      </c>
      <c r="AB1699" t="s">
        <v>3427</v>
      </c>
      <c r="AC1699">
        <f>HYPERLINK("https://lsnyc.legalserver.org/matter/dynamic-profile/view/1858909","18-1858909")</f>
        <v>0</v>
      </c>
      <c r="AD1699" t="s">
        <v>3445</v>
      </c>
      <c r="AE1699" t="s">
        <v>3455</v>
      </c>
      <c r="AF1699" t="s">
        <v>4726</v>
      </c>
      <c r="AG1699" t="s">
        <v>3377</v>
      </c>
      <c r="AH1699" t="s">
        <v>4904</v>
      </c>
      <c r="AK1699" t="s">
        <v>4911</v>
      </c>
      <c r="AL1699" t="s">
        <v>2143</v>
      </c>
      <c r="AN1699" t="s">
        <v>3427</v>
      </c>
    </row>
    <row r="1700" spans="1:41">
      <c r="A1700" s="1" t="s">
        <v>1736</v>
      </c>
      <c r="B1700" t="s">
        <v>1998</v>
      </c>
      <c r="C1700" t="s">
        <v>1998</v>
      </c>
      <c r="D1700" t="s">
        <v>2068</v>
      </c>
      <c r="E1700" t="s">
        <v>2112</v>
      </c>
      <c r="F1700" t="s">
        <v>2139</v>
      </c>
      <c r="G1700" t="s">
        <v>2212</v>
      </c>
      <c r="H1700">
        <v>11422</v>
      </c>
      <c r="I1700" t="s">
        <v>2247</v>
      </c>
      <c r="J1700">
        <v>1</v>
      </c>
      <c r="K1700">
        <v>0</v>
      </c>
      <c r="L1700" t="s">
        <v>2285</v>
      </c>
      <c r="M1700" t="s">
        <v>2677</v>
      </c>
      <c r="P1700" t="s">
        <v>3108</v>
      </c>
      <c r="Q1700" t="s">
        <v>2113</v>
      </c>
      <c r="R1700" t="s">
        <v>3258</v>
      </c>
      <c r="S1700" t="s">
        <v>3273</v>
      </c>
      <c r="X1700" t="s">
        <v>3354</v>
      </c>
      <c r="Y1700" t="s">
        <v>2677</v>
      </c>
      <c r="Z1700" t="s">
        <v>3365</v>
      </c>
      <c r="AA1700" t="s">
        <v>3406</v>
      </c>
      <c r="AB1700" t="s">
        <v>3421</v>
      </c>
      <c r="AC1700">
        <f>HYPERLINK("https://lsnyc.legalserver.org/matter/dynamic-profile/view/1858995","18-1858995")</f>
        <v>0</v>
      </c>
      <c r="AD1700" t="s">
        <v>3445</v>
      </c>
      <c r="AE1700" t="s">
        <v>3455</v>
      </c>
      <c r="AF1700" t="s">
        <v>4622</v>
      </c>
      <c r="AG1700" t="s">
        <v>3365</v>
      </c>
      <c r="AH1700" t="s">
        <v>4904</v>
      </c>
      <c r="AK1700" t="s">
        <v>4911</v>
      </c>
      <c r="AL1700" t="s">
        <v>2139</v>
      </c>
      <c r="AN1700" t="s">
        <v>3421</v>
      </c>
    </row>
    <row r="1701" spans="1:41">
      <c r="A1701" s="1" t="s">
        <v>1737</v>
      </c>
      <c r="B1701" t="s">
        <v>2001</v>
      </c>
      <c r="C1701" t="s">
        <v>1998</v>
      </c>
      <c r="D1701" t="s">
        <v>2049</v>
      </c>
      <c r="E1701" t="s">
        <v>2112</v>
      </c>
      <c r="F1701" t="s">
        <v>2121</v>
      </c>
      <c r="G1701" t="s">
        <v>2212</v>
      </c>
      <c r="H1701">
        <v>11420</v>
      </c>
      <c r="I1701" t="s">
        <v>2230</v>
      </c>
      <c r="J1701">
        <v>4</v>
      </c>
      <c r="K1701">
        <v>2</v>
      </c>
      <c r="L1701" t="s">
        <v>2260</v>
      </c>
      <c r="M1701" t="s">
        <v>2677</v>
      </c>
      <c r="P1701" t="s">
        <v>2746</v>
      </c>
      <c r="Q1701" t="s">
        <v>2113</v>
      </c>
      <c r="R1701" t="s">
        <v>3259</v>
      </c>
      <c r="S1701" t="s">
        <v>3267</v>
      </c>
      <c r="T1701" t="s">
        <v>3294</v>
      </c>
      <c r="V1701" t="s">
        <v>3352</v>
      </c>
      <c r="X1701" t="s">
        <v>3354</v>
      </c>
      <c r="Y1701" t="s">
        <v>2678</v>
      </c>
      <c r="Z1701" t="s">
        <v>3359</v>
      </c>
      <c r="AA1701" t="s">
        <v>3406</v>
      </c>
      <c r="AB1701" t="s">
        <v>3415</v>
      </c>
      <c r="AC1701">
        <f>HYPERLINK("https://lsnyc.legalserver.org/matter/dynamic-profile/view/1859241","18-1859241")</f>
        <v>0</v>
      </c>
      <c r="AD1701" t="s">
        <v>3443</v>
      </c>
      <c r="AE1701" t="s">
        <v>3450</v>
      </c>
      <c r="AF1701" t="s">
        <v>4727</v>
      </c>
      <c r="AG1701" t="s">
        <v>3359</v>
      </c>
      <c r="AH1701" t="s">
        <v>4906</v>
      </c>
      <c r="AL1701" t="s">
        <v>2121</v>
      </c>
      <c r="AM1701" t="s">
        <v>3294</v>
      </c>
      <c r="AN1701" t="s">
        <v>3415</v>
      </c>
      <c r="AO1701" t="s">
        <v>3352</v>
      </c>
    </row>
    <row r="1702" spans="1:41">
      <c r="A1702" s="1" t="s">
        <v>1738</v>
      </c>
      <c r="B1702" t="s">
        <v>2000</v>
      </c>
      <c r="C1702" t="s">
        <v>2012</v>
      </c>
      <c r="D1702" t="s">
        <v>2048</v>
      </c>
      <c r="E1702" t="s">
        <v>2112</v>
      </c>
      <c r="F1702" t="s">
        <v>2152</v>
      </c>
      <c r="G1702" t="s">
        <v>2214</v>
      </c>
      <c r="H1702">
        <v>11206</v>
      </c>
      <c r="I1702" t="s">
        <v>2230</v>
      </c>
      <c r="J1702">
        <v>1</v>
      </c>
      <c r="K1702">
        <v>0</v>
      </c>
      <c r="L1702" t="s">
        <v>2285</v>
      </c>
      <c r="M1702" t="s">
        <v>2677</v>
      </c>
      <c r="P1702" t="s">
        <v>3109</v>
      </c>
      <c r="Q1702" t="s">
        <v>3255</v>
      </c>
      <c r="R1702" t="s">
        <v>3258</v>
      </c>
      <c r="S1702" t="s">
        <v>3286</v>
      </c>
      <c r="X1702" t="s">
        <v>3354</v>
      </c>
      <c r="Y1702" t="s">
        <v>2677</v>
      </c>
      <c r="Z1702" t="s">
        <v>3388</v>
      </c>
      <c r="AA1702" t="s">
        <v>3406</v>
      </c>
      <c r="AB1702" t="s">
        <v>3434</v>
      </c>
      <c r="AC1702">
        <f>HYPERLINK("https://lsnyc.legalserver.org/matter/dynamic-profile/view/1858676","18-1858676")</f>
        <v>0</v>
      </c>
      <c r="AD1702" t="s">
        <v>3445</v>
      </c>
      <c r="AE1702" t="s">
        <v>3455</v>
      </c>
      <c r="AF1702" t="s">
        <v>4347</v>
      </c>
      <c r="AG1702" t="s">
        <v>3388</v>
      </c>
      <c r="AH1702" t="s">
        <v>4904</v>
      </c>
      <c r="AK1702" t="s">
        <v>4911</v>
      </c>
      <c r="AL1702" t="s">
        <v>2152</v>
      </c>
      <c r="AN1702" t="s">
        <v>3434</v>
      </c>
    </row>
    <row r="1703" spans="1:41">
      <c r="A1703" s="1" t="s">
        <v>1739</v>
      </c>
      <c r="B1703" t="s">
        <v>2000</v>
      </c>
      <c r="C1703" t="s">
        <v>2012</v>
      </c>
      <c r="D1703" t="s">
        <v>2048</v>
      </c>
      <c r="E1703" t="s">
        <v>2112</v>
      </c>
      <c r="F1703" t="s">
        <v>2152</v>
      </c>
      <c r="G1703" t="s">
        <v>2214</v>
      </c>
      <c r="H1703">
        <v>11206</v>
      </c>
      <c r="I1703" t="s">
        <v>2230</v>
      </c>
      <c r="J1703">
        <v>1</v>
      </c>
      <c r="K1703">
        <v>0</v>
      </c>
      <c r="L1703" t="s">
        <v>2285</v>
      </c>
      <c r="M1703" t="s">
        <v>2677</v>
      </c>
      <c r="P1703" t="s">
        <v>3109</v>
      </c>
      <c r="Q1703" t="s">
        <v>2113</v>
      </c>
      <c r="R1703" t="s">
        <v>3259</v>
      </c>
      <c r="S1703" t="s">
        <v>3287</v>
      </c>
      <c r="X1703" t="s">
        <v>3354</v>
      </c>
      <c r="Y1703" t="s">
        <v>2677</v>
      </c>
      <c r="Z1703" t="s">
        <v>3378</v>
      </c>
      <c r="AA1703" t="s">
        <v>3406</v>
      </c>
      <c r="AB1703" t="s">
        <v>3435</v>
      </c>
      <c r="AC1703">
        <f>HYPERLINK("https://lsnyc.legalserver.org/matter/dynamic-profile/view/1858684","18-1858684")</f>
        <v>0</v>
      </c>
      <c r="AD1703" t="s">
        <v>3445</v>
      </c>
      <c r="AE1703" t="s">
        <v>3455</v>
      </c>
      <c r="AF1703" t="s">
        <v>4347</v>
      </c>
      <c r="AG1703" t="s">
        <v>3378</v>
      </c>
      <c r="AH1703" t="s">
        <v>4904</v>
      </c>
      <c r="AK1703" t="s">
        <v>4911</v>
      </c>
      <c r="AL1703" t="s">
        <v>2152</v>
      </c>
      <c r="AN1703" t="s">
        <v>3435</v>
      </c>
    </row>
    <row r="1704" spans="1:41">
      <c r="A1704" s="1" t="s">
        <v>1740</v>
      </c>
      <c r="B1704" t="s">
        <v>2016</v>
      </c>
      <c r="C1704" t="s">
        <v>2001</v>
      </c>
      <c r="D1704" t="s">
        <v>2051</v>
      </c>
      <c r="E1704" t="s">
        <v>2111</v>
      </c>
      <c r="F1704" t="s">
        <v>2135</v>
      </c>
      <c r="G1704" t="s">
        <v>2212</v>
      </c>
      <c r="H1704">
        <v>11355</v>
      </c>
      <c r="I1704" t="s">
        <v>2229</v>
      </c>
      <c r="J1704">
        <v>7</v>
      </c>
      <c r="K1704">
        <v>5</v>
      </c>
      <c r="L1704" t="s">
        <v>2275</v>
      </c>
      <c r="M1704" t="s">
        <v>2677</v>
      </c>
      <c r="P1704" t="s">
        <v>3007</v>
      </c>
      <c r="Q1704" t="s">
        <v>2113</v>
      </c>
      <c r="R1704" t="s">
        <v>3259</v>
      </c>
      <c r="S1704" t="s">
        <v>3264</v>
      </c>
      <c r="X1704" t="s">
        <v>3354</v>
      </c>
      <c r="Y1704" t="s">
        <v>2677</v>
      </c>
      <c r="Z1704" t="s">
        <v>3357</v>
      </c>
      <c r="AA1704" t="s">
        <v>3406</v>
      </c>
      <c r="AB1704" t="s">
        <v>3412</v>
      </c>
      <c r="AC1704">
        <f>HYPERLINK("https://lsnyc.legalserver.org/matter/dynamic-profile/view/1858696","18-1858696")</f>
        <v>0</v>
      </c>
      <c r="AD1704" t="s">
        <v>3445</v>
      </c>
      <c r="AE1704" t="s">
        <v>3455</v>
      </c>
      <c r="AF1704" t="s">
        <v>4263</v>
      </c>
      <c r="AG1704" t="s">
        <v>3357</v>
      </c>
      <c r="AH1704" t="s">
        <v>4904</v>
      </c>
      <c r="AK1704" t="s">
        <v>4911</v>
      </c>
      <c r="AL1704" t="s">
        <v>2135</v>
      </c>
      <c r="AN1704" t="s">
        <v>3412</v>
      </c>
    </row>
    <row r="1705" spans="1:41">
      <c r="A1705" s="1" t="s">
        <v>1741</v>
      </c>
      <c r="B1705" t="s">
        <v>2009</v>
      </c>
      <c r="C1705" t="s">
        <v>1998</v>
      </c>
      <c r="D1705" t="s">
        <v>2060</v>
      </c>
      <c r="E1705" t="s">
        <v>2112</v>
      </c>
      <c r="F1705" t="s">
        <v>2127</v>
      </c>
      <c r="G1705" t="s">
        <v>2211</v>
      </c>
      <c r="H1705">
        <v>10036</v>
      </c>
      <c r="I1705" t="s">
        <v>2233</v>
      </c>
      <c r="J1705">
        <v>6</v>
      </c>
      <c r="K1705">
        <v>4</v>
      </c>
      <c r="L1705" t="s">
        <v>2427</v>
      </c>
      <c r="M1705" t="s">
        <v>2677</v>
      </c>
      <c r="P1705" t="s">
        <v>3109</v>
      </c>
      <c r="Q1705" t="s">
        <v>3255</v>
      </c>
      <c r="R1705" t="s">
        <v>3258</v>
      </c>
      <c r="S1705" t="s">
        <v>3271</v>
      </c>
      <c r="X1705" t="s">
        <v>3354</v>
      </c>
      <c r="Y1705" t="s">
        <v>2677</v>
      </c>
      <c r="Z1705" t="s">
        <v>3362</v>
      </c>
      <c r="AA1705" t="s">
        <v>3406</v>
      </c>
      <c r="AB1705" t="s">
        <v>3419</v>
      </c>
      <c r="AC1705">
        <f>HYPERLINK("https://lsnyc.legalserver.org/matter/dynamic-profile/view/1858753","18-1858753")</f>
        <v>0</v>
      </c>
      <c r="AD1705" t="s">
        <v>3445</v>
      </c>
      <c r="AE1705" t="s">
        <v>3455</v>
      </c>
      <c r="AF1705" t="s">
        <v>4728</v>
      </c>
      <c r="AG1705" t="s">
        <v>3362</v>
      </c>
      <c r="AH1705" t="s">
        <v>4904</v>
      </c>
      <c r="AK1705" t="s">
        <v>4911</v>
      </c>
      <c r="AL1705" t="s">
        <v>2127</v>
      </c>
      <c r="AN1705" t="s">
        <v>3419</v>
      </c>
    </row>
    <row r="1706" spans="1:41">
      <c r="A1706" s="1" t="s">
        <v>1742</v>
      </c>
      <c r="B1706" t="s">
        <v>2000</v>
      </c>
      <c r="C1706" t="s">
        <v>1998</v>
      </c>
      <c r="D1706" t="s">
        <v>2093</v>
      </c>
      <c r="E1706" t="s">
        <v>2112</v>
      </c>
      <c r="F1706" t="s">
        <v>2116</v>
      </c>
      <c r="G1706" t="s">
        <v>2216</v>
      </c>
      <c r="H1706">
        <v>10310</v>
      </c>
      <c r="I1706" t="s">
        <v>2229</v>
      </c>
      <c r="J1706">
        <v>8</v>
      </c>
      <c r="K1706">
        <v>6</v>
      </c>
      <c r="L1706" t="s">
        <v>2625</v>
      </c>
      <c r="M1706" t="s">
        <v>2677</v>
      </c>
      <c r="P1706" t="s">
        <v>3110</v>
      </c>
      <c r="Q1706" t="s">
        <v>2113</v>
      </c>
      <c r="R1706" t="s">
        <v>3258</v>
      </c>
      <c r="S1706" t="s">
        <v>3262</v>
      </c>
      <c r="T1706" t="s">
        <v>3294</v>
      </c>
      <c r="U1706" t="s">
        <v>3020</v>
      </c>
      <c r="X1706" t="s">
        <v>3354</v>
      </c>
      <c r="Y1706" t="s">
        <v>2678</v>
      </c>
      <c r="Z1706" t="s">
        <v>3355</v>
      </c>
      <c r="AA1706" t="s">
        <v>3406</v>
      </c>
      <c r="AB1706" t="s">
        <v>3410</v>
      </c>
      <c r="AC1706">
        <f>HYPERLINK("https://lsnyc.legalserver.org/matter/dynamic-profile/view/1858214","18-1858214")</f>
        <v>0</v>
      </c>
      <c r="AD1706" t="s">
        <v>3447</v>
      </c>
      <c r="AE1706" t="s">
        <v>3462</v>
      </c>
      <c r="AF1706" t="s">
        <v>4729</v>
      </c>
      <c r="AG1706" t="s">
        <v>3355</v>
      </c>
      <c r="AH1706" t="s">
        <v>4904</v>
      </c>
      <c r="AK1706" t="s">
        <v>4911</v>
      </c>
      <c r="AL1706" t="s">
        <v>2116</v>
      </c>
      <c r="AM1706" t="s">
        <v>3294</v>
      </c>
      <c r="AN1706" t="s">
        <v>3410</v>
      </c>
    </row>
    <row r="1707" spans="1:41">
      <c r="A1707" s="1" t="s">
        <v>1743</v>
      </c>
      <c r="B1707" t="s">
        <v>2000</v>
      </c>
      <c r="C1707" t="s">
        <v>1998</v>
      </c>
      <c r="D1707" t="s">
        <v>2093</v>
      </c>
      <c r="E1707" t="s">
        <v>2112</v>
      </c>
      <c r="F1707" t="s">
        <v>2116</v>
      </c>
      <c r="G1707" t="s">
        <v>2216</v>
      </c>
      <c r="H1707">
        <v>10310</v>
      </c>
      <c r="I1707" t="s">
        <v>2229</v>
      </c>
      <c r="J1707">
        <v>8</v>
      </c>
      <c r="K1707">
        <v>6</v>
      </c>
      <c r="L1707" t="s">
        <v>2625</v>
      </c>
      <c r="M1707" t="s">
        <v>2677</v>
      </c>
      <c r="P1707" t="s">
        <v>3110</v>
      </c>
      <c r="Q1707" t="s">
        <v>2113</v>
      </c>
      <c r="R1707" t="s">
        <v>3259</v>
      </c>
      <c r="S1707" t="s">
        <v>3276</v>
      </c>
      <c r="T1707" t="s">
        <v>3294</v>
      </c>
      <c r="U1707" t="s">
        <v>3020</v>
      </c>
      <c r="X1707" t="s">
        <v>3354</v>
      </c>
      <c r="Y1707" t="s">
        <v>2678</v>
      </c>
      <c r="Z1707" t="s">
        <v>3373</v>
      </c>
      <c r="AA1707" t="s">
        <v>3406</v>
      </c>
      <c r="AB1707" t="s">
        <v>3424</v>
      </c>
      <c r="AC1707">
        <f>HYPERLINK("https://lsnyc.legalserver.org/matter/dynamic-profile/view/1858217","18-1858217")</f>
        <v>0</v>
      </c>
      <c r="AD1707" t="s">
        <v>3447</v>
      </c>
      <c r="AE1707" t="s">
        <v>3462</v>
      </c>
      <c r="AF1707" t="s">
        <v>4729</v>
      </c>
      <c r="AG1707" t="s">
        <v>3373</v>
      </c>
      <c r="AH1707" t="s">
        <v>4904</v>
      </c>
      <c r="AK1707" t="s">
        <v>4911</v>
      </c>
      <c r="AL1707" t="s">
        <v>2116</v>
      </c>
      <c r="AM1707" t="s">
        <v>3294</v>
      </c>
      <c r="AN1707" t="s">
        <v>3424</v>
      </c>
    </row>
    <row r="1708" spans="1:41">
      <c r="A1708" s="1" t="s">
        <v>1744</v>
      </c>
      <c r="B1708" t="s">
        <v>2018</v>
      </c>
      <c r="C1708" t="s">
        <v>2002</v>
      </c>
      <c r="D1708" t="s">
        <v>2048</v>
      </c>
      <c r="E1708" t="s">
        <v>2112</v>
      </c>
      <c r="F1708" t="s">
        <v>2116</v>
      </c>
      <c r="G1708" t="s">
        <v>2216</v>
      </c>
      <c r="H1708">
        <v>10303</v>
      </c>
      <c r="I1708" t="s">
        <v>2229</v>
      </c>
      <c r="J1708">
        <v>3</v>
      </c>
      <c r="K1708">
        <v>2</v>
      </c>
      <c r="L1708" t="s">
        <v>2260</v>
      </c>
      <c r="M1708" t="s">
        <v>2677</v>
      </c>
      <c r="P1708" t="s">
        <v>3110</v>
      </c>
      <c r="Q1708" t="s">
        <v>2113</v>
      </c>
      <c r="R1708" t="s">
        <v>3258</v>
      </c>
      <c r="S1708" t="s">
        <v>3262</v>
      </c>
      <c r="T1708" t="s">
        <v>3294</v>
      </c>
      <c r="U1708" t="s">
        <v>3071</v>
      </c>
      <c r="X1708" t="s">
        <v>3354</v>
      </c>
      <c r="Y1708" t="s">
        <v>2678</v>
      </c>
      <c r="Z1708" t="s">
        <v>3355</v>
      </c>
      <c r="AA1708" t="s">
        <v>3406</v>
      </c>
      <c r="AB1708" t="s">
        <v>3410</v>
      </c>
      <c r="AC1708">
        <f>HYPERLINK("https://lsnyc.legalserver.org/matter/dynamic-profile/view/1858230","18-1858230")</f>
        <v>0</v>
      </c>
      <c r="AD1708" t="s">
        <v>3447</v>
      </c>
      <c r="AE1708" t="s">
        <v>3462</v>
      </c>
      <c r="AF1708" t="s">
        <v>4730</v>
      </c>
      <c r="AG1708" t="s">
        <v>3355</v>
      </c>
      <c r="AH1708" t="s">
        <v>4904</v>
      </c>
      <c r="AK1708" t="s">
        <v>4911</v>
      </c>
      <c r="AL1708" t="s">
        <v>2116</v>
      </c>
      <c r="AM1708" t="s">
        <v>3294</v>
      </c>
      <c r="AN1708" t="s">
        <v>3410</v>
      </c>
    </row>
    <row r="1709" spans="1:41">
      <c r="A1709" s="1" t="s">
        <v>1745</v>
      </c>
      <c r="B1709" t="s">
        <v>2018</v>
      </c>
      <c r="C1709" t="s">
        <v>2002</v>
      </c>
      <c r="D1709" t="s">
        <v>2048</v>
      </c>
      <c r="E1709" t="s">
        <v>2112</v>
      </c>
      <c r="F1709" t="s">
        <v>2116</v>
      </c>
      <c r="G1709" t="s">
        <v>2216</v>
      </c>
      <c r="H1709">
        <v>10303</v>
      </c>
      <c r="I1709" t="s">
        <v>2229</v>
      </c>
      <c r="J1709">
        <v>3</v>
      </c>
      <c r="K1709">
        <v>2</v>
      </c>
      <c r="L1709" t="s">
        <v>2260</v>
      </c>
      <c r="M1709" t="s">
        <v>2677</v>
      </c>
      <c r="P1709" t="s">
        <v>3110</v>
      </c>
      <c r="Q1709" t="s">
        <v>2113</v>
      </c>
      <c r="R1709" t="s">
        <v>3259</v>
      </c>
      <c r="S1709" t="s">
        <v>3276</v>
      </c>
      <c r="T1709" t="s">
        <v>3294</v>
      </c>
      <c r="U1709" t="s">
        <v>3071</v>
      </c>
      <c r="X1709" t="s">
        <v>3354</v>
      </c>
      <c r="Y1709" t="s">
        <v>2678</v>
      </c>
      <c r="Z1709" t="s">
        <v>3373</v>
      </c>
      <c r="AA1709" t="s">
        <v>3406</v>
      </c>
      <c r="AB1709" t="s">
        <v>3424</v>
      </c>
      <c r="AC1709">
        <f>HYPERLINK("https://lsnyc.legalserver.org/matter/dynamic-profile/view/1858233","18-1858233")</f>
        <v>0</v>
      </c>
      <c r="AD1709" t="s">
        <v>3447</v>
      </c>
      <c r="AE1709" t="s">
        <v>3462</v>
      </c>
      <c r="AF1709" t="s">
        <v>4730</v>
      </c>
      <c r="AG1709" t="s">
        <v>3373</v>
      </c>
      <c r="AH1709" t="s">
        <v>4904</v>
      </c>
      <c r="AK1709" t="s">
        <v>4911</v>
      </c>
      <c r="AL1709" t="s">
        <v>2116</v>
      </c>
      <c r="AM1709" t="s">
        <v>3294</v>
      </c>
      <c r="AN1709" t="s">
        <v>3424</v>
      </c>
    </row>
    <row r="1710" spans="1:41">
      <c r="A1710" s="1" t="s">
        <v>1746</v>
      </c>
      <c r="B1710" t="s">
        <v>1998</v>
      </c>
      <c r="C1710" t="s">
        <v>2000</v>
      </c>
      <c r="D1710" t="s">
        <v>2051</v>
      </c>
      <c r="E1710" t="s">
        <v>2111</v>
      </c>
      <c r="F1710" t="s">
        <v>2116</v>
      </c>
      <c r="G1710" t="s">
        <v>2216</v>
      </c>
      <c r="H1710">
        <v>10301</v>
      </c>
      <c r="I1710" t="s">
        <v>2229</v>
      </c>
      <c r="J1710">
        <v>1</v>
      </c>
      <c r="K1710">
        <v>0</v>
      </c>
      <c r="L1710" t="s">
        <v>2626</v>
      </c>
      <c r="M1710" t="s">
        <v>2677</v>
      </c>
      <c r="P1710" t="s">
        <v>3110</v>
      </c>
      <c r="Q1710" t="s">
        <v>2113</v>
      </c>
      <c r="R1710" t="s">
        <v>3259</v>
      </c>
      <c r="S1710" t="s">
        <v>3276</v>
      </c>
      <c r="T1710" t="s">
        <v>3294</v>
      </c>
      <c r="U1710" t="s">
        <v>3086</v>
      </c>
      <c r="X1710" t="s">
        <v>3354</v>
      </c>
      <c r="Y1710" t="s">
        <v>2678</v>
      </c>
      <c r="Z1710" t="s">
        <v>3373</v>
      </c>
      <c r="AA1710" t="s">
        <v>3406</v>
      </c>
      <c r="AB1710" t="s">
        <v>3424</v>
      </c>
      <c r="AC1710">
        <f>HYPERLINK("https://lsnyc.legalserver.org/matter/dynamic-profile/view/1858241","18-1858241")</f>
        <v>0</v>
      </c>
      <c r="AD1710" t="s">
        <v>3447</v>
      </c>
      <c r="AE1710" t="s">
        <v>3462</v>
      </c>
      <c r="AF1710" t="s">
        <v>4731</v>
      </c>
      <c r="AG1710" t="s">
        <v>3373</v>
      </c>
      <c r="AH1710" t="s">
        <v>4904</v>
      </c>
      <c r="AK1710" t="s">
        <v>4911</v>
      </c>
      <c r="AL1710" t="s">
        <v>2116</v>
      </c>
      <c r="AM1710" t="s">
        <v>3294</v>
      </c>
      <c r="AN1710" t="s">
        <v>3424</v>
      </c>
    </row>
    <row r="1711" spans="1:41">
      <c r="A1711" s="1" t="s">
        <v>1747</v>
      </c>
      <c r="B1711" t="s">
        <v>2009</v>
      </c>
      <c r="C1711" t="s">
        <v>2005</v>
      </c>
      <c r="D1711" t="s">
        <v>2055</v>
      </c>
      <c r="E1711" t="s">
        <v>2112</v>
      </c>
      <c r="F1711" t="s">
        <v>2117</v>
      </c>
      <c r="G1711" t="s">
        <v>2216</v>
      </c>
      <c r="H1711">
        <v>10301</v>
      </c>
      <c r="I1711" t="s">
        <v>2229</v>
      </c>
      <c r="J1711">
        <v>4</v>
      </c>
      <c r="K1711">
        <v>3</v>
      </c>
      <c r="L1711" t="s">
        <v>2627</v>
      </c>
      <c r="M1711" t="s">
        <v>2677</v>
      </c>
      <c r="P1711" t="s">
        <v>3110</v>
      </c>
      <c r="Q1711" t="s">
        <v>2113</v>
      </c>
      <c r="R1711" t="s">
        <v>3259</v>
      </c>
      <c r="S1711" t="s">
        <v>3276</v>
      </c>
      <c r="T1711" t="s">
        <v>3294</v>
      </c>
      <c r="U1711" t="s">
        <v>3041</v>
      </c>
      <c r="X1711" t="s">
        <v>3354</v>
      </c>
      <c r="Y1711" t="s">
        <v>2678</v>
      </c>
      <c r="Z1711" t="s">
        <v>3373</v>
      </c>
      <c r="AA1711" t="s">
        <v>3406</v>
      </c>
      <c r="AB1711" t="s">
        <v>3424</v>
      </c>
      <c r="AC1711">
        <f>HYPERLINK("https://lsnyc.legalserver.org/matter/dynamic-profile/view/1858246","18-1858246")</f>
        <v>0</v>
      </c>
      <c r="AD1711" t="s">
        <v>3447</v>
      </c>
      <c r="AE1711" t="s">
        <v>3462</v>
      </c>
      <c r="AF1711" t="s">
        <v>4732</v>
      </c>
      <c r="AG1711" t="s">
        <v>3373</v>
      </c>
      <c r="AH1711" t="s">
        <v>4904</v>
      </c>
      <c r="AK1711" t="s">
        <v>4911</v>
      </c>
      <c r="AL1711" t="s">
        <v>2117</v>
      </c>
      <c r="AM1711" t="s">
        <v>3294</v>
      </c>
      <c r="AN1711" t="s">
        <v>3424</v>
      </c>
    </row>
    <row r="1712" spans="1:41">
      <c r="A1712" s="1" t="s">
        <v>1748</v>
      </c>
      <c r="B1712" t="s">
        <v>2009</v>
      </c>
      <c r="C1712" t="s">
        <v>2005</v>
      </c>
      <c r="D1712" t="s">
        <v>2055</v>
      </c>
      <c r="E1712" t="s">
        <v>2112</v>
      </c>
      <c r="F1712" t="s">
        <v>2117</v>
      </c>
      <c r="G1712" t="s">
        <v>2216</v>
      </c>
      <c r="H1712">
        <v>10301</v>
      </c>
      <c r="I1712" t="s">
        <v>2229</v>
      </c>
      <c r="J1712">
        <v>4</v>
      </c>
      <c r="K1712">
        <v>3</v>
      </c>
      <c r="L1712" t="s">
        <v>2627</v>
      </c>
      <c r="M1712" t="s">
        <v>2677</v>
      </c>
      <c r="P1712" t="s">
        <v>3110</v>
      </c>
      <c r="Q1712" t="s">
        <v>2113</v>
      </c>
      <c r="R1712" t="s">
        <v>3258</v>
      </c>
      <c r="S1712" t="s">
        <v>3262</v>
      </c>
      <c r="T1712" t="s">
        <v>3294</v>
      </c>
      <c r="U1712" t="s">
        <v>3041</v>
      </c>
      <c r="X1712" t="s">
        <v>3354</v>
      </c>
      <c r="Y1712" t="s">
        <v>2678</v>
      </c>
      <c r="Z1712" t="s">
        <v>3355</v>
      </c>
      <c r="AA1712" t="s">
        <v>3406</v>
      </c>
      <c r="AB1712" t="s">
        <v>3410</v>
      </c>
      <c r="AC1712">
        <f>HYPERLINK("https://lsnyc.legalserver.org/matter/dynamic-profile/view/1858248","18-1858248")</f>
        <v>0</v>
      </c>
      <c r="AD1712" t="s">
        <v>3447</v>
      </c>
      <c r="AE1712" t="s">
        <v>3462</v>
      </c>
      <c r="AF1712" t="s">
        <v>4732</v>
      </c>
      <c r="AG1712" t="s">
        <v>3355</v>
      </c>
      <c r="AH1712" t="s">
        <v>4904</v>
      </c>
      <c r="AK1712" t="s">
        <v>4911</v>
      </c>
      <c r="AL1712" t="s">
        <v>2117</v>
      </c>
      <c r="AM1712" t="s">
        <v>3294</v>
      </c>
      <c r="AN1712" t="s">
        <v>3410</v>
      </c>
    </row>
    <row r="1713" spans="1:40">
      <c r="A1713" s="1" t="s">
        <v>1749</v>
      </c>
      <c r="B1713" t="s">
        <v>2000</v>
      </c>
      <c r="C1713" t="s">
        <v>2001</v>
      </c>
      <c r="D1713" t="s">
        <v>2079</v>
      </c>
      <c r="E1713" t="s">
        <v>2112</v>
      </c>
      <c r="F1713" t="s">
        <v>2116</v>
      </c>
      <c r="G1713" t="s">
        <v>2216</v>
      </c>
      <c r="H1713">
        <v>10304</v>
      </c>
      <c r="I1713" t="s">
        <v>2230</v>
      </c>
      <c r="J1713">
        <v>6</v>
      </c>
      <c r="K1713">
        <v>3</v>
      </c>
      <c r="L1713" t="s">
        <v>2628</v>
      </c>
      <c r="M1713" t="s">
        <v>2677</v>
      </c>
      <c r="P1713" t="s">
        <v>3110</v>
      </c>
      <c r="Q1713" t="s">
        <v>2113</v>
      </c>
      <c r="R1713" t="s">
        <v>3259</v>
      </c>
      <c r="S1713" t="s">
        <v>3276</v>
      </c>
      <c r="X1713" t="s">
        <v>3354</v>
      </c>
      <c r="Y1713" t="s">
        <v>2678</v>
      </c>
      <c r="Z1713" t="s">
        <v>3373</v>
      </c>
      <c r="AA1713" t="s">
        <v>3406</v>
      </c>
      <c r="AB1713" t="s">
        <v>3424</v>
      </c>
      <c r="AC1713">
        <f>HYPERLINK("https://lsnyc.legalserver.org/matter/dynamic-profile/view/1858250","18-1858250")</f>
        <v>0</v>
      </c>
      <c r="AD1713" t="s">
        <v>3447</v>
      </c>
      <c r="AE1713" t="s">
        <v>3462</v>
      </c>
      <c r="AF1713" t="s">
        <v>4733</v>
      </c>
      <c r="AG1713" t="s">
        <v>3373</v>
      </c>
      <c r="AH1713" t="s">
        <v>4904</v>
      </c>
      <c r="AK1713" t="s">
        <v>4911</v>
      </c>
      <c r="AL1713" t="s">
        <v>2116</v>
      </c>
      <c r="AN1713" t="s">
        <v>3424</v>
      </c>
    </row>
    <row r="1714" spans="1:40">
      <c r="A1714" s="1" t="s">
        <v>1750</v>
      </c>
      <c r="B1714" t="s">
        <v>2000</v>
      </c>
      <c r="C1714" t="s">
        <v>2001</v>
      </c>
      <c r="D1714" t="s">
        <v>2079</v>
      </c>
      <c r="E1714" t="s">
        <v>2112</v>
      </c>
      <c r="F1714" t="s">
        <v>2116</v>
      </c>
      <c r="G1714" t="s">
        <v>2216</v>
      </c>
      <c r="H1714">
        <v>10304</v>
      </c>
      <c r="I1714" t="s">
        <v>2230</v>
      </c>
      <c r="J1714">
        <v>6</v>
      </c>
      <c r="K1714">
        <v>3</v>
      </c>
      <c r="L1714" t="s">
        <v>2628</v>
      </c>
      <c r="M1714" t="s">
        <v>2677</v>
      </c>
      <c r="P1714" t="s">
        <v>3110</v>
      </c>
      <c r="Q1714" t="s">
        <v>2113</v>
      </c>
      <c r="R1714" t="s">
        <v>3258</v>
      </c>
      <c r="S1714" t="s">
        <v>3262</v>
      </c>
      <c r="X1714" t="s">
        <v>3354</v>
      </c>
      <c r="Y1714" t="s">
        <v>2678</v>
      </c>
      <c r="Z1714" t="s">
        <v>3355</v>
      </c>
      <c r="AA1714" t="s">
        <v>3406</v>
      </c>
      <c r="AB1714" t="s">
        <v>3410</v>
      </c>
      <c r="AC1714">
        <f>HYPERLINK("https://lsnyc.legalserver.org/matter/dynamic-profile/view/1858252","18-1858252")</f>
        <v>0</v>
      </c>
      <c r="AD1714" t="s">
        <v>3447</v>
      </c>
      <c r="AE1714" t="s">
        <v>3462</v>
      </c>
      <c r="AF1714" t="s">
        <v>4733</v>
      </c>
      <c r="AG1714" t="s">
        <v>3355</v>
      </c>
      <c r="AH1714" t="s">
        <v>4904</v>
      </c>
      <c r="AK1714" t="s">
        <v>4911</v>
      </c>
      <c r="AL1714" t="s">
        <v>2116</v>
      </c>
      <c r="AN1714" t="s">
        <v>3410</v>
      </c>
    </row>
    <row r="1715" spans="1:40">
      <c r="A1715" s="1" t="s">
        <v>1751</v>
      </c>
      <c r="B1715" t="s">
        <v>2001</v>
      </c>
      <c r="C1715" t="s">
        <v>1998</v>
      </c>
      <c r="D1715" t="s">
        <v>2084</v>
      </c>
      <c r="E1715" t="s">
        <v>2112</v>
      </c>
      <c r="F1715" t="s">
        <v>2116</v>
      </c>
      <c r="G1715" t="s">
        <v>2216</v>
      </c>
      <c r="H1715">
        <v>10304</v>
      </c>
      <c r="I1715" t="s">
        <v>2229</v>
      </c>
      <c r="J1715">
        <v>6</v>
      </c>
      <c r="K1715">
        <v>3</v>
      </c>
      <c r="L1715" t="s">
        <v>2331</v>
      </c>
      <c r="M1715" t="s">
        <v>2677</v>
      </c>
      <c r="P1715" t="s">
        <v>3110</v>
      </c>
      <c r="Q1715" t="s">
        <v>2113</v>
      </c>
      <c r="R1715" t="s">
        <v>3259</v>
      </c>
      <c r="S1715" t="s">
        <v>3276</v>
      </c>
      <c r="T1715" t="s">
        <v>3294</v>
      </c>
      <c r="U1715" t="s">
        <v>3066</v>
      </c>
      <c r="X1715" t="s">
        <v>3354</v>
      </c>
      <c r="Y1715" t="s">
        <v>2678</v>
      </c>
      <c r="Z1715" t="s">
        <v>3373</v>
      </c>
      <c r="AA1715" t="s">
        <v>3406</v>
      </c>
      <c r="AB1715" t="s">
        <v>3424</v>
      </c>
      <c r="AC1715">
        <f>HYPERLINK("https://lsnyc.legalserver.org/matter/dynamic-profile/view/1858254","18-1858254")</f>
        <v>0</v>
      </c>
      <c r="AD1715" t="s">
        <v>3447</v>
      </c>
      <c r="AE1715" t="s">
        <v>3462</v>
      </c>
      <c r="AF1715" t="s">
        <v>4734</v>
      </c>
      <c r="AG1715" t="s">
        <v>3373</v>
      </c>
      <c r="AH1715" t="s">
        <v>4904</v>
      </c>
      <c r="AK1715" t="s">
        <v>4911</v>
      </c>
      <c r="AL1715" t="s">
        <v>2116</v>
      </c>
      <c r="AM1715" t="s">
        <v>3294</v>
      </c>
      <c r="AN1715" t="s">
        <v>3424</v>
      </c>
    </row>
    <row r="1716" spans="1:40">
      <c r="A1716" s="1" t="s">
        <v>1752</v>
      </c>
      <c r="B1716" t="s">
        <v>2001</v>
      </c>
      <c r="C1716" t="s">
        <v>1998</v>
      </c>
      <c r="D1716" t="s">
        <v>2084</v>
      </c>
      <c r="E1716" t="s">
        <v>2112</v>
      </c>
      <c r="F1716" t="s">
        <v>2116</v>
      </c>
      <c r="G1716" t="s">
        <v>2216</v>
      </c>
      <c r="H1716">
        <v>10304</v>
      </c>
      <c r="I1716" t="s">
        <v>2229</v>
      </c>
      <c r="J1716">
        <v>6</v>
      </c>
      <c r="K1716">
        <v>3</v>
      </c>
      <c r="L1716" t="s">
        <v>2331</v>
      </c>
      <c r="M1716" t="s">
        <v>2677</v>
      </c>
      <c r="P1716" t="s">
        <v>3110</v>
      </c>
      <c r="Q1716" t="s">
        <v>2113</v>
      </c>
      <c r="R1716" t="s">
        <v>3258</v>
      </c>
      <c r="S1716" t="s">
        <v>3262</v>
      </c>
      <c r="T1716" t="s">
        <v>3294</v>
      </c>
      <c r="U1716" t="s">
        <v>3066</v>
      </c>
      <c r="X1716" t="s">
        <v>3354</v>
      </c>
      <c r="Y1716" t="s">
        <v>2678</v>
      </c>
      <c r="Z1716" t="s">
        <v>3355</v>
      </c>
      <c r="AA1716" t="s">
        <v>3406</v>
      </c>
      <c r="AB1716" t="s">
        <v>3410</v>
      </c>
      <c r="AC1716">
        <f>HYPERLINK("https://lsnyc.legalserver.org/matter/dynamic-profile/view/1858257","18-1858257")</f>
        <v>0</v>
      </c>
      <c r="AD1716" t="s">
        <v>3447</v>
      </c>
      <c r="AE1716" t="s">
        <v>3462</v>
      </c>
      <c r="AF1716" t="s">
        <v>4734</v>
      </c>
      <c r="AG1716" t="s">
        <v>3355</v>
      </c>
      <c r="AH1716" t="s">
        <v>4904</v>
      </c>
      <c r="AK1716" t="s">
        <v>4911</v>
      </c>
      <c r="AL1716" t="s">
        <v>2116</v>
      </c>
      <c r="AM1716" t="s">
        <v>3294</v>
      </c>
      <c r="AN1716" t="s">
        <v>3410</v>
      </c>
    </row>
    <row r="1717" spans="1:40">
      <c r="A1717" s="1" t="s">
        <v>1753</v>
      </c>
      <c r="B1717" t="s">
        <v>2002</v>
      </c>
      <c r="C1717" t="s">
        <v>2009</v>
      </c>
      <c r="D1717" t="s">
        <v>2038</v>
      </c>
      <c r="E1717" t="s">
        <v>2112</v>
      </c>
      <c r="F1717" t="s">
        <v>2116</v>
      </c>
      <c r="G1717" t="s">
        <v>2216</v>
      </c>
      <c r="H1717">
        <v>10304</v>
      </c>
      <c r="I1717" t="s">
        <v>2229</v>
      </c>
      <c r="J1717">
        <v>5</v>
      </c>
      <c r="K1717">
        <v>3</v>
      </c>
      <c r="L1717" t="s">
        <v>2260</v>
      </c>
      <c r="M1717" t="s">
        <v>2677</v>
      </c>
      <c r="P1717" t="s">
        <v>3110</v>
      </c>
      <c r="Q1717" t="s">
        <v>2113</v>
      </c>
      <c r="R1717" t="s">
        <v>3259</v>
      </c>
      <c r="S1717" t="s">
        <v>3276</v>
      </c>
      <c r="T1717" t="s">
        <v>3294</v>
      </c>
      <c r="U1717" t="s">
        <v>3066</v>
      </c>
      <c r="X1717" t="s">
        <v>3354</v>
      </c>
      <c r="Y1717" t="s">
        <v>2677</v>
      </c>
      <c r="Z1717" t="s">
        <v>3373</v>
      </c>
      <c r="AA1717" t="s">
        <v>3406</v>
      </c>
      <c r="AB1717" t="s">
        <v>3424</v>
      </c>
      <c r="AC1717">
        <f>HYPERLINK("https://lsnyc.legalserver.org/matter/dynamic-profile/view/1858260","18-1858260")</f>
        <v>0</v>
      </c>
      <c r="AD1717" t="s">
        <v>3445</v>
      </c>
      <c r="AE1717" t="s">
        <v>3455</v>
      </c>
      <c r="AF1717" t="s">
        <v>4735</v>
      </c>
      <c r="AG1717" t="s">
        <v>3373</v>
      </c>
      <c r="AH1717" t="s">
        <v>4904</v>
      </c>
      <c r="AK1717" t="s">
        <v>4911</v>
      </c>
      <c r="AL1717" t="s">
        <v>2116</v>
      </c>
      <c r="AM1717" t="s">
        <v>3294</v>
      </c>
      <c r="AN1717" t="s">
        <v>3424</v>
      </c>
    </row>
    <row r="1718" spans="1:40">
      <c r="A1718" s="1" t="s">
        <v>1754</v>
      </c>
      <c r="B1718" t="s">
        <v>1998</v>
      </c>
      <c r="C1718" t="s">
        <v>2005</v>
      </c>
      <c r="D1718" t="s">
        <v>2053</v>
      </c>
      <c r="E1718" t="s">
        <v>2111</v>
      </c>
      <c r="F1718" t="s">
        <v>2117</v>
      </c>
      <c r="G1718" t="s">
        <v>2213</v>
      </c>
      <c r="H1718">
        <v>10454</v>
      </c>
      <c r="I1718" t="s">
        <v>2229</v>
      </c>
      <c r="J1718">
        <v>3</v>
      </c>
      <c r="K1718">
        <v>2</v>
      </c>
      <c r="L1718" t="s">
        <v>2260</v>
      </c>
      <c r="M1718" t="s">
        <v>2677</v>
      </c>
      <c r="P1718" t="s">
        <v>3110</v>
      </c>
      <c r="Q1718" t="s">
        <v>3255</v>
      </c>
      <c r="R1718" t="s">
        <v>3259</v>
      </c>
      <c r="S1718" t="s">
        <v>3267</v>
      </c>
      <c r="T1718" t="s">
        <v>3294</v>
      </c>
      <c r="U1718" t="s">
        <v>3324</v>
      </c>
      <c r="X1718" t="s">
        <v>3354</v>
      </c>
      <c r="Y1718" t="s">
        <v>2678</v>
      </c>
      <c r="Z1718" t="s">
        <v>3380</v>
      </c>
      <c r="AA1718" t="s">
        <v>3406</v>
      </c>
      <c r="AB1718" t="s">
        <v>3415</v>
      </c>
      <c r="AC1718">
        <f>HYPERLINK("https://lsnyc.legalserver.org/matter/dynamic-profile/view/1858521","18-1858521")</f>
        <v>0</v>
      </c>
      <c r="AD1718" t="s">
        <v>3444</v>
      </c>
      <c r="AE1718" t="s">
        <v>3464</v>
      </c>
      <c r="AF1718" t="s">
        <v>4736</v>
      </c>
      <c r="AG1718" t="s">
        <v>3380</v>
      </c>
      <c r="AH1718" t="s">
        <v>4906</v>
      </c>
      <c r="AK1718" t="s">
        <v>4911</v>
      </c>
      <c r="AL1718" t="s">
        <v>2117</v>
      </c>
      <c r="AM1718" t="s">
        <v>3294</v>
      </c>
      <c r="AN1718" t="s">
        <v>3415</v>
      </c>
    </row>
    <row r="1719" spans="1:40">
      <c r="A1719" s="1" t="s">
        <v>1755</v>
      </c>
      <c r="B1719" t="s">
        <v>2004</v>
      </c>
      <c r="C1719" t="s">
        <v>2005</v>
      </c>
      <c r="D1719" t="s">
        <v>2092</v>
      </c>
      <c r="E1719" t="s">
        <v>2112</v>
      </c>
      <c r="F1719" t="s">
        <v>2120</v>
      </c>
      <c r="G1719" t="s">
        <v>2212</v>
      </c>
      <c r="H1719">
        <v>11433</v>
      </c>
      <c r="I1719" t="s">
        <v>2230</v>
      </c>
      <c r="J1719">
        <v>3</v>
      </c>
      <c r="K1719">
        <v>1</v>
      </c>
      <c r="L1719" t="s">
        <v>2587</v>
      </c>
      <c r="M1719" t="s">
        <v>2677</v>
      </c>
      <c r="P1719" t="s">
        <v>3111</v>
      </c>
      <c r="Q1719" t="s">
        <v>2113</v>
      </c>
      <c r="R1719" t="s">
        <v>3258</v>
      </c>
      <c r="S1719" t="s">
        <v>3271</v>
      </c>
      <c r="X1719" t="s">
        <v>3354</v>
      </c>
      <c r="Y1719" t="s">
        <v>2677</v>
      </c>
      <c r="Z1719" t="s">
        <v>3362</v>
      </c>
      <c r="AA1719" t="s">
        <v>3406</v>
      </c>
      <c r="AB1719" t="s">
        <v>3419</v>
      </c>
      <c r="AC1719">
        <f>HYPERLINK("https://lsnyc.legalserver.org/matter/dynamic-profile/view/1858398","18-1858398")</f>
        <v>0</v>
      </c>
      <c r="AD1719" t="s">
        <v>3445</v>
      </c>
      <c r="AE1719" t="s">
        <v>3455</v>
      </c>
      <c r="AF1719" t="s">
        <v>4631</v>
      </c>
      <c r="AG1719" t="s">
        <v>3362</v>
      </c>
      <c r="AH1719" t="s">
        <v>4904</v>
      </c>
      <c r="AK1719" t="s">
        <v>4911</v>
      </c>
      <c r="AL1719" t="s">
        <v>2120</v>
      </c>
      <c r="AN1719" t="s">
        <v>3419</v>
      </c>
    </row>
    <row r="1720" spans="1:40">
      <c r="A1720" s="1" t="s">
        <v>1756</v>
      </c>
      <c r="B1720" t="s">
        <v>1998</v>
      </c>
      <c r="C1720" t="s">
        <v>2000</v>
      </c>
      <c r="D1720" t="s">
        <v>2038</v>
      </c>
      <c r="E1720" t="s">
        <v>2112</v>
      </c>
      <c r="F1720" t="s">
        <v>2123</v>
      </c>
      <c r="G1720" t="s">
        <v>2212</v>
      </c>
      <c r="H1720">
        <v>11102</v>
      </c>
      <c r="I1720" t="s">
        <v>2229</v>
      </c>
      <c r="J1720">
        <v>1</v>
      </c>
      <c r="K1720">
        <v>0</v>
      </c>
      <c r="L1720" t="s">
        <v>2262</v>
      </c>
      <c r="M1720" t="s">
        <v>2677</v>
      </c>
      <c r="P1720" t="s">
        <v>3111</v>
      </c>
      <c r="Q1720" t="s">
        <v>2113</v>
      </c>
      <c r="R1720" t="s">
        <v>3258</v>
      </c>
      <c r="S1720" t="s">
        <v>3271</v>
      </c>
      <c r="T1720" t="s">
        <v>3294</v>
      </c>
      <c r="U1720" t="s">
        <v>3321</v>
      </c>
      <c r="X1720" t="s">
        <v>3354</v>
      </c>
      <c r="Y1720" t="s">
        <v>2677</v>
      </c>
      <c r="Z1720" t="s">
        <v>3362</v>
      </c>
      <c r="AA1720" t="s">
        <v>3406</v>
      </c>
      <c r="AB1720" t="s">
        <v>3419</v>
      </c>
      <c r="AC1720">
        <f>HYPERLINK("https://lsnyc.legalserver.org/matter/dynamic-profile/view/1858404","18-1858404")</f>
        <v>0</v>
      </c>
      <c r="AD1720" t="s">
        <v>3445</v>
      </c>
      <c r="AE1720" t="s">
        <v>3455</v>
      </c>
      <c r="AF1720" t="s">
        <v>4630</v>
      </c>
      <c r="AG1720" t="s">
        <v>3362</v>
      </c>
      <c r="AH1720" t="s">
        <v>4904</v>
      </c>
      <c r="AK1720" t="s">
        <v>4911</v>
      </c>
      <c r="AL1720" t="s">
        <v>2123</v>
      </c>
      <c r="AM1720" t="s">
        <v>3294</v>
      </c>
      <c r="AN1720" t="s">
        <v>3419</v>
      </c>
    </row>
    <row r="1721" spans="1:40">
      <c r="A1721" s="1" t="s">
        <v>1757</v>
      </c>
      <c r="B1721" t="s">
        <v>2000</v>
      </c>
      <c r="C1721" t="s">
        <v>1998</v>
      </c>
      <c r="D1721" t="s">
        <v>2072</v>
      </c>
      <c r="E1721" t="s">
        <v>2111</v>
      </c>
      <c r="F1721" t="s">
        <v>2133</v>
      </c>
      <c r="G1721" t="s">
        <v>2216</v>
      </c>
      <c r="H1721">
        <v>10314</v>
      </c>
      <c r="I1721" t="s">
        <v>2230</v>
      </c>
      <c r="J1721">
        <v>4</v>
      </c>
      <c r="K1721">
        <v>1</v>
      </c>
      <c r="L1721" t="s">
        <v>2508</v>
      </c>
      <c r="M1721" t="s">
        <v>2677</v>
      </c>
      <c r="P1721" t="s">
        <v>3111</v>
      </c>
      <c r="Q1721" t="s">
        <v>2113</v>
      </c>
      <c r="R1721" t="s">
        <v>3258</v>
      </c>
      <c r="S1721" t="s">
        <v>3271</v>
      </c>
      <c r="X1721" t="s">
        <v>3354</v>
      </c>
      <c r="Y1721" t="s">
        <v>2677</v>
      </c>
      <c r="Z1721" t="s">
        <v>3362</v>
      </c>
      <c r="AA1721" t="s">
        <v>3406</v>
      </c>
      <c r="AB1721" t="s">
        <v>3419</v>
      </c>
      <c r="AC1721">
        <f>HYPERLINK("https://lsnyc.legalserver.org/matter/dynamic-profile/view/1858405","18-1858405")</f>
        <v>0</v>
      </c>
      <c r="AD1721" t="s">
        <v>3447</v>
      </c>
      <c r="AE1721" t="s">
        <v>3463</v>
      </c>
      <c r="AF1721" t="s">
        <v>4737</v>
      </c>
      <c r="AG1721" t="s">
        <v>3362</v>
      </c>
      <c r="AH1721" t="s">
        <v>4904</v>
      </c>
      <c r="AK1721" t="s">
        <v>4911</v>
      </c>
      <c r="AL1721" t="s">
        <v>2133</v>
      </c>
      <c r="AN1721" t="s">
        <v>3419</v>
      </c>
    </row>
    <row r="1722" spans="1:40">
      <c r="A1722" s="1" t="s">
        <v>1758</v>
      </c>
      <c r="B1722" t="s">
        <v>2005</v>
      </c>
      <c r="C1722" t="s">
        <v>2016</v>
      </c>
      <c r="D1722" t="s">
        <v>2070</v>
      </c>
      <c r="E1722" t="s">
        <v>2111</v>
      </c>
      <c r="F1722" t="s">
        <v>2160</v>
      </c>
      <c r="G1722" t="s">
        <v>2212</v>
      </c>
      <c r="H1722">
        <v>11369</v>
      </c>
      <c r="I1722" t="s">
        <v>2229</v>
      </c>
      <c r="J1722">
        <v>4</v>
      </c>
      <c r="K1722">
        <v>1</v>
      </c>
      <c r="L1722" t="s">
        <v>2629</v>
      </c>
      <c r="M1722" t="s">
        <v>2677</v>
      </c>
      <c r="P1722" t="s">
        <v>3111</v>
      </c>
      <c r="Q1722" t="s">
        <v>2113</v>
      </c>
      <c r="R1722" t="s">
        <v>3259</v>
      </c>
      <c r="S1722" t="s">
        <v>3270</v>
      </c>
      <c r="X1722" t="s">
        <v>3354</v>
      </c>
      <c r="Y1722" t="s">
        <v>2678</v>
      </c>
      <c r="Z1722" t="s">
        <v>3377</v>
      </c>
      <c r="AA1722" t="s">
        <v>3406</v>
      </c>
      <c r="AB1722" t="s">
        <v>3418</v>
      </c>
      <c r="AC1722">
        <f>HYPERLINK("https://lsnyc.legalserver.org/matter/dynamic-profile/view/1858482","18-1858482")</f>
        <v>0</v>
      </c>
      <c r="AD1722" t="s">
        <v>3443</v>
      </c>
      <c r="AE1722" t="s">
        <v>3477</v>
      </c>
      <c r="AF1722" t="s">
        <v>4738</v>
      </c>
      <c r="AG1722" t="s">
        <v>3377</v>
      </c>
      <c r="AH1722" t="s">
        <v>4904</v>
      </c>
      <c r="AK1722" t="s">
        <v>4911</v>
      </c>
      <c r="AL1722" t="s">
        <v>2160</v>
      </c>
      <c r="AN1722" t="s">
        <v>3418</v>
      </c>
    </row>
    <row r="1723" spans="1:40">
      <c r="A1723" s="1" t="s">
        <v>1759</v>
      </c>
      <c r="B1723" t="s">
        <v>1998</v>
      </c>
      <c r="C1723" t="s">
        <v>2016</v>
      </c>
      <c r="D1723" t="s">
        <v>2039</v>
      </c>
      <c r="E1723" t="s">
        <v>2112</v>
      </c>
      <c r="F1723" t="s">
        <v>2116</v>
      </c>
      <c r="G1723" t="s">
        <v>2212</v>
      </c>
      <c r="H1723">
        <v>11373</v>
      </c>
      <c r="I1723" t="s">
        <v>2229</v>
      </c>
      <c r="J1723">
        <v>2</v>
      </c>
      <c r="K1723">
        <v>1</v>
      </c>
      <c r="L1723" t="s">
        <v>2630</v>
      </c>
      <c r="M1723" t="s">
        <v>2677</v>
      </c>
      <c r="P1723" t="s">
        <v>2794</v>
      </c>
      <c r="Q1723" t="s">
        <v>2113</v>
      </c>
      <c r="R1723" t="s">
        <v>3259</v>
      </c>
      <c r="S1723" t="s">
        <v>3264</v>
      </c>
      <c r="T1723" t="s">
        <v>3294</v>
      </c>
      <c r="U1723" t="s">
        <v>3114</v>
      </c>
      <c r="X1723" t="s">
        <v>3354</v>
      </c>
      <c r="Y1723" t="s">
        <v>2678</v>
      </c>
      <c r="Z1723" t="s">
        <v>3397</v>
      </c>
      <c r="AA1723" t="s">
        <v>3406</v>
      </c>
      <c r="AB1723" t="s">
        <v>3412</v>
      </c>
      <c r="AC1723">
        <f>HYPERLINK("https://lsnyc.legalserver.org/matter/dynamic-profile/view/1858258","18-1858258")</f>
        <v>0</v>
      </c>
      <c r="AD1723" t="s">
        <v>3443</v>
      </c>
      <c r="AE1723" t="s">
        <v>3471</v>
      </c>
      <c r="AF1723" t="s">
        <v>4739</v>
      </c>
      <c r="AG1723" t="s">
        <v>3397</v>
      </c>
      <c r="AH1723" t="s">
        <v>4904</v>
      </c>
      <c r="AL1723" t="s">
        <v>2116</v>
      </c>
      <c r="AM1723" t="s">
        <v>3294</v>
      </c>
      <c r="AN1723" t="s">
        <v>3412</v>
      </c>
    </row>
    <row r="1724" spans="1:40">
      <c r="A1724" s="1" t="s">
        <v>1760</v>
      </c>
      <c r="B1724" t="s">
        <v>1998</v>
      </c>
      <c r="C1724" t="s">
        <v>2002</v>
      </c>
      <c r="D1724" t="s">
        <v>2094</v>
      </c>
      <c r="E1724" t="s">
        <v>2112</v>
      </c>
      <c r="F1724" t="s">
        <v>2116</v>
      </c>
      <c r="G1724" t="s">
        <v>2213</v>
      </c>
      <c r="H1724">
        <v>10456</v>
      </c>
      <c r="I1724" t="s">
        <v>2229</v>
      </c>
      <c r="J1724">
        <v>3</v>
      </c>
      <c r="K1724">
        <v>2</v>
      </c>
      <c r="L1724" t="s">
        <v>2266</v>
      </c>
      <c r="M1724" t="s">
        <v>2677</v>
      </c>
      <c r="P1724" t="s">
        <v>3112</v>
      </c>
      <c r="Q1724" t="s">
        <v>2113</v>
      </c>
      <c r="R1724" t="s">
        <v>3259</v>
      </c>
      <c r="S1724" t="s">
        <v>3270</v>
      </c>
      <c r="X1724" t="s">
        <v>3354</v>
      </c>
      <c r="Y1724" t="s">
        <v>2677</v>
      </c>
      <c r="Z1724" t="s">
        <v>3362</v>
      </c>
      <c r="AA1724" t="s">
        <v>3406</v>
      </c>
      <c r="AB1724" t="s">
        <v>3418</v>
      </c>
      <c r="AC1724">
        <f>HYPERLINK("https://lsnyc.legalserver.org/matter/dynamic-profile/view/1857989","18-1857989")</f>
        <v>0</v>
      </c>
      <c r="AD1724" t="s">
        <v>3445</v>
      </c>
      <c r="AE1724" t="s">
        <v>3455</v>
      </c>
      <c r="AF1724" t="s">
        <v>4660</v>
      </c>
      <c r="AG1724" t="s">
        <v>3362</v>
      </c>
      <c r="AH1724" t="s">
        <v>4904</v>
      </c>
      <c r="AK1724" t="s">
        <v>4911</v>
      </c>
      <c r="AL1724" t="s">
        <v>2116</v>
      </c>
      <c r="AN1724" t="s">
        <v>3418</v>
      </c>
    </row>
    <row r="1725" spans="1:40">
      <c r="A1725" s="1" t="s">
        <v>1761</v>
      </c>
      <c r="B1725" t="s">
        <v>1998</v>
      </c>
      <c r="C1725" t="s">
        <v>2012</v>
      </c>
      <c r="D1725" t="s">
        <v>2055</v>
      </c>
      <c r="E1725" t="s">
        <v>2112</v>
      </c>
      <c r="F1725" t="s">
        <v>2114</v>
      </c>
      <c r="G1725" t="s">
        <v>2216</v>
      </c>
      <c r="H1725">
        <v>10302</v>
      </c>
      <c r="I1725" t="s">
        <v>2229</v>
      </c>
      <c r="J1725">
        <v>2</v>
      </c>
      <c r="K1725">
        <v>0</v>
      </c>
      <c r="L1725" t="s">
        <v>2259</v>
      </c>
      <c r="M1725" t="s">
        <v>2677</v>
      </c>
      <c r="P1725" t="s">
        <v>3113</v>
      </c>
      <c r="Q1725" t="s">
        <v>2113</v>
      </c>
      <c r="R1725" t="s">
        <v>3259</v>
      </c>
      <c r="S1725" t="s">
        <v>3267</v>
      </c>
      <c r="X1725" t="s">
        <v>3354</v>
      </c>
      <c r="Y1725" t="s">
        <v>2678</v>
      </c>
      <c r="Z1725" t="s">
        <v>3359</v>
      </c>
      <c r="AA1725" t="s">
        <v>3406</v>
      </c>
      <c r="AB1725" t="s">
        <v>3415</v>
      </c>
      <c r="AC1725">
        <f>HYPERLINK("https://lsnyc.legalserver.org/matter/dynamic-profile/view/1857821","18-1857821")</f>
        <v>0</v>
      </c>
      <c r="AD1725" t="s">
        <v>3447</v>
      </c>
      <c r="AE1725" t="s">
        <v>3459</v>
      </c>
      <c r="AF1725" t="s">
        <v>4740</v>
      </c>
      <c r="AG1725" t="s">
        <v>3359</v>
      </c>
      <c r="AH1725" t="s">
        <v>4906</v>
      </c>
      <c r="AK1725" t="s">
        <v>4911</v>
      </c>
      <c r="AL1725" t="s">
        <v>2114</v>
      </c>
      <c r="AN1725" t="s">
        <v>3415</v>
      </c>
    </row>
    <row r="1726" spans="1:40">
      <c r="A1726" s="1" t="s">
        <v>1762</v>
      </c>
      <c r="B1726" t="s">
        <v>1998</v>
      </c>
      <c r="C1726" t="s">
        <v>2017</v>
      </c>
      <c r="D1726" t="s">
        <v>2084</v>
      </c>
      <c r="E1726" t="s">
        <v>2112</v>
      </c>
      <c r="F1726" t="s">
        <v>2116</v>
      </c>
      <c r="G1726" t="s">
        <v>2216</v>
      </c>
      <c r="H1726">
        <v>10302</v>
      </c>
      <c r="I1726" t="s">
        <v>2229</v>
      </c>
      <c r="J1726">
        <v>5</v>
      </c>
      <c r="K1726">
        <v>3</v>
      </c>
      <c r="L1726" t="s">
        <v>2302</v>
      </c>
      <c r="M1726" t="s">
        <v>2677</v>
      </c>
      <c r="P1726" t="s">
        <v>3113</v>
      </c>
      <c r="Q1726" t="s">
        <v>2113</v>
      </c>
      <c r="R1726" t="s">
        <v>3259</v>
      </c>
      <c r="S1726" t="s">
        <v>3276</v>
      </c>
      <c r="T1726" t="s">
        <v>3294</v>
      </c>
      <c r="U1726" t="s">
        <v>3062</v>
      </c>
      <c r="X1726" t="s">
        <v>3354</v>
      </c>
      <c r="Y1726" t="s">
        <v>2678</v>
      </c>
      <c r="Z1726" t="s">
        <v>3373</v>
      </c>
      <c r="AA1726" t="s">
        <v>3406</v>
      </c>
      <c r="AB1726" t="s">
        <v>3424</v>
      </c>
      <c r="AC1726">
        <f>HYPERLINK("https://lsnyc.legalserver.org/matter/dynamic-profile/view/1857828","18-1857828")</f>
        <v>0</v>
      </c>
      <c r="AD1726" t="s">
        <v>3447</v>
      </c>
      <c r="AE1726" t="s">
        <v>3462</v>
      </c>
      <c r="AF1726" t="s">
        <v>4741</v>
      </c>
      <c r="AG1726" t="s">
        <v>3373</v>
      </c>
      <c r="AH1726" t="s">
        <v>4904</v>
      </c>
      <c r="AK1726" t="s">
        <v>4911</v>
      </c>
      <c r="AL1726" t="s">
        <v>2116</v>
      </c>
      <c r="AM1726" t="s">
        <v>3294</v>
      </c>
      <c r="AN1726" t="s">
        <v>3424</v>
      </c>
    </row>
    <row r="1727" spans="1:40">
      <c r="A1727" s="1" t="s">
        <v>1763</v>
      </c>
      <c r="B1727" t="s">
        <v>1998</v>
      </c>
      <c r="C1727" t="s">
        <v>2017</v>
      </c>
      <c r="D1727" t="s">
        <v>2084</v>
      </c>
      <c r="E1727" t="s">
        <v>2112</v>
      </c>
      <c r="F1727" t="s">
        <v>2116</v>
      </c>
      <c r="G1727" t="s">
        <v>2216</v>
      </c>
      <c r="H1727">
        <v>10302</v>
      </c>
      <c r="I1727" t="s">
        <v>2229</v>
      </c>
      <c r="J1727">
        <v>5</v>
      </c>
      <c r="K1727">
        <v>3</v>
      </c>
      <c r="L1727" t="s">
        <v>2302</v>
      </c>
      <c r="M1727" t="s">
        <v>2677</v>
      </c>
      <c r="P1727" t="s">
        <v>3113</v>
      </c>
      <c r="Q1727" t="s">
        <v>2113</v>
      </c>
      <c r="R1727" t="s">
        <v>3258</v>
      </c>
      <c r="S1727" t="s">
        <v>3262</v>
      </c>
      <c r="T1727" t="s">
        <v>3294</v>
      </c>
      <c r="U1727" t="s">
        <v>3062</v>
      </c>
      <c r="X1727" t="s">
        <v>3354</v>
      </c>
      <c r="Y1727" t="s">
        <v>2678</v>
      </c>
      <c r="Z1727" t="s">
        <v>3355</v>
      </c>
      <c r="AA1727" t="s">
        <v>3406</v>
      </c>
      <c r="AB1727" t="s">
        <v>3410</v>
      </c>
      <c r="AC1727">
        <f>HYPERLINK("https://lsnyc.legalserver.org/matter/dynamic-profile/view/1857832","18-1857832")</f>
        <v>0</v>
      </c>
      <c r="AD1727" t="s">
        <v>3447</v>
      </c>
      <c r="AE1727" t="s">
        <v>3462</v>
      </c>
      <c r="AF1727" t="s">
        <v>4741</v>
      </c>
      <c r="AG1727" t="s">
        <v>3355</v>
      </c>
      <c r="AH1727" t="s">
        <v>4904</v>
      </c>
      <c r="AK1727" t="s">
        <v>4911</v>
      </c>
      <c r="AL1727" t="s">
        <v>2116</v>
      </c>
      <c r="AM1727" t="s">
        <v>3294</v>
      </c>
      <c r="AN1727" t="s">
        <v>3410</v>
      </c>
    </row>
    <row r="1728" spans="1:40">
      <c r="A1728" s="1" t="s">
        <v>1764</v>
      </c>
      <c r="B1728" t="s">
        <v>1998</v>
      </c>
      <c r="C1728" t="s">
        <v>2000</v>
      </c>
      <c r="D1728" t="s">
        <v>2033</v>
      </c>
      <c r="E1728" t="s">
        <v>2112</v>
      </c>
      <c r="F1728" t="s">
        <v>2139</v>
      </c>
      <c r="G1728" t="s">
        <v>2214</v>
      </c>
      <c r="H1728">
        <v>11207</v>
      </c>
      <c r="I1728" t="s">
        <v>2252</v>
      </c>
      <c r="J1728">
        <v>2</v>
      </c>
      <c r="K1728">
        <v>1</v>
      </c>
      <c r="L1728" t="s">
        <v>2260</v>
      </c>
      <c r="M1728" t="s">
        <v>2677</v>
      </c>
      <c r="P1728" t="s">
        <v>3114</v>
      </c>
      <c r="Q1728" t="s">
        <v>3255</v>
      </c>
      <c r="R1728" t="s">
        <v>3259</v>
      </c>
      <c r="S1728" t="s">
        <v>3270</v>
      </c>
      <c r="T1728" t="s">
        <v>3294</v>
      </c>
      <c r="U1728" t="s">
        <v>3325</v>
      </c>
      <c r="X1728" t="s">
        <v>3354</v>
      </c>
      <c r="Y1728" t="s">
        <v>2678</v>
      </c>
      <c r="Z1728" t="s">
        <v>3357</v>
      </c>
      <c r="AA1728" t="s">
        <v>3406</v>
      </c>
      <c r="AB1728" t="s">
        <v>3418</v>
      </c>
      <c r="AC1728">
        <f>HYPERLINK("https://lsnyc.legalserver.org/matter/dynamic-profile/view/1857777","18-1857777")</f>
        <v>0</v>
      </c>
      <c r="AD1728" t="s">
        <v>3446</v>
      </c>
      <c r="AE1728" t="s">
        <v>3465</v>
      </c>
      <c r="AF1728" t="s">
        <v>4742</v>
      </c>
      <c r="AG1728" t="s">
        <v>3357</v>
      </c>
      <c r="AH1728" t="s">
        <v>4904</v>
      </c>
      <c r="AK1728" t="s">
        <v>4911</v>
      </c>
      <c r="AL1728" t="s">
        <v>2139</v>
      </c>
      <c r="AM1728" t="s">
        <v>3294</v>
      </c>
      <c r="AN1728" t="s">
        <v>3418</v>
      </c>
    </row>
    <row r="1729" spans="1:41">
      <c r="A1729" s="1" t="s">
        <v>1765</v>
      </c>
      <c r="B1729" t="s">
        <v>2000</v>
      </c>
      <c r="C1729" t="s">
        <v>2021</v>
      </c>
      <c r="D1729" t="s">
        <v>2055</v>
      </c>
      <c r="E1729" t="s">
        <v>2111</v>
      </c>
      <c r="F1729" t="s">
        <v>2129</v>
      </c>
      <c r="G1729" t="s">
        <v>2211</v>
      </c>
      <c r="H1729">
        <v>11230</v>
      </c>
      <c r="I1729" t="s">
        <v>2232</v>
      </c>
      <c r="J1729">
        <v>1</v>
      </c>
      <c r="K1729">
        <v>0</v>
      </c>
      <c r="L1729" t="s">
        <v>2260</v>
      </c>
      <c r="M1729" t="s">
        <v>2677</v>
      </c>
      <c r="P1729" t="s">
        <v>3114</v>
      </c>
      <c r="Q1729" t="s">
        <v>2113</v>
      </c>
      <c r="R1729" t="s">
        <v>3259</v>
      </c>
      <c r="S1729" t="s">
        <v>3268</v>
      </c>
      <c r="X1729" t="s">
        <v>3354</v>
      </c>
      <c r="Y1729" t="s">
        <v>2677</v>
      </c>
      <c r="Z1729" t="s">
        <v>3368</v>
      </c>
      <c r="AA1729" t="s">
        <v>3406</v>
      </c>
      <c r="AB1729" t="s">
        <v>3416</v>
      </c>
      <c r="AC1729">
        <f>HYPERLINK("https://lsnyc.legalserver.org/matter/dynamic-profile/view/1857830","18-1857830")</f>
        <v>0</v>
      </c>
      <c r="AD1729" t="s">
        <v>3445</v>
      </c>
      <c r="AE1729" t="s">
        <v>3455</v>
      </c>
      <c r="AF1729" t="s">
        <v>3537</v>
      </c>
      <c r="AG1729" t="s">
        <v>3368</v>
      </c>
      <c r="AH1729" t="s">
        <v>4904</v>
      </c>
      <c r="AK1729" t="s">
        <v>4911</v>
      </c>
      <c r="AL1729" t="s">
        <v>2129</v>
      </c>
      <c r="AN1729" t="s">
        <v>3416</v>
      </c>
    </row>
    <row r="1730" spans="1:41">
      <c r="A1730" s="1" t="s">
        <v>1766</v>
      </c>
      <c r="B1730" t="s">
        <v>2001</v>
      </c>
      <c r="C1730" t="s">
        <v>2003</v>
      </c>
      <c r="D1730" t="s">
        <v>2049</v>
      </c>
      <c r="E1730" t="s">
        <v>2111</v>
      </c>
      <c r="F1730" t="s">
        <v>2114</v>
      </c>
      <c r="G1730" t="s">
        <v>2213</v>
      </c>
      <c r="H1730">
        <v>10459</v>
      </c>
      <c r="I1730" t="s">
        <v>2230</v>
      </c>
      <c r="J1730">
        <v>3</v>
      </c>
      <c r="K1730">
        <v>1</v>
      </c>
      <c r="L1730" t="s">
        <v>2631</v>
      </c>
      <c r="M1730" t="s">
        <v>2677</v>
      </c>
      <c r="P1730" t="s">
        <v>3115</v>
      </c>
      <c r="Q1730" t="s">
        <v>2113</v>
      </c>
      <c r="R1730" t="s">
        <v>3258</v>
      </c>
      <c r="S1730" t="s">
        <v>3273</v>
      </c>
      <c r="T1730" t="s">
        <v>3294</v>
      </c>
      <c r="U1730" t="s">
        <v>3073</v>
      </c>
      <c r="X1730" t="s">
        <v>3354</v>
      </c>
      <c r="Y1730" t="s">
        <v>2678</v>
      </c>
      <c r="Z1730" t="s">
        <v>3370</v>
      </c>
      <c r="AA1730" t="s">
        <v>3406</v>
      </c>
      <c r="AB1730" t="s">
        <v>3421</v>
      </c>
      <c r="AC1730">
        <f>HYPERLINK("https://lsnyc.legalserver.org/matter/dynamic-profile/view/1857573","18-1857573")</f>
        <v>0</v>
      </c>
      <c r="AD1730" t="s">
        <v>3444</v>
      </c>
      <c r="AE1730" t="s">
        <v>3451</v>
      </c>
      <c r="AF1730" t="s">
        <v>4743</v>
      </c>
      <c r="AG1730" t="s">
        <v>3370</v>
      </c>
      <c r="AH1730" t="s">
        <v>4904</v>
      </c>
      <c r="AK1730" t="s">
        <v>4911</v>
      </c>
      <c r="AL1730" t="s">
        <v>2114</v>
      </c>
      <c r="AM1730" t="s">
        <v>3294</v>
      </c>
      <c r="AN1730" t="s">
        <v>3421</v>
      </c>
    </row>
    <row r="1731" spans="1:41">
      <c r="A1731" s="1" t="s">
        <v>1767</v>
      </c>
      <c r="B1731" t="s">
        <v>2009</v>
      </c>
      <c r="C1731" t="s">
        <v>1998</v>
      </c>
      <c r="D1731" t="s">
        <v>2069</v>
      </c>
      <c r="E1731" t="s">
        <v>2112</v>
      </c>
      <c r="F1731" t="s">
        <v>2117</v>
      </c>
      <c r="G1731" t="s">
        <v>2213</v>
      </c>
      <c r="H1731">
        <v>10454</v>
      </c>
      <c r="I1731" t="s">
        <v>2229</v>
      </c>
      <c r="J1731">
        <v>2</v>
      </c>
      <c r="K1731">
        <v>0</v>
      </c>
      <c r="L1731" t="s">
        <v>2260</v>
      </c>
      <c r="M1731" t="s">
        <v>2677</v>
      </c>
      <c r="P1731" t="s">
        <v>2746</v>
      </c>
      <c r="Q1731" t="s">
        <v>3255</v>
      </c>
      <c r="R1731" t="s">
        <v>3259</v>
      </c>
      <c r="S1731" t="s">
        <v>3268</v>
      </c>
      <c r="T1731" t="s">
        <v>3294</v>
      </c>
      <c r="U1731" t="s">
        <v>2959</v>
      </c>
      <c r="X1731" t="s">
        <v>3354</v>
      </c>
      <c r="Y1731" t="s">
        <v>2678</v>
      </c>
      <c r="Z1731" t="s">
        <v>3368</v>
      </c>
      <c r="AA1731" t="s">
        <v>3406</v>
      </c>
      <c r="AB1731" t="s">
        <v>3416</v>
      </c>
      <c r="AC1731">
        <f>HYPERLINK("https://lsnyc.legalserver.org/matter/dynamic-profile/view/1857583","18-1857583")</f>
        <v>0</v>
      </c>
      <c r="AD1731" t="s">
        <v>3444</v>
      </c>
      <c r="AE1731" t="s">
        <v>3451</v>
      </c>
      <c r="AF1731" t="s">
        <v>4744</v>
      </c>
      <c r="AG1731" t="s">
        <v>3368</v>
      </c>
      <c r="AH1731" t="s">
        <v>4906</v>
      </c>
      <c r="AL1731" t="s">
        <v>2117</v>
      </c>
      <c r="AM1731" t="s">
        <v>3294</v>
      </c>
      <c r="AN1731" t="s">
        <v>3416</v>
      </c>
    </row>
    <row r="1732" spans="1:41">
      <c r="A1732" s="1" t="s">
        <v>1768</v>
      </c>
      <c r="B1732" t="s">
        <v>2004</v>
      </c>
      <c r="C1732" t="s">
        <v>2005</v>
      </c>
      <c r="D1732" t="s">
        <v>2060</v>
      </c>
      <c r="E1732" t="s">
        <v>2112</v>
      </c>
      <c r="F1732" t="s">
        <v>2135</v>
      </c>
      <c r="G1732" t="s">
        <v>2212</v>
      </c>
      <c r="H1732">
        <v>11377</v>
      </c>
      <c r="I1732" t="s">
        <v>2229</v>
      </c>
      <c r="J1732">
        <v>3</v>
      </c>
      <c r="K1732">
        <v>2</v>
      </c>
      <c r="L1732" t="s">
        <v>2285</v>
      </c>
      <c r="M1732" t="s">
        <v>2677</v>
      </c>
      <c r="P1732" t="s">
        <v>3115</v>
      </c>
      <c r="Q1732" t="s">
        <v>2113</v>
      </c>
      <c r="R1732" t="s">
        <v>3259</v>
      </c>
      <c r="S1732" t="s">
        <v>3264</v>
      </c>
      <c r="X1732" t="s">
        <v>3354</v>
      </c>
      <c r="Y1732" t="s">
        <v>2677</v>
      </c>
      <c r="Z1732" t="s">
        <v>3357</v>
      </c>
      <c r="AA1732" t="s">
        <v>3406</v>
      </c>
      <c r="AB1732" t="s">
        <v>3412</v>
      </c>
      <c r="AC1732">
        <f>HYPERLINK("https://lsnyc.legalserver.org/matter/dynamic-profile/view/1857721","18-1857721")</f>
        <v>0</v>
      </c>
      <c r="AD1732" t="s">
        <v>3445</v>
      </c>
      <c r="AE1732" t="s">
        <v>3455</v>
      </c>
      <c r="AF1732" t="s">
        <v>4745</v>
      </c>
      <c r="AG1732" t="s">
        <v>3357</v>
      </c>
      <c r="AH1732" t="s">
        <v>4904</v>
      </c>
      <c r="AK1732" t="s">
        <v>4911</v>
      </c>
      <c r="AL1732" t="s">
        <v>2135</v>
      </c>
      <c r="AN1732" t="s">
        <v>3412</v>
      </c>
    </row>
    <row r="1733" spans="1:41">
      <c r="A1733" s="1" t="s">
        <v>1769</v>
      </c>
      <c r="B1733" t="s">
        <v>2002</v>
      </c>
      <c r="C1733" t="s">
        <v>2001</v>
      </c>
      <c r="D1733" t="s">
        <v>2103</v>
      </c>
      <c r="E1733" t="s">
        <v>2112</v>
      </c>
      <c r="F1733" t="s">
        <v>2139</v>
      </c>
      <c r="G1733" t="s">
        <v>2214</v>
      </c>
      <c r="H1733">
        <v>11210</v>
      </c>
      <c r="I1733" t="s">
        <v>2247</v>
      </c>
      <c r="J1733">
        <v>4</v>
      </c>
      <c r="K1733">
        <v>0</v>
      </c>
      <c r="L1733" t="s">
        <v>2285</v>
      </c>
      <c r="M1733" t="s">
        <v>2677</v>
      </c>
      <c r="P1733" t="s">
        <v>3116</v>
      </c>
      <c r="Q1733" t="s">
        <v>3255</v>
      </c>
      <c r="R1733" t="s">
        <v>3258</v>
      </c>
      <c r="S1733" t="s">
        <v>3271</v>
      </c>
      <c r="X1733" t="s">
        <v>3354</v>
      </c>
      <c r="Y1733" t="s">
        <v>2677</v>
      </c>
      <c r="Z1733" t="s">
        <v>3362</v>
      </c>
      <c r="AA1733" t="s">
        <v>3406</v>
      </c>
      <c r="AB1733" t="s">
        <v>3419</v>
      </c>
      <c r="AC1733">
        <f>HYPERLINK("https://lsnyc.legalserver.org/matter/dynamic-profile/view/1856912","18-1856912")</f>
        <v>0</v>
      </c>
      <c r="AD1733" t="s">
        <v>3445</v>
      </c>
      <c r="AE1733" t="s">
        <v>3455</v>
      </c>
      <c r="AF1733" t="s">
        <v>4746</v>
      </c>
      <c r="AG1733" t="s">
        <v>3362</v>
      </c>
      <c r="AH1733" t="s">
        <v>4904</v>
      </c>
      <c r="AK1733" t="s">
        <v>4911</v>
      </c>
      <c r="AL1733" t="s">
        <v>2139</v>
      </c>
      <c r="AN1733" t="s">
        <v>3419</v>
      </c>
    </row>
    <row r="1734" spans="1:41">
      <c r="A1734" s="1" t="s">
        <v>1770</v>
      </c>
      <c r="B1734" t="s">
        <v>2001</v>
      </c>
      <c r="C1734" t="s">
        <v>2009</v>
      </c>
      <c r="D1734" t="s">
        <v>2093</v>
      </c>
      <c r="E1734" t="s">
        <v>2112</v>
      </c>
      <c r="F1734" t="s">
        <v>2123</v>
      </c>
      <c r="G1734" t="s">
        <v>2213</v>
      </c>
      <c r="H1734">
        <v>10472</v>
      </c>
      <c r="I1734" t="s">
        <v>2229</v>
      </c>
      <c r="J1734">
        <v>3</v>
      </c>
      <c r="K1734">
        <v>2</v>
      </c>
      <c r="L1734" t="s">
        <v>2429</v>
      </c>
      <c r="M1734" t="s">
        <v>2677</v>
      </c>
      <c r="P1734" t="s">
        <v>3116</v>
      </c>
      <c r="Q1734" t="s">
        <v>3255</v>
      </c>
      <c r="R1734" t="s">
        <v>3258</v>
      </c>
      <c r="S1734" t="s">
        <v>3271</v>
      </c>
      <c r="X1734" t="s">
        <v>3354</v>
      </c>
      <c r="Y1734" t="s">
        <v>2677</v>
      </c>
      <c r="Z1734" t="s">
        <v>3362</v>
      </c>
      <c r="AA1734" t="s">
        <v>3406</v>
      </c>
      <c r="AB1734" t="s">
        <v>3419</v>
      </c>
      <c r="AC1734">
        <f>HYPERLINK("https://lsnyc.legalserver.org/matter/dynamic-profile/view/1857541","18-1857541")</f>
        <v>0</v>
      </c>
      <c r="AD1734" t="s">
        <v>3445</v>
      </c>
      <c r="AE1734" t="s">
        <v>3455</v>
      </c>
      <c r="AF1734" t="s">
        <v>4747</v>
      </c>
      <c r="AG1734" t="s">
        <v>3362</v>
      </c>
      <c r="AH1734" t="s">
        <v>4904</v>
      </c>
      <c r="AK1734" t="s">
        <v>4911</v>
      </c>
      <c r="AL1734" t="s">
        <v>2123</v>
      </c>
      <c r="AN1734" t="s">
        <v>3419</v>
      </c>
    </row>
    <row r="1735" spans="1:41">
      <c r="A1735" s="1" t="s">
        <v>1771</v>
      </c>
      <c r="B1735" t="s">
        <v>1998</v>
      </c>
      <c r="C1735" t="s">
        <v>1998</v>
      </c>
      <c r="D1735" t="s">
        <v>2068</v>
      </c>
      <c r="E1735" t="s">
        <v>2111</v>
      </c>
      <c r="F1735" t="s">
        <v>2131</v>
      </c>
      <c r="G1735" t="s">
        <v>2211</v>
      </c>
      <c r="H1735">
        <v>10039</v>
      </c>
      <c r="I1735" t="s">
        <v>2229</v>
      </c>
      <c r="J1735">
        <v>2</v>
      </c>
      <c r="K1735">
        <v>0</v>
      </c>
      <c r="L1735" t="s">
        <v>2632</v>
      </c>
      <c r="M1735" t="s">
        <v>2677</v>
      </c>
      <c r="P1735" t="s">
        <v>2824</v>
      </c>
      <c r="Q1735" t="s">
        <v>2113</v>
      </c>
      <c r="R1735" t="s">
        <v>3259</v>
      </c>
      <c r="S1735" t="s">
        <v>3267</v>
      </c>
      <c r="T1735" t="s">
        <v>3294</v>
      </c>
      <c r="V1735" t="s">
        <v>3352</v>
      </c>
      <c r="X1735" t="s">
        <v>3354</v>
      </c>
      <c r="Y1735" t="s">
        <v>2678</v>
      </c>
      <c r="Z1735" t="s">
        <v>3359</v>
      </c>
      <c r="AA1735" t="s">
        <v>3406</v>
      </c>
      <c r="AB1735" t="s">
        <v>3415</v>
      </c>
      <c r="AC1735">
        <f>HYPERLINK("https://lsnyc.legalserver.org/matter/dynamic-profile/view/1889636","19-1889636")</f>
        <v>0</v>
      </c>
      <c r="AD1735" t="s">
        <v>3443</v>
      </c>
      <c r="AE1735" t="s">
        <v>3450</v>
      </c>
      <c r="AF1735" t="s">
        <v>3996</v>
      </c>
      <c r="AG1735" t="s">
        <v>3359</v>
      </c>
      <c r="AH1735" t="s">
        <v>4906</v>
      </c>
      <c r="AL1735" t="s">
        <v>2131</v>
      </c>
      <c r="AM1735" t="s">
        <v>3294</v>
      </c>
      <c r="AN1735" t="s">
        <v>3415</v>
      </c>
      <c r="AO1735" t="s">
        <v>3352</v>
      </c>
    </row>
    <row r="1736" spans="1:41">
      <c r="A1736" s="1" t="s">
        <v>1772</v>
      </c>
      <c r="B1736" t="s">
        <v>2000</v>
      </c>
      <c r="C1736" t="s">
        <v>2001</v>
      </c>
      <c r="D1736" t="s">
        <v>2034</v>
      </c>
      <c r="E1736" t="s">
        <v>2111</v>
      </c>
      <c r="F1736" t="s">
        <v>2120</v>
      </c>
      <c r="G1736" t="s">
        <v>2212</v>
      </c>
      <c r="H1736">
        <v>11692</v>
      </c>
      <c r="I1736" t="s">
        <v>2230</v>
      </c>
      <c r="J1736">
        <v>4</v>
      </c>
      <c r="K1736">
        <v>1</v>
      </c>
      <c r="L1736" t="s">
        <v>2304</v>
      </c>
      <c r="M1736" t="s">
        <v>2677</v>
      </c>
      <c r="P1736" t="s">
        <v>2965</v>
      </c>
      <c r="Q1736" t="s">
        <v>2113</v>
      </c>
      <c r="R1736" t="s">
        <v>3259</v>
      </c>
      <c r="S1736" t="s">
        <v>3268</v>
      </c>
      <c r="X1736" t="s">
        <v>3354</v>
      </c>
      <c r="Y1736" t="s">
        <v>2677</v>
      </c>
      <c r="Z1736" t="s">
        <v>3368</v>
      </c>
      <c r="AA1736" t="s">
        <v>3406</v>
      </c>
      <c r="AB1736" t="s">
        <v>3416</v>
      </c>
      <c r="AC1736">
        <f>HYPERLINK("https://lsnyc.legalserver.org/matter/dynamic-profile/view/1857328","18-1857328")</f>
        <v>0</v>
      </c>
      <c r="AD1736" t="s">
        <v>3445</v>
      </c>
      <c r="AE1736" t="s">
        <v>3455</v>
      </c>
      <c r="AF1736" t="s">
        <v>4084</v>
      </c>
      <c r="AG1736" t="s">
        <v>3368</v>
      </c>
      <c r="AH1736" t="s">
        <v>4904</v>
      </c>
      <c r="AK1736" t="s">
        <v>4911</v>
      </c>
      <c r="AL1736" t="s">
        <v>2120</v>
      </c>
      <c r="AN1736" t="s">
        <v>3416</v>
      </c>
    </row>
    <row r="1737" spans="1:41">
      <c r="A1737" s="1" t="s">
        <v>1773</v>
      </c>
      <c r="B1737" t="s">
        <v>1998</v>
      </c>
      <c r="C1737" t="s">
        <v>2001</v>
      </c>
      <c r="D1737" t="s">
        <v>2057</v>
      </c>
      <c r="E1737" t="s">
        <v>2112</v>
      </c>
      <c r="F1737" t="s">
        <v>2117</v>
      </c>
      <c r="G1737" t="s">
        <v>2216</v>
      </c>
      <c r="H1737">
        <v>10301</v>
      </c>
      <c r="I1737" t="s">
        <v>2229</v>
      </c>
      <c r="J1737">
        <v>3</v>
      </c>
      <c r="K1737">
        <v>2</v>
      </c>
      <c r="L1737" t="s">
        <v>2266</v>
      </c>
      <c r="M1737" t="s">
        <v>2677</v>
      </c>
      <c r="P1737" t="s">
        <v>3117</v>
      </c>
      <c r="Q1737" t="s">
        <v>3255</v>
      </c>
      <c r="R1737" t="s">
        <v>3259</v>
      </c>
      <c r="S1737" t="s">
        <v>3270</v>
      </c>
      <c r="T1737" t="s">
        <v>3294</v>
      </c>
      <c r="U1737" t="s">
        <v>3091</v>
      </c>
      <c r="V1737" t="s">
        <v>3353</v>
      </c>
      <c r="X1737" t="s">
        <v>3354</v>
      </c>
      <c r="Y1737" t="s">
        <v>2678</v>
      </c>
      <c r="Z1737" t="s">
        <v>3359</v>
      </c>
      <c r="AA1737" t="s">
        <v>3406</v>
      </c>
      <c r="AB1737" t="s">
        <v>3418</v>
      </c>
      <c r="AC1737">
        <f>HYPERLINK("https://lsnyc.legalserver.org/matter/dynamic-profile/view/1853857","17-1853857")</f>
        <v>0</v>
      </c>
      <c r="AD1737" t="s">
        <v>3447</v>
      </c>
      <c r="AE1737" t="s">
        <v>3459</v>
      </c>
      <c r="AF1737" t="s">
        <v>4748</v>
      </c>
      <c r="AG1737" t="s">
        <v>3359</v>
      </c>
      <c r="AH1737" t="s">
        <v>4906</v>
      </c>
      <c r="AL1737" t="s">
        <v>2117</v>
      </c>
      <c r="AM1737" t="s">
        <v>3294</v>
      </c>
      <c r="AN1737" t="s">
        <v>3418</v>
      </c>
      <c r="AO1737" t="s">
        <v>3353</v>
      </c>
    </row>
    <row r="1738" spans="1:41">
      <c r="A1738" s="1" t="s">
        <v>1774</v>
      </c>
      <c r="B1738" t="s">
        <v>2000</v>
      </c>
      <c r="C1738" t="s">
        <v>2001</v>
      </c>
      <c r="D1738" t="s">
        <v>2027</v>
      </c>
      <c r="E1738" t="s">
        <v>2112</v>
      </c>
      <c r="F1738" t="s">
        <v>2115</v>
      </c>
      <c r="G1738" t="s">
        <v>2216</v>
      </c>
      <c r="H1738">
        <v>10302</v>
      </c>
      <c r="I1738" t="s">
        <v>2229</v>
      </c>
      <c r="J1738">
        <v>6</v>
      </c>
      <c r="K1738">
        <v>4</v>
      </c>
      <c r="L1738" t="s">
        <v>2256</v>
      </c>
      <c r="M1738" t="s">
        <v>2677</v>
      </c>
      <c r="P1738" t="s">
        <v>3118</v>
      </c>
      <c r="Q1738" t="s">
        <v>2113</v>
      </c>
      <c r="R1738" t="s">
        <v>3259</v>
      </c>
      <c r="S1738" t="s">
        <v>3267</v>
      </c>
      <c r="X1738" t="s">
        <v>3354</v>
      </c>
      <c r="Y1738" t="s">
        <v>2678</v>
      </c>
      <c r="Z1738" t="s">
        <v>3359</v>
      </c>
      <c r="AA1738" t="s">
        <v>3406</v>
      </c>
      <c r="AB1738" t="s">
        <v>3415</v>
      </c>
      <c r="AC1738">
        <f>HYPERLINK("https://lsnyc.legalserver.org/matter/dynamic-profile/view/1857090","18-1857090")</f>
        <v>0</v>
      </c>
      <c r="AD1738" t="s">
        <v>3447</v>
      </c>
      <c r="AE1738" t="s">
        <v>3463</v>
      </c>
      <c r="AF1738" t="s">
        <v>4749</v>
      </c>
      <c r="AG1738" t="s">
        <v>3359</v>
      </c>
      <c r="AH1738" t="s">
        <v>4906</v>
      </c>
      <c r="AK1738" t="s">
        <v>4911</v>
      </c>
      <c r="AL1738" t="s">
        <v>2115</v>
      </c>
      <c r="AN1738" t="s">
        <v>3415</v>
      </c>
    </row>
    <row r="1739" spans="1:41">
      <c r="A1739" s="1" t="s">
        <v>1775</v>
      </c>
      <c r="B1739" t="s">
        <v>2000</v>
      </c>
      <c r="C1739" t="s">
        <v>2005</v>
      </c>
      <c r="D1739" t="s">
        <v>2088</v>
      </c>
      <c r="E1739" t="s">
        <v>2112</v>
      </c>
      <c r="F1739" t="s">
        <v>2115</v>
      </c>
      <c r="G1739" t="s">
        <v>2216</v>
      </c>
      <c r="H1739">
        <v>10302</v>
      </c>
      <c r="I1739" t="s">
        <v>2229</v>
      </c>
      <c r="J1739">
        <v>6</v>
      </c>
      <c r="K1739">
        <v>4</v>
      </c>
      <c r="L1739" t="s">
        <v>2256</v>
      </c>
      <c r="M1739" t="s">
        <v>2677</v>
      </c>
      <c r="P1739" t="s">
        <v>3118</v>
      </c>
      <c r="Q1739" t="s">
        <v>2113</v>
      </c>
      <c r="R1739" t="s">
        <v>3259</v>
      </c>
      <c r="S1739" t="s">
        <v>3267</v>
      </c>
      <c r="X1739" t="s">
        <v>3354</v>
      </c>
      <c r="Y1739" t="s">
        <v>2678</v>
      </c>
      <c r="Z1739" t="s">
        <v>3359</v>
      </c>
      <c r="AA1739" t="s">
        <v>3406</v>
      </c>
      <c r="AB1739" t="s">
        <v>3415</v>
      </c>
      <c r="AC1739">
        <f>HYPERLINK("https://lsnyc.legalserver.org/matter/dynamic-profile/view/1857097","18-1857097")</f>
        <v>0</v>
      </c>
      <c r="AD1739" t="s">
        <v>3447</v>
      </c>
      <c r="AE1739" t="s">
        <v>3463</v>
      </c>
      <c r="AF1739" t="s">
        <v>4750</v>
      </c>
      <c r="AG1739" t="s">
        <v>3359</v>
      </c>
      <c r="AH1739" t="s">
        <v>4906</v>
      </c>
      <c r="AK1739" t="s">
        <v>4911</v>
      </c>
      <c r="AL1739" t="s">
        <v>2115</v>
      </c>
      <c r="AN1739" t="s">
        <v>3415</v>
      </c>
    </row>
    <row r="1740" spans="1:41">
      <c r="A1740" s="1" t="s">
        <v>1776</v>
      </c>
      <c r="B1740" t="s">
        <v>2000</v>
      </c>
      <c r="C1740" t="s">
        <v>1998</v>
      </c>
      <c r="D1740" t="s">
        <v>2077</v>
      </c>
      <c r="E1740" t="s">
        <v>2111</v>
      </c>
      <c r="F1740" t="s">
        <v>2133</v>
      </c>
      <c r="G1740" t="s">
        <v>2216</v>
      </c>
      <c r="H1740">
        <v>10314</v>
      </c>
      <c r="I1740" t="s">
        <v>2230</v>
      </c>
      <c r="J1740">
        <v>1</v>
      </c>
      <c r="K1740">
        <v>0</v>
      </c>
      <c r="L1740" t="s">
        <v>2260</v>
      </c>
      <c r="M1740" t="s">
        <v>2677</v>
      </c>
      <c r="P1740" t="s">
        <v>3119</v>
      </c>
      <c r="Q1740" t="s">
        <v>2113</v>
      </c>
      <c r="R1740" t="s">
        <v>3259</v>
      </c>
      <c r="S1740" t="s">
        <v>3268</v>
      </c>
      <c r="T1740" t="s">
        <v>3294</v>
      </c>
      <c r="U1740" t="s">
        <v>3119</v>
      </c>
      <c r="X1740" t="s">
        <v>3354</v>
      </c>
      <c r="Y1740" t="s">
        <v>2678</v>
      </c>
      <c r="Z1740" t="s">
        <v>3360</v>
      </c>
      <c r="AA1740" t="s">
        <v>3406</v>
      </c>
      <c r="AB1740" t="s">
        <v>3416</v>
      </c>
      <c r="AC1740">
        <f>HYPERLINK("https://lsnyc.legalserver.org/matter/dynamic-profile/view/1856186","18-1856186")</f>
        <v>0</v>
      </c>
      <c r="AD1740" t="s">
        <v>3447</v>
      </c>
      <c r="AE1740" t="s">
        <v>3463</v>
      </c>
      <c r="AF1740" t="s">
        <v>4344</v>
      </c>
      <c r="AG1740" t="s">
        <v>3360</v>
      </c>
      <c r="AH1740" t="s">
        <v>4904</v>
      </c>
      <c r="AK1740" t="s">
        <v>4911</v>
      </c>
      <c r="AL1740" t="s">
        <v>2133</v>
      </c>
      <c r="AM1740" t="s">
        <v>3294</v>
      </c>
      <c r="AN1740" t="s">
        <v>3416</v>
      </c>
    </row>
    <row r="1741" spans="1:41">
      <c r="A1741" s="1" t="s">
        <v>1777</v>
      </c>
      <c r="B1741" t="s">
        <v>2001</v>
      </c>
      <c r="C1741" t="s">
        <v>2000</v>
      </c>
      <c r="D1741" t="s">
        <v>2064</v>
      </c>
      <c r="E1741" t="s">
        <v>2112</v>
      </c>
      <c r="F1741" t="s">
        <v>2117</v>
      </c>
      <c r="G1741" t="s">
        <v>2216</v>
      </c>
      <c r="H1741">
        <v>10301</v>
      </c>
      <c r="I1741" t="s">
        <v>2229</v>
      </c>
      <c r="J1741">
        <v>4</v>
      </c>
      <c r="K1741">
        <v>2</v>
      </c>
      <c r="L1741" t="s">
        <v>2442</v>
      </c>
      <c r="M1741" t="s">
        <v>2677</v>
      </c>
      <c r="P1741" t="s">
        <v>3119</v>
      </c>
      <c r="Q1741" t="s">
        <v>2113</v>
      </c>
      <c r="R1741" t="s">
        <v>3259</v>
      </c>
      <c r="S1741" t="s">
        <v>3267</v>
      </c>
      <c r="X1741" t="s">
        <v>3354</v>
      </c>
      <c r="Y1741" t="s">
        <v>2678</v>
      </c>
      <c r="Z1741" t="s">
        <v>3359</v>
      </c>
      <c r="AA1741" t="s">
        <v>3406</v>
      </c>
      <c r="AB1741" t="s">
        <v>3415</v>
      </c>
      <c r="AC1741">
        <f>HYPERLINK("https://lsnyc.legalserver.org/matter/dynamic-profile/view/1856261","18-1856261")</f>
        <v>0</v>
      </c>
      <c r="AD1741" t="s">
        <v>3447</v>
      </c>
      <c r="AE1741" t="s">
        <v>3463</v>
      </c>
      <c r="AF1741" t="s">
        <v>4751</v>
      </c>
      <c r="AG1741" t="s">
        <v>3359</v>
      </c>
      <c r="AH1741" t="s">
        <v>4906</v>
      </c>
      <c r="AK1741" t="s">
        <v>4911</v>
      </c>
      <c r="AL1741" t="s">
        <v>2117</v>
      </c>
      <c r="AN1741" t="s">
        <v>3415</v>
      </c>
    </row>
    <row r="1742" spans="1:41">
      <c r="A1742" s="1" t="s">
        <v>1778</v>
      </c>
      <c r="B1742" t="s">
        <v>2009</v>
      </c>
      <c r="C1742" t="s">
        <v>2000</v>
      </c>
      <c r="D1742" t="s">
        <v>2052</v>
      </c>
      <c r="E1742" t="s">
        <v>2112</v>
      </c>
      <c r="F1742" t="s">
        <v>2117</v>
      </c>
      <c r="G1742" t="s">
        <v>2216</v>
      </c>
      <c r="H1742">
        <v>10305</v>
      </c>
      <c r="I1742" t="s">
        <v>2229</v>
      </c>
      <c r="J1742">
        <v>6</v>
      </c>
      <c r="K1742">
        <v>3</v>
      </c>
      <c r="L1742" t="s">
        <v>2260</v>
      </c>
      <c r="M1742" t="s">
        <v>2677</v>
      </c>
      <c r="P1742" t="s">
        <v>3119</v>
      </c>
      <c r="Q1742" t="s">
        <v>2113</v>
      </c>
      <c r="R1742" t="s">
        <v>3259</v>
      </c>
      <c r="S1742" t="s">
        <v>3267</v>
      </c>
      <c r="X1742" t="s">
        <v>3354</v>
      </c>
      <c r="Y1742" t="s">
        <v>2678</v>
      </c>
      <c r="Z1742" t="s">
        <v>3359</v>
      </c>
      <c r="AA1742" t="s">
        <v>3406</v>
      </c>
      <c r="AB1742" t="s">
        <v>3415</v>
      </c>
      <c r="AC1742">
        <f>HYPERLINK("https://lsnyc.legalserver.org/matter/dynamic-profile/view/1856264","18-1856264")</f>
        <v>0</v>
      </c>
      <c r="AD1742" t="s">
        <v>3447</v>
      </c>
      <c r="AE1742" t="s">
        <v>3463</v>
      </c>
      <c r="AF1742" t="s">
        <v>4752</v>
      </c>
      <c r="AG1742" t="s">
        <v>3359</v>
      </c>
      <c r="AH1742" t="s">
        <v>4906</v>
      </c>
      <c r="AK1742" t="s">
        <v>4911</v>
      </c>
      <c r="AL1742" t="s">
        <v>2117</v>
      </c>
      <c r="AN1742" t="s">
        <v>3415</v>
      </c>
    </row>
    <row r="1743" spans="1:41">
      <c r="A1743" s="1" t="s">
        <v>1779</v>
      </c>
      <c r="B1743" t="s">
        <v>1998</v>
      </c>
      <c r="C1743" t="s">
        <v>2005</v>
      </c>
      <c r="D1743" t="s">
        <v>2032</v>
      </c>
      <c r="E1743" t="s">
        <v>2112</v>
      </c>
      <c r="F1743" t="s">
        <v>2150</v>
      </c>
      <c r="G1743" t="s">
        <v>2216</v>
      </c>
      <c r="H1743">
        <v>10304</v>
      </c>
      <c r="I1743" t="s">
        <v>2229</v>
      </c>
      <c r="J1743">
        <v>2</v>
      </c>
      <c r="K1743">
        <v>0</v>
      </c>
      <c r="L1743" t="s">
        <v>2394</v>
      </c>
      <c r="M1743" t="s">
        <v>2677</v>
      </c>
      <c r="P1743" t="s">
        <v>2991</v>
      </c>
      <c r="Q1743" t="s">
        <v>2113</v>
      </c>
      <c r="R1743" t="s">
        <v>3258</v>
      </c>
      <c r="S1743" t="s">
        <v>3271</v>
      </c>
      <c r="X1743" t="s">
        <v>3354</v>
      </c>
      <c r="Y1743" t="s">
        <v>2677</v>
      </c>
      <c r="Z1743" t="s">
        <v>3362</v>
      </c>
      <c r="AA1743" t="s">
        <v>3406</v>
      </c>
      <c r="AB1743" t="s">
        <v>3419</v>
      </c>
      <c r="AC1743">
        <f>HYPERLINK("https://lsnyc.legalserver.org/matter/dynamic-profile/view/1856963","18-1856963")</f>
        <v>0</v>
      </c>
      <c r="AD1743" t="s">
        <v>3445</v>
      </c>
      <c r="AE1743" t="s">
        <v>3455</v>
      </c>
      <c r="AF1743" t="s">
        <v>4753</v>
      </c>
      <c r="AG1743" t="s">
        <v>3362</v>
      </c>
      <c r="AH1743" t="s">
        <v>4904</v>
      </c>
      <c r="AK1743" t="s">
        <v>4911</v>
      </c>
      <c r="AL1743" t="s">
        <v>2150</v>
      </c>
      <c r="AN1743" t="s">
        <v>3419</v>
      </c>
    </row>
    <row r="1744" spans="1:41">
      <c r="A1744" s="1" t="s">
        <v>1780</v>
      </c>
      <c r="B1744" t="s">
        <v>2000</v>
      </c>
      <c r="C1744" t="s">
        <v>2000</v>
      </c>
      <c r="D1744" t="s">
        <v>2061</v>
      </c>
      <c r="E1744" t="s">
        <v>2111</v>
      </c>
      <c r="F1744" t="s">
        <v>2117</v>
      </c>
      <c r="G1744" t="s">
        <v>2213</v>
      </c>
      <c r="H1744">
        <v>10454</v>
      </c>
      <c r="I1744" t="s">
        <v>2229</v>
      </c>
      <c r="J1744">
        <v>3</v>
      </c>
      <c r="K1744">
        <v>2</v>
      </c>
      <c r="L1744" t="s">
        <v>2260</v>
      </c>
      <c r="M1744" t="s">
        <v>2677</v>
      </c>
      <c r="P1744" t="s">
        <v>3119</v>
      </c>
      <c r="Q1744" t="s">
        <v>3255</v>
      </c>
      <c r="R1744" t="s">
        <v>3259</v>
      </c>
      <c r="S1744" t="s">
        <v>3267</v>
      </c>
      <c r="T1744" t="s">
        <v>3294</v>
      </c>
      <c r="U1744" t="s">
        <v>3324</v>
      </c>
      <c r="X1744" t="s">
        <v>3354</v>
      </c>
      <c r="Y1744" t="s">
        <v>2678</v>
      </c>
      <c r="Z1744" t="s">
        <v>3380</v>
      </c>
      <c r="AA1744" t="s">
        <v>3406</v>
      </c>
      <c r="AB1744" t="s">
        <v>3415</v>
      </c>
      <c r="AC1744">
        <f>HYPERLINK("https://lsnyc.legalserver.org/matter/dynamic-profile/view/1856998","18-1856998")</f>
        <v>0</v>
      </c>
      <c r="AD1744" t="s">
        <v>3444</v>
      </c>
      <c r="AE1744" t="s">
        <v>3464</v>
      </c>
      <c r="AF1744" t="s">
        <v>3551</v>
      </c>
      <c r="AG1744" t="s">
        <v>3380</v>
      </c>
      <c r="AH1744" t="s">
        <v>4906</v>
      </c>
      <c r="AK1744" t="s">
        <v>4911</v>
      </c>
      <c r="AL1744" t="s">
        <v>2117</v>
      </c>
      <c r="AM1744" t="s">
        <v>3294</v>
      </c>
      <c r="AN1744" t="s">
        <v>3415</v>
      </c>
    </row>
    <row r="1745" spans="1:41">
      <c r="A1745" s="1" t="s">
        <v>1781</v>
      </c>
      <c r="B1745" t="s">
        <v>1998</v>
      </c>
      <c r="C1745" t="s">
        <v>2000</v>
      </c>
      <c r="D1745" t="s">
        <v>2060</v>
      </c>
      <c r="E1745" t="s">
        <v>2112</v>
      </c>
      <c r="F1745" t="s">
        <v>2120</v>
      </c>
      <c r="G1745" t="s">
        <v>2214</v>
      </c>
      <c r="H1745">
        <v>11234</v>
      </c>
      <c r="I1745" t="s">
        <v>2230</v>
      </c>
      <c r="J1745">
        <v>2</v>
      </c>
      <c r="K1745">
        <v>1</v>
      </c>
      <c r="L1745" t="s">
        <v>2594</v>
      </c>
      <c r="M1745" t="s">
        <v>2677</v>
      </c>
      <c r="P1745" t="s">
        <v>3120</v>
      </c>
      <c r="Q1745" t="s">
        <v>2113</v>
      </c>
      <c r="R1745" t="s">
        <v>3258</v>
      </c>
      <c r="S1745" t="s">
        <v>3273</v>
      </c>
      <c r="T1745" t="s">
        <v>3294</v>
      </c>
      <c r="U1745" t="s">
        <v>2990</v>
      </c>
      <c r="X1745" t="s">
        <v>3354</v>
      </c>
      <c r="Y1745" t="s">
        <v>2678</v>
      </c>
      <c r="Z1745" t="s">
        <v>3365</v>
      </c>
      <c r="AA1745" t="s">
        <v>3406</v>
      </c>
      <c r="AB1745" t="s">
        <v>3421</v>
      </c>
      <c r="AC1745">
        <f>HYPERLINK("https://lsnyc.legalserver.org/matter/dynamic-profile/view/1856851","18-1856851")</f>
        <v>0</v>
      </c>
      <c r="AD1745" t="s">
        <v>3446</v>
      </c>
      <c r="AE1745" t="s">
        <v>3465</v>
      </c>
      <c r="AF1745" t="s">
        <v>3672</v>
      </c>
      <c r="AG1745" t="s">
        <v>3365</v>
      </c>
      <c r="AH1745" t="s">
        <v>4904</v>
      </c>
      <c r="AK1745" t="s">
        <v>4911</v>
      </c>
      <c r="AL1745" t="s">
        <v>2120</v>
      </c>
      <c r="AM1745" t="s">
        <v>3294</v>
      </c>
      <c r="AN1745" t="s">
        <v>3421</v>
      </c>
    </row>
    <row r="1746" spans="1:41">
      <c r="A1746" s="1" t="s">
        <v>1782</v>
      </c>
      <c r="B1746" t="s">
        <v>2016</v>
      </c>
      <c r="C1746" t="s">
        <v>2016</v>
      </c>
      <c r="D1746" t="s">
        <v>2056</v>
      </c>
      <c r="E1746" t="s">
        <v>2111</v>
      </c>
      <c r="F1746" t="s">
        <v>2120</v>
      </c>
      <c r="G1746" t="s">
        <v>2213</v>
      </c>
      <c r="H1746">
        <v>10467</v>
      </c>
      <c r="I1746" t="s">
        <v>2230</v>
      </c>
      <c r="J1746">
        <v>1</v>
      </c>
      <c r="K1746">
        <v>0</v>
      </c>
      <c r="L1746" t="s">
        <v>2633</v>
      </c>
      <c r="M1746" t="s">
        <v>2677</v>
      </c>
      <c r="P1746" t="s">
        <v>3121</v>
      </c>
      <c r="Q1746" t="s">
        <v>2113</v>
      </c>
      <c r="R1746" t="s">
        <v>3259</v>
      </c>
      <c r="S1746" t="s">
        <v>3270</v>
      </c>
      <c r="X1746" t="s">
        <v>3354</v>
      </c>
      <c r="Y1746" t="s">
        <v>2677</v>
      </c>
      <c r="Z1746" t="s">
        <v>3362</v>
      </c>
      <c r="AA1746" t="s">
        <v>3406</v>
      </c>
      <c r="AB1746" t="s">
        <v>3418</v>
      </c>
      <c r="AC1746">
        <f>HYPERLINK("https://lsnyc.legalserver.org/matter/dynamic-profile/view/1856628","18-1856628")</f>
        <v>0</v>
      </c>
      <c r="AD1746" t="s">
        <v>3445</v>
      </c>
      <c r="AE1746" t="s">
        <v>3455</v>
      </c>
      <c r="AF1746" t="s">
        <v>4754</v>
      </c>
      <c r="AG1746" t="s">
        <v>3362</v>
      </c>
      <c r="AH1746" t="s">
        <v>4904</v>
      </c>
      <c r="AK1746" t="s">
        <v>4911</v>
      </c>
      <c r="AL1746" t="s">
        <v>2120</v>
      </c>
      <c r="AN1746" t="s">
        <v>3418</v>
      </c>
    </row>
    <row r="1747" spans="1:41">
      <c r="A1747" s="1" t="s">
        <v>1783</v>
      </c>
      <c r="B1747" t="s">
        <v>2000</v>
      </c>
      <c r="C1747" t="s">
        <v>2017</v>
      </c>
      <c r="D1747" t="s">
        <v>2101</v>
      </c>
      <c r="E1747" t="s">
        <v>2112</v>
      </c>
      <c r="F1747" t="s">
        <v>2116</v>
      </c>
      <c r="G1747" t="s">
        <v>2214</v>
      </c>
      <c r="H1747">
        <v>11220</v>
      </c>
      <c r="I1747" t="s">
        <v>2229</v>
      </c>
      <c r="J1747">
        <v>1</v>
      </c>
      <c r="K1747">
        <v>0</v>
      </c>
      <c r="L1747" t="s">
        <v>2634</v>
      </c>
      <c r="M1747" t="s">
        <v>2677</v>
      </c>
      <c r="P1747" t="s">
        <v>3122</v>
      </c>
      <c r="Q1747" t="s">
        <v>2113</v>
      </c>
      <c r="R1747" t="s">
        <v>3261</v>
      </c>
      <c r="S1747" t="s">
        <v>3290</v>
      </c>
      <c r="X1747" t="s">
        <v>3354</v>
      </c>
      <c r="Y1747" t="s">
        <v>2678</v>
      </c>
      <c r="Z1747" t="s">
        <v>3357</v>
      </c>
      <c r="AA1747" t="s">
        <v>3408</v>
      </c>
      <c r="AB1747" t="s">
        <v>3438</v>
      </c>
      <c r="AC1747">
        <f>HYPERLINK("https://lsnyc.legalserver.org/matter/dynamic-profile/view/1856514","18-1856514")</f>
        <v>0</v>
      </c>
      <c r="AD1747" t="s">
        <v>3446</v>
      </c>
      <c r="AE1747" t="s">
        <v>3465</v>
      </c>
      <c r="AF1747" t="s">
        <v>4755</v>
      </c>
      <c r="AG1747" t="s">
        <v>3357</v>
      </c>
      <c r="AH1747" t="s">
        <v>3408</v>
      </c>
      <c r="AK1747" t="s">
        <v>4911</v>
      </c>
      <c r="AL1747" t="s">
        <v>2116</v>
      </c>
      <c r="AN1747" t="s">
        <v>3438</v>
      </c>
    </row>
    <row r="1748" spans="1:41">
      <c r="A1748" s="1" t="s">
        <v>1784</v>
      </c>
      <c r="B1748" t="s">
        <v>2012</v>
      </c>
      <c r="C1748" t="s">
        <v>1998</v>
      </c>
      <c r="D1748" t="s">
        <v>2047</v>
      </c>
      <c r="E1748" t="s">
        <v>2112</v>
      </c>
      <c r="F1748" t="s">
        <v>2123</v>
      </c>
      <c r="G1748" t="s">
        <v>2213</v>
      </c>
      <c r="H1748">
        <v>10456</v>
      </c>
      <c r="I1748" t="s">
        <v>2229</v>
      </c>
      <c r="J1748">
        <v>2</v>
      </c>
      <c r="K1748">
        <v>0</v>
      </c>
      <c r="L1748" t="s">
        <v>2635</v>
      </c>
      <c r="M1748" t="s">
        <v>2677</v>
      </c>
      <c r="P1748" t="s">
        <v>2946</v>
      </c>
      <c r="Q1748" t="s">
        <v>2113</v>
      </c>
      <c r="R1748" t="s">
        <v>3259</v>
      </c>
      <c r="S1748" t="s">
        <v>3270</v>
      </c>
      <c r="T1748" t="s">
        <v>3294</v>
      </c>
      <c r="U1748" t="s">
        <v>2859</v>
      </c>
      <c r="V1748" t="s">
        <v>3352</v>
      </c>
      <c r="X1748" t="s">
        <v>3354</v>
      </c>
      <c r="Y1748" t="s">
        <v>2677</v>
      </c>
      <c r="Z1748" t="s">
        <v>3369</v>
      </c>
      <c r="AA1748" t="s">
        <v>3406</v>
      </c>
      <c r="AB1748" t="s">
        <v>3418</v>
      </c>
      <c r="AC1748">
        <f>HYPERLINK("https://lsnyc.legalserver.org/matter/dynamic-profile/view/1856545","18-1856545")</f>
        <v>0</v>
      </c>
      <c r="AD1748" t="s">
        <v>3445</v>
      </c>
      <c r="AE1748" t="s">
        <v>3452</v>
      </c>
      <c r="AF1748" t="s">
        <v>4313</v>
      </c>
      <c r="AG1748" t="s">
        <v>3369</v>
      </c>
      <c r="AH1748" t="s">
        <v>4904</v>
      </c>
      <c r="AK1748" t="s">
        <v>4911</v>
      </c>
      <c r="AL1748" t="s">
        <v>2123</v>
      </c>
      <c r="AM1748" t="s">
        <v>3294</v>
      </c>
      <c r="AN1748" t="s">
        <v>3418</v>
      </c>
      <c r="AO1748" t="s">
        <v>3352</v>
      </c>
    </row>
    <row r="1749" spans="1:41">
      <c r="A1749" s="1" t="s">
        <v>1785</v>
      </c>
      <c r="B1749" t="s">
        <v>2001</v>
      </c>
      <c r="C1749" t="s">
        <v>2003</v>
      </c>
      <c r="D1749" t="s">
        <v>2069</v>
      </c>
      <c r="E1749" t="s">
        <v>2111</v>
      </c>
      <c r="F1749" t="s">
        <v>2115</v>
      </c>
      <c r="G1749" t="s">
        <v>2212</v>
      </c>
      <c r="H1749">
        <v>11432</v>
      </c>
      <c r="I1749" t="s">
        <v>2230</v>
      </c>
      <c r="J1749">
        <v>5</v>
      </c>
      <c r="K1749">
        <v>2</v>
      </c>
      <c r="L1749" t="s">
        <v>2377</v>
      </c>
      <c r="M1749" t="s">
        <v>2677</v>
      </c>
      <c r="P1749" t="s">
        <v>3123</v>
      </c>
      <c r="Q1749" t="s">
        <v>2113</v>
      </c>
      <c r="R1749" t="s">
        <v>3258</v>
      </c>
      <c r="S1749" t="s">
        <v>3271</v>
      </c>
      <c r="X1749" t="s">
        <v>3354</v>
      </c>
      <c r="Y1749" t="s">
        <v>2678</v>
      </c>
      <c r="Z1749" t="s">
        <v>3362</v>
      </c>
      <c r="AA1749" t="s">
        <v>3406</v>
      </c>
      <c r="AB1749" t="s">
        <v>3419</v>
      </c>
      <c r="AC1749">
        <f>HYPERLINK("https://lsnyc.legalserver.org/matter/dynamic-profile/view/1856338","18-1856338")</f>
        <v>0</v>
      </c>
      <c r="AD1749" t="s">
        <v>3443</v>
      </c>
      <c r="AE1749" t="s">
        <v>3477</v>
      </c>
      <c r="AF1749" t="s">
        <v>4756</v>
      </c>
      <c r="AG1749" t="s">
        <v>3362</v>
      </c>
      <c r="AH1749" t="s">
        <v>4904</v>
      </c>
      <c r="AK1749" t="s">
        <v>4911</v>
      </c>
      <c r="AL1749" t="s">
        <v>2115</v>
      </c>
      <c r="AN1749" t="s">
        <v>3419</v>
      </c>
    </row>
    <row r="1750" spans="1:41">
      <c r="A1750" s="1" t="s">
        <v>1786</v>
      </c>
      <c r="B1750" t="s">
        <v>1998</v>
      </c>
      <c r="C1750" t="s">
        <v>1998</v>
      </c>
      <c r="D1750" t="s">
        <v>2062</v>
      </c>
      <c r="E1750" t="s">
        <v>2112</v>
      </c>
      <c r="F1750" t="s">
        <v>2122</v>
      </c>
      <c r="G1750" t="s">
        <v>2212</v>
      </c>
      <c r="H1750">
        <v>11419</v>
      </c>
      <c r="I1750" t="s">
        <v>2230</v>
      </c>
      <c r="J1750">
        <v>1</v>
      </c>
      <c r="K1750">
        <v>0</v>
      </c>
      <c r="L1750" t="s">
        <v>2266</v>
      </c>
      <c r="M1750" t="s">
        <v>2677</v>
      </c>
      <c r="P1750" t="s">
        <v>3123</v>
      </c>
      <c r="Q1750" t="s">
        <v>3255</v>
      </c>
      <c r="R1750" t="s">
        <v>3259</v>
      </c>
      <c r="S1750" t="s">
        <v>3276</v>
      </c>
      <c r="T1750" t="s">
        <v>3294</v>
      </c>
      <c r="U1750" t="s">
        <v>3042</v>
      </c>
      <c r="X1750" t="s">
        <v>3354</v>
      </c>
      <c r="Y1750" t="s">
        <v>2678</v>
      </c>
      <c r="Z1750" t="s">
        <v>3373</v>
      </c>
      <c r="AA1750" t="s">
        <v>3406</v>
      </c>
      <c r="AB1750" t="s">
        <v>3424</v>
      </c>
      <c r="AC1750">
        <f>HYPERLINK("https://lsnyc.legalserver.org/matter/dynamic-profile/view/1856367","18-1856367")</f>
        <v>0</v>
      </c>
      <c r="AD1750" t="s">
        <v>3443</v>
      </c>
      <c r="AE1750" t="s">
        <v>3449</v>
      </c>
      <c r="AF1750" t="s">
        <v>4757</v>
      </c>
      <c r="AG1750" t="s">
        <v>3373</v>
      </c>
      <c r="AH1750" t="s">
        <v>4904</v>
      </c>
      <c r="AK1750" t="s">
        <v>4911</v>
      </c>
      <c r="AL1750" t="s">
        <v>2122</v>
      </c>
      <c r="AM1750" t="s">
        <v>3294</v>
      </c>
      <c r="AN1750" t="s">
        <v>3424</v>
      </c>
    </row>
    <row r="1751" spans="1:41">
      <c r="A1751" s="1" t="s">
        <v>1787</v>
      </c>
      <c r="B1751" t="s">
        <v>2002</v>
      </c>
      <c r="C1751" t="s">
        <v>2018</v>
      </c>
      <c r="D1751" t="s">
        <v>2069</v>
      </c>
      <c r="E1751" t="s">
        <v>2111</v>
      </c>
      <c r="F1751" t="s">
        <v>2117</v>
      </c>
      <c r="G1751" t="s">
        <v>2213</v>
      </c>
      <c r="H1751">
        <v>10456</v>
      </c>
      <c r="I1751" t="s">
        <v>2229</v>
      </c>
      <c r="J1751">
        <v>2</v>
      </c>
      <c r="K1751">
        <v>0</v>
      </c>
      <c r="L1751" t="s">
        <v>2260</v>
      </c>
      <c r="M1751" t="s">
        <v>2677</v>
      </c>
      <c r="P1751" t="s">
        <v>2785</v>
      </c>
      <c r="Q1751" t="s">
        <v>2113</v>
      </c>
      <c r="R1751" t="s">
        <v>3259</v>
      </c>
      <c r="S1751" t="s">
        <v>3272</v>
      </c>
      <c r="T1751" t="s">
        <v>3294</v>
      </c>
      <c r="U1751" t="s">
        <v>2959</v>
      </c>
      <c r="X1751" t="s">
        <v>3354</v>
      </c>
      <c r="Y1751" t="s">
        <v>2678</v>
      </c>
      <c r="Z1751" t="s">
        <v>3364</v>
      </c>
      <c r="AA1751" t="s">
        <v>3406</v>
      </c>
      <c r="AB1751" t="s">
        <v>3420</v>
      </c>
      <c r="AC1751">
        <f>HYPERLINK("https://lsnyc.legalserver.org/matter/dynamic-profile/view/1856250","18-1856250")</f>
        <v>0</v>
      </c>
      <c r="AD1751" t="s">
        <v>3444</v>
      </c>
      <c r="AE1751" t="s">
        <v>3451</v>
      </c>
      <c r="AF1751" t="s">
        <v>4758</v>
      </c>
      <c r="AG1751" t="s">
        <v>3364</v>
      </c>
      <c r="AH1751" t="s">
        <v>4904</v>
      </c>
      <c r="AI1751" t="s">
        <v>4909</v>
      </c>
      <c r="AL1751" t="s">
        <v>2117</v>
      </c>
      <c r="AM1751" t="s">
        <v>3294</v>
      </c>
      <c r="AN1751" t="s">
        <v>3420</v>
      </c>
    </row>
    <row r="1752" spans="1:41">
      <c r="A1752" s="1" t="s">
        <v>1788</v>
      </c>
      <c r="B1752" t="s">
        <v>2001</v>
      </c>
      <c r="C1752" t="s">
        <v>2001</v>
      </c>
      <c r="D1752" t="s">
        <v>2089</v>
      </c>
      <c r="E1752" t="s">
        <v>2112</v>
      </c>
      <c r="F1752" t="s">
        <v>2120</v>
      </c>
      <c r="G1752" t="s">
        <v>2214</v>
      </c>
      <c r="H1752">
        <v>11212</v>
      </c>
      <c r="I1752" t="s">
        <v>2230</v>
      </c>
      <c r="J1752">
        <v>1</v>
      </c>
      <c r="K1752">
        <v>0</v>
      </c>
      <c r="L1752" t="s">
        <v>2636</v>
      </c>
      <c r="M1752" t="s">
        <v>2677</v>
      </c>
      <c r="P1752" t="s">
        <v>3124</v>
      </c>
      <c r="Q1752" t="s">
        <v>2113</v>
      </c>
      <c r="R1752" t="s">
        <v>3258</v>
      </c>
      <c r="S1752" t="s">
        <v>3271</v>
      </c>
      <c r="T1752" t="s">
        <v>3294</v>
      </c>
      <c r="X1752" t="s">
        <v>3354</v>
      </c>
      <c r="Y1752" t="s">
        <v>2677</v>
      </c>
      <c r="Z1752" t="s">
        <v>3362</v>
      </c>
      <c r="AA1752" t="s">
        <v>3406</v>
      </c>
      <c r="AB1752" t="s">
        <v>3419</v>
      </c>
      <c r="AC1752">
        <f>HYPERLINK("https://lsnyc.legalserver.org/matter/dynamic-profile/view/1856077","18-1856077")</f>
        <v>0</v>
      </c>
      <c r="AD1752" t="s">
        <v>3445</v>
      </c>
      <c r="AE1752" t="s">
        <v>3455</v>
      </c>
      <c r="AF1752" t="s">
        <v>4759</v>
      </c>
      <c r="AG1752" t="s">
        <v>3362</v>
      </c>
      <c r="AH1752" t="s">
        <v>4904</v>
      </c>
      <c r="AK1752" t="s">
        <v>4911</v>
      </c>
      <c r="AL1752" t="s">
        <v>2120</v>
      </c>
      <c r="AM1752" t="s">
        <v>3294</v>
      </c>
      <c r="AN1752" t="s">
        <v>3419</v>
      </c>
    </row>
    <row r="1753" spans="1:41">
      <c r="A1753" s="1" t="s">
        <v>1789</v>
      </c>
      <c r="B1753" t="s">
        <v>2012</v>
      </c>
      <c r="C1753" t="s">
        <v>2001</v>
      </c>
      <c r="D1753" t="s">
        <v>2046</v>
      </c>
      <c r="E1753" t="s">
        <v>2112</v>
      </c>
      <c r="F1753" t="s">
        <v>2168</v>
      </c>
      <c r="G1753" t="s">
        <v>2212</v>
      </c>
      <c r="H1753">
        <v>11385</v>
      </c>
      <c r="I1753" t="s">
        <v>2229</v>
      </c>
      <c r="J1753">
        <v>1</v>
      </c>
      <c r="K1753">
        <v>0</v>
      </c>
      <c r="L1753" t="s">
        <v>2350</v>
      </c>
      <c r="M1753" t="s">
        <v>2677</v>
      </c>
      <c r="P1753" t="s">
        <v>3125</v>
      </c>
      <c r="Q1753" t="s">
        <v>2113</v>
      </c>
      <c r="R1753" t="s">
        <v>3261</v>
      </c>
      <c r="S1753" t="s">
        <v>3290</v>
      </c>
      <c r="T1753" t="s">
        <v>3295</v>
      </c>
      <c r="U1753" t="s">
        <v>3125</v>
      </c>
      <c r="X1753" t="s">
        <v>3354</v>
      </c>
      <c r="Y1753" t="s">
        <v>2678</v>
      </c>
      <c r="Z1753" t="s">
        <v>3357</v>
      </c>
      <c r="AA1753" t="s">
        <v>3409</v>
      </c>
      <c r="AB1753" t="s">
        <v>3438</v>
      </c>
      <c r="AC1753">
        <f>HYPERLINK("https://lsnyc.legalserver.org/matter/dynamic-profile/view/1855818","18-1855818")</f>
        <v>0</v>
      </c>
      <c r="AD1753" t="s">
        <v>3443</v>
      </c>
      <c r="AE1753" t="s">
        <v>3471</v>
      </c>
      <c r="AF1753" t="s">
        <v>4760</v>
      </c>
      <c r="AG1753" t="s">
        <v>3357</v>
      </c>
      <c r="AH1753" t="s">
        <v>3409</v>
      </c>
      <c r="AL1753" t="s">
        <v>2168</v>
      </c>
      <c r="AM1753" t="s">
        <v>3295</v>
      </c>
      <c r="AN1753" t="s">
        <v>3438</v>
      </c>
    </row>
    <row r="1754" spans="1:41">
      <c r="A1754" s="1" t="s">
        <v>1790</v>
      </c>
      <c r="B1754" t="s">
        <v>2016</v>
      </c>
      <c r="C1754" t="s">
        <v>2009</v>
      </c>
      <c r="D1754" t="s">
        <v>2074</v>
      </c>
      <c r="E1754" t="s">
        <v>2112</v>
      </c>
      <c r="F1754" t="s">
        <v>2120</v>
      </c>
      <c r="G1754" t="s">
        <v>2213</v>
      </c>
      <c r="H1754">
        <v>10467</v>
      </c>
      <c r="I1754" t="s">
        <v>2230</v>
      </c>
      <c r="J1754">
        <v>3</v>
      </c>
      <c r="K1754">
        <v>0</v>
      </c>
      <c r="L1754" t="s">
        <v>2637</v>
      </c>
      <c r="M1754" t="s">
        <v>2677</v>
      </c>
      <c r="P1754" t="s">
        <v>3126</v>
      </c>
      <c r="Q1754" t="s">
        <v>2113</v>
      </c>
      <c r="R1754" t="s">
        <v>3258</v>
      </c>
      <c r="S1754" t="s">
        <v>3274</v>
      </c>
      <c r="T1754" t="s">
        <v>3294</v>
      </c>
      <c r="U1754" t="s">
        <v>3044</v>
      </c>
      <c r="V1754" t="s">
        <v>3352</v>
      </c>
      <c r="X1754" t="s">
        <v>3354</v>
      </c>
      <c r="Y1754" t="s">
        <v>2678</v>
      </c>
      <c r="Z1754" t="s">
        <v>3371</v>
      </c>
      <c r="AA1754" t="s">
        <v>3406</v>
      </c>
      <c r="AB1754" t="s">
        <v>3422</v>
      </c>
      <c r="AC1754">
        <f>HYPERLINK("https://lsnyc.legalserver.org/matter/dynamic-profile/view/1855706","18-1855706")</f>
        <v>0</v>
      </c>
      <c r="AD1754" t="s">
        <v>3444</v>
      </c>
      <c r="AE1754" t="s">
        <v>3468</v>
      </c>
      <c r="AF1754" t="s">
        <v>4761</v>
      </c>
      <c r="AG1754" t="s">
        <v>3371</v>
      </c>
      <c r="AH1754" t="s">
        <v>4904</v>
      </c>
      <c r="AK1754" t="s">
        <v>4911</v>
      </c>
      <c r="AL1754" t="s">
        <v>2120</v>
      </c>
      <c r="AM1754" t="s">
        <v>3294</v>
      </c>
      <c r="AN1754" t="s">
        <v>3422</v>
      </c>
      <c r="AO1754" t="s">
        <v>3352</v>
      </c>
    </row>
    <row r="1755" spans="1:41">
      <c r="A1755" s="1" t="s">
        <v>1791</v>
      </c>
      <c r="B1755" t="s">
        <v>2009</v>
      </c>
      <c r="C1755" t="s">
        <v>1998</v>
      </c>
      <c r="D1755" t="s">
        <v>2051</v>
      </c>
      <c r="E1755" t="s">
        <v>2112</v>
      </c>
      <c r="F1755" t="s">
        <v>2120</v>
      </c>
      <c r="G1755" t="s">
        <v>2211</v>
      </c>
      <c r="H1755">
        <v>10026</v>
      </c>
      <c r="I1755" t="s">
        <v>2230</v>
      </c>
      <c r="J1755">
        <v>2</v>
      </c>
      <c r="K1755">
        <v>1</v>
      </c>
      <c r="L1755" t="s">
        <v>2260</v>
      </c>
      <c r="M1755" t="s">
        <v>2677</v>
      </c>
      <c r="P1755" t="s">
        <v>3127</v>
      </c>
      <c r="Q1755" t="s">
        <v>3255</v>
      </c>
      <c r="R1755" t="s">
        <v>3258</v>
      </c>
      <c r="S1755" t="s">
        <v>3271</v>
      </c>
      <c r="X1755" t="s">
        <v>3354</v>
      </c>
      <c r="Y1755" t="s">
        <v>2677</v>
      </c>
      <c r="Z1755" t="s">
        <v>3369</v>
      </c>
      <c r="AA1755" t="s">
        <v>3406</v>
      </c>
      <c r="AB1755" t="s">
        <v>3419</v>
      </c>
      <c r="AC1755">
        <f>HYPERLINK("https://lsnyc.legalserver.org/matter/dynamic-profile/view/1855543","18-1855543")</f>
        <v>0</v>
      </c>
      <c r="AD1755" t="s">
        <v>3445</v>
      </c>
      <c r="AE1755" t="s">
        <v>3455</v>
      </c>
      <c r="AF1755" t="s">
        <v>4762</v>
      </c>
      <c r="AG1755" t="s">
        <v>3369</v>
      </c>
      <c r="AH1755" t="s">
        <v>4904</v>
      </c>
      <c r="AK1755" t="s">
        <v>4911</v>
      </c>
      <c r="AL1755" t="s">
        <v>2120</v>
      </c>
      <c r="AN1755" t="s">
        <v>3419</v>
      </c>
    </row>
    <row r="1756" spans="1:41">
      <c r="A1756" s="1" t="s">
        <v>1792</v>
      </c>
      <c r="B1756" t="s">
        <v>2005</v>
      </c>
      <c r="C1756" t="s">
        <v>2016</v>
      </c>
      <c r="D1756" t="s">
        <v>2038</v>
      </c>
      <c r="E1756" t="s">
        <v>2112</v>
      </c>
      <c r="F1756" t="s">
        <v>2125</v>
      </c>
      <c r="G1756" t="s">
        <v>2216</v>
      </c>
      <c r="H1756">
        <v>10304</v>
      </c>
      <c r="I1756" t="s">
        <v>2230</v>
      </c>
      <c r="J1756">
        <v>3</v>
      </c>
      <c r="K1756">
        <v>0</v>
      </c>
      <c r="L1756" t="s">
        <v>2377</v>
      </c>
      <c r="M1756" t="s">
        <v>2677</v>
      </c>
      <c r="P1756" t="s">
        <v>3008</v>
      </c>
      <c r="Q1756" t="s">
        <v>2113</v>
      </c>
      <c r="R1756" t="s">
        <v>3259</v>
      </c>
      <c r="S1756" t="s">
        <v>3270</v>
      </c>
      <c r="X1756" t="s">
        <v>3354</v>
      </c>
      <c r="Y1756" t="s">
        <v>2677</v>
      </c>
      <c r="Z1756" t="s">
        <v>3369</v>
      </c>
      <c r="AA1756" t="s">
        <v>3406</v>
      </c>
      <c r="AB1756" t="s">
        <v>3418</v>
      </c>
      <c r="AC1756">
        <f>HYPERLINK("https://lsnyc.legalserver.org/matter/dynamic-profile/view/1855605","18-1855605")</f>
        <v>0</v>
      </c>
      <c r="AD1756" t="s">
        <v>3445</v>
      </c>
      <c r="AE1756" t="s">
        <v>3455</v>
      </c>
      <c r="AF1756" t="s">
        <v>4240</v>
      </c>
      <c r="AG1756" t="s">
        <v>3369</v>
      </c>
      <c r="AH1756" t="s">
        <v>4904</v>
      </c>
      <c r="AK1756" t="s">
        <v>4911</v>
      </c>
      <c r="AL1756" t="s">
        <v>2125</v>
      </c>
      <c r="AN1756" t="s">
        <v>3418</v>
      </c>
    </row>
    <row r="1757" spans="1:41">
      <c r="A1757" s="1" t="s">
        <v>1793</v>
      </c>
      <c r="B1757" t="s">
        <v>2001</v>
      </c>
      <c r="C1757" t="s">
        <v>2012</v>
      </c>
      <c r="D1757" t="s">
        <v>2050</v>
      </c>
      <c r="E1757" t="s">
        <v>2111</v>
      </c>
      <c r="F1757" t="s">
        <v>2116</v>
      </c>
      <c r="G1757" t="s">
        <v>2216</v>
      </c>
      <c r="H1757">
        <v>10303</v>
      </c>
      <c r="I1757" t="s">
        <v>2229</v>
      </c>
      <c r="J1757">
        <v>5</v>
      </c>
      <c r="K1757">
        <v>3</v>
      </c>
      <c r="L1757" t="s">
        <v>2272</v>
      </c>
      <c r="M1757" t="s">
        <v>2677</v>
      </c>
      <c r="P1757" t="s">
        <v>3128</v>
      </c>
      <c r="Q1757" t="s">
        <v>2113</v>
      </c>
      <c r="R1757" t="s">
        <v>3259</v>
      </c>
      <c r="S1757" t="s">
        <v>3270</v>
      </c>
      <c r="X1757" t="s">
        <v>3354</v>
      </c>
      <c r="Y1757" t="s">
        <v>2677</v>
      </c>
      <c r="Z1757" t="s">
        <v>3362</v>
      </c>
      <c r="AA1757" t="s">
        <v>3406</v>
      </c>
      <c r="AB1757" t="s">
        <v>3418</v>
      </c>
      <c r="AC1757">
        <f>HYPERLINK("https://lsnyc.legalserver.org/matter/dynamic-profile/view/1852725","17-1852725")</f>
        <v>0</v>
      </c>
      <c r="AD1757" t="s">
        <v>3445</v>
      </c>
      <c r="AE1757" t="s">
        <v>3455</v>
      </c>
      <c r="AF1757" t="s">
        <v>4453</v>
      </c>
      <c r="AG1757" t="s">
        <v>3362</v>
      </c>
      <c r="AH1757" t="s">
        <v>4904</v>
      </c>
      <c r="AK1757" t="s">
        <v>4911</v>
      </c>
      <c r="AL1757" t="s">
        <v>2116</v>
      </c>
      <c r="AN1757" t="s">
        <v>3418</v>
      </c>
    </row>
    <row r="1758" spans="1:41">
      <c r="A1758" s="1" t="s">
        <v>1794</v>
      </c>
      <c r="B1758" t="s">
        <v>1998</v>
      </c>
      <c r="C1758" t="s">
        <v>1998</v>
      </c>
      <c r="D1758" t="s">
        <v>2096</v>
      </c>
      <c r="E1758" t="s">
        <v>2112</v>
      </c>
      <c r="F1758" t="s">
        <v>2115</v>
      </c>
      <c r="G1758" t="s">
        <v>2217</v>
      </c>
      <c r="H1758">
        <v>11901</v>
      </c>
      <c r="I1758" t="s">
        <v>2229</v>
      </c>
      <c r="J1758">
        <v>2</v>
      </c>
      <c r="K1758">
        <v>1</v>
      </c>
      <c r="L1758" t="s">
        <v>2260</v>
      </c>
      <c r="M1758" t="s">
        <v>2677</v>
      </c>
      <c r="P1758" t="s">
        <v>3128</v>
      </c>
      <c r="Q1758" t="s">
        <v>3255</v>
      </c>
      <c r="R1758" t="s">
        <v>3259</v>
      </c>
      <c r="S1758" t="s">
        <v>3267</v>
      </c>
      <c r="T1758" t="s">
        <v>3294</v>
      </c>
      <c r="U1758" t="s">
        <v>3100</v>
      </c>
      <c r="X1758" t="s">
        <v>3354</v>
      </c>
      <c r="Y1758" t="s">
        <v>2678</v>
      </c>
      <c r="Z1758" t="s">
        <v>3380</v>
      </c>
      <c r="AA1758" t="s">
        <v>3406</v>
      </c>
      <c r="AB1758" t="s">
        <v>3415</v>
      </c>
      <c r="AC1758">
        <f>HYPERLINK("https://lsnyc.legalserver.org/matter/dynamic-profile/view/1853018","17-1853018")</f>
        <v>0</v>
      </c>
      <c r="AD1758" t="s">
        <v>3447</v>
      </c>
      <c r="AE1758" t="s">
        <v>3478</v>
      </c>
      <c r="AF1758" t="s">
        <v>4763</v>
      </c>
      <c r="AG1758" t="s">
        <v>3380</v>
      </c>
      <c r="AH1758" t="s">
        <v>4906</v>
      </c>
      <c r="AK1758" t="s">
        <v>4911</v>
      </c>
      <c r="AL1758" t="s">
        <v>2115</v>
      </c>
      <c r="AM1758" t="s">
        <v>3294</v>
      </c>
      <c r="AN1758" t="s">
        <v>3415</v>
      </c>
    </row>
    <row r="1759" spans="1:41">
      <c r="A1759" s="1" t="s">
        <v>1795</v>
      </c>
      <c r="B1759" t="s">
        <v>2012</v>
      </c>
      <c r="C1759" t="s">
        <v>2016</v>
      </c>
      <c r="D1759" t="s">
        <v>2084</v>
      </c>
      <c r="E1759" t="s">
        <v>2111</v>
      </c>
      <c r="F1759" t="s">
        <v>2116</v>
      </c>
      <c r="G1759" t="s">
        <v>2216</v>
      </c>
      <c r="H1759">
        <v>10304</v>
      </c>
      <c r="I1759" t="s">
        <v>2229</v>
      </c>
      <c r="J1759">
        <v>4</v>
      </c>
      <c r="K1759">
        <v>2</v>
      </c>
      <c r="L1759" t="s">
        <v>2260</v>
      </c>
      <c r="M1759" t="s">
        <v>2677</v>
      </c>
      <c r="P1759" t="s">
        <v>3128</v>
      </c>
      <c r="Q1759" t="s">
        <v>2113</v>
      </c>
      <c r="R1759" t="s">
        <v>3259</v>
      </c>
      <c r="S1759" t="s">
        <v>3264</v>
      </c>
      <c r="X1759" t="s">
        <v>3354</v>
      </c>
      <c r="Y1759" t="s">
        <v>2678</v>
      </c>
      <c r="Z1759" t="s">
        <v>3357</v>
      </c>
      <c r="AA1759" t="s">
        <v>3406</v>
      </c>
      <c r="AB1759" t="s">
        <v>3412</v>
      </c>
      <c r="AC1759">
        <f>HYPERLINK("https://lsnyc.legalserver.org/matter/dynamic-profile/view/1853057","17-1853057")</f>
        <v>0</v>
      </c>
      <c r="AD1759" t="s">
        <v>3447</v>
      </c>
      <c r="AE1759" t="s">
        <v>3463</v>
      </c>
      <c r="AF1759" t="s">
        <v>4764</v>
      </c>
      <c r="AG1759" t="s">
        <v>3357</v>
      </c>
      <c r="AH1759" t="s">
        <v>4904</v>
      </c>
      <c r="AK1759" t="s">
        <v>4911</v>
      </c>
      <c r="AL1759" t="s">
        <v>2116</v>
      </c>
      <c r="AN1759" t="s">
        <v>3412</v>
      </c>
    </row>
    <row r="1760" spans="1:41">
      <c r="A1760" s="1" t="s">
        <v>1796</v>
      </c>
      <c r="B1760" t="s">
        <v>2012</v>
      </c>
      <c r="C1760" t="s">
        <v>2021</v>
      </c>
      <c r="D1760" t="s">
        <v>2044</v>
      </c>
      <c r="E1760" t="s">
        <v>2111</v>
      </c>
      <c r="F1760" t="s">
        <v>2120</v>
      </c>
      <c r="G1760" t="s">
        <v>2212</v>
      </c>
      <c r="H1760">
        <v>11423</v>
      </c>
      <c r="I1760" t="s">
        <v>2230</v>
      </c>
      <c r="J1760">
        <v>1</v>
      </c>
      <c r="K1760">
        <v>0</v>
      </c>
      <c r="L1760" t="s">
        <v>2260</v>
      </c>
      <c r="M1760" t="s">
        <v>2677</v>
      </c>
      <c r="P1760" t="s">
        <v>3128</v>
      </c>
      <c r="Q1760" t="s">
        <v>2113</v>
      </c>
      <c r="R1760" t="s">
        <v>3259</v>
      </c>
      <c r="S1760" t="s">
        <v>3268</v>
      </c>
      <c r="X1760" t="s">
        <v>3354</v>
      </c>
      <c r="Y1760" t="s">
        <v>2677</v>
      </c>
      <c r="Z1760" t="s">
        <v>3368</v>
      </c>
      <c r="AA1760" t="s">
        <v>3406</v>
      </c>
      <c r="AB1760" t="s">
        <v>3416</v>
      </c>
      <c r="AC1760">
        <f>HYPERLINK("https://lsnyc.legalserver.org/matter/dynamic-profile/view/1855379","18-1855379")</f>
        <v>0</v>
      </c>
      <c r="AD1760" t="s">
        <v>3445</v>
      </c>
      <c r="AE1760" t="s">
        <v>3455</v>
      </c>
      <c r="AF1760" t="s">
        <v>3545</v>
      </c>
      <c r="AG1760" t="s">
        <v>3368</v>
      </c>
      <c r="AH1760" t="s">
        <v>4904</v>
      </c>
      <c r="AK1760" t="s">
        <v>4911</v>
      </c>
      <c r="AL1760" t="s">
        <v>2120</v>
      </c>
      <c r="AN1760" t="s">
        <v>3416</v>
      </c>
    </row>
    <row r="1761" spans="1:41">
      <c r="A1761" s="1" t="s">
        <v>1797</v>
      </c>
      <c r="B1761" t="s">
        <v>2003</v>
      </c>
      <c r="C1761" t="s">
        <v>2004</v>
      </c>
      <c r="D1761" t="s">
        <v>2084</v>
      </c>
      <c r="E1761" t="s">
        <v>2111</v>
      </c>
      <c r="F1761" t="s">
        <v>2179</v>
      </c>
      <c r="G1761" t="s">
        <v>2212</v>
      </c>
      <c r="H1761">
        <v>11423</v>
      </c>
      <c r="I1761" t="s">
        <v>2230</v>
      </c>
      <c r="J1761">
        <v>9</v>
      </c>
      <c r="K1761">
        <v>6</v>
      </c>
      <c r="L1761" t="s">
        <v>2275</v>
      </c>
      <c r="M1761" t="s">
        <v>2677</v>
      </c>
      <c r="P1761" t="s">
        <v>3129</v>
      </c>
      <c r="Q1761" t="s">
        <v>2113</v>
      </c>
      <c r="R1761" t="s">
        <v>3259</v>
      </c>
      <c r="S1761" t="s">
        <v>3270</v>
      </c>
      <c r="X1761" t="s">
        <v>3354</v>
      </c>
      <c r="Y1761" t="s">
        <v>2678</v>
      </c>
      <c r="Z1761" t="s">
        <v>3359</v>
      </c>
      <c r="AA1761" t="s">
        <v>3406</v>
      </c>
      <c r="AB1761" t="s">
        <v>3418</v>
      </c>
      <c r="AC1761">
        <f>HYPERLINK("https://lsnyc.legalserver.org/matter/dynamic-profile/view/1855291","18-1855291")</f>
        <v>0</v>
      </c>
      <c r="AD1761" t="s">
        <v>3446</v>
      </c>
      <c r="AE1761" t="s">
        <v>3456</v>
      </c>
      <c r="AF1761" t="s">
        <v>4248</v>
      </c>
      <c r="AG1761" t="s">
        <v>3359</v>
      </c>
      <c r="AH1761" t="s">
        <v>4906</v>
      </c>
      <c r="AK1761" t="s">
        <v>4911</v>
      </c>
      <c r="AL1761" t="s">
        <v>2179</v>
      </c>
      <c r="AN1761" t="s">
        <v>3418</v>
      </c>
    </row>
    <row r="1762" spans="1:41">
      <c r="A1762" s="1" t="s">
        <v>1798</v>
      </c>
      <c r="B1762" t="s">
        <v>1998</v>
      </c>
      <c r="C1762" t="s">
        <v>2002</v>
      </c>
      <c r="D1762" t="s">
        <v>2096</v>
      </c>
      <c r="E1762" t="s">
        <v>2111</v>
      </c>
      <c r="F1762" t="s">
        <v>2123</v>
      </c>
      <c r="G1762" t="s">
        <v>2213</v>
      </c>
      <c r="H1762">
        <v>10458</v>
      </c>
      <c r="I1762" t="s">
        <v>2229</v>
      </c>
      <c r="J1762">
        <v>1</v>
      </c>
      <c r="K1762">
        <v>0</v>
      </c>
      <c r="L1762" t="s">
        <v>2260</v>
      </c>
      <c r="M1762" t="s">
        <v>2677</v>
      </c>
      <c r="P1762" t="s">
        <v>3130</v>
      </c>
      <c r="Q1762" t="s">
        <v>2113</v>
      </c>
      <c r="R1762" t="s">
        <v>3259</v>
      </c>
      <c r="S1762" t="s">
        <v>3267</v>
      </c>
      <c r="T1762" t="s">
        <v>3294</v>
      </c>
      <c r="U1762" t="s">
        <v>3088</v>
      </c>
      <c r="X1762" t="s">
        <v>3354</v>
      </c>
      <c r="Y1762" t="s">
        <v>2678</v>
      </c>
      <c r="Z1762" t="s">
        <v>3380</v>
      </c>
      <c r="AA1762" t="s">
        <v>3406</v>
      </c>
      <c r="AB1762" t="s">
        <v>3415</v>
      </c>
      <c r="AC1762">
        <f>HYPERLINK("https://lsnyc.legalserver.org/matter/dynamic-profile/view/1855082","18-1855082")</f>
        <v>0</v>
      </c>
      <c r="AD1762" t="s">
        <v>3444</v>
      </c>
      <c r="AE1762" t="s">
        <v>3451</v>
      </c>
      <c r="AF1762" t="s">
        <v>4765</v>
      </c>
      <c r="AG1762" t="s">
        <v>3380</v>
      </c>
      <c r="AH1762" t="s">
        <v>4906</v>
      </c>
      <c r="AK1762" t="s">
        <v>4911</v>
      </c>
      <c r="AL1762" t="s">
        <v>2123</v>
      </c>
      <c r="AM1762" t="s">
        <v>3294</v>
      </c>
      <c r="AN1762" t="s">
        <v>3415</v>
      </c>
    </row>
    <row r="1763" spans="1:41">
      <c r="A1763" s="1" t="s">
        <v>1799</v>
      </c>
      <c r="B1763" t="s">
        <v>1998</v>
      </c>
      <c r="C1763" t="s">
        <v>2000</v>
      </c>
      <c r="D1763" t="s">
        <v>2074</v>
      </c>
      <c r="E1763" t="s">
        <v>2111</v>
      </c>
      <c r="F1763" t="s">
        <v>2116</v>
      </c>
      <c r="G1763" t="s">
        <v>2213</v>
      </c>
      <c r="H1763">
        <v>10456</v>
      </c>
      <c r="I1763" t="s">
        <v>2229</v>
      </c>
      <c r="J1763">
        <v>1</v>
      </c>
      <c r="K1763">
        <v>0</v>
      </c>
      <c r="L1763" t="s">
        <v>2272</v>
      </c>
      <c r="M1763" t="s">
        <v>2677</v>
      </c>
      <c r="P1763" t="s">
        <v>3131</v>
      </c>
      <c r="Q1763" t="s">
        <v>2113</v>
      </c>
      <c r="R1763" t="s">
        <v>3259</v>
      </c>
      <c r="S1763" t="s">
        <v>3270</v>
      </c>
      <c r="T1763" t="s">
        <v>3294</v>
      </c>
      <c r="X1763" t="s">
        <v>3354</v>
      </c>
      <c r="Y1763" t="s">
        <v>2677</v>
      </c>
      <c r="Z1763" t="s">
        <v>3362</v>
      </c>
      <c r="AA1763" t="s">
        <v>3406</v>
      </c>
      <c r="AB1763" t="s">
        <v>3418</v>
      </c>
      <c r="AC1763">
        <f>HYPERLINK("https://lsnyc.legalserver.org/matter/dynamic-profile/view/1854936","18-1854936")</f>
        <v>0</v>
      </c>
      <c r="AD1763" t="s">
        <v>3445</v>
      </c>
      <c r="AE1763" t="s">
        <v>3455</v>
      </c>
      <c r="AF1763" t="s">
        <v>4566</v>
      </c>
      <c r="AG1763" t="s">
        <v>3362</v>
      </c>
      <c r="AH1763" t="s">
        <v>4904</v>
      </c>
      <c r="AK1763" t="s">
        <v>4911</v>
      </c>
      <c r="AL1763" t="s">
        <v>2116</v>
      </c>
      <c r="AM1763" t="s">
        <v>3294</v>
      </c>
      <c r="AN1763" t="s">
        <v>3418</v>
      </c>
    </row>
    <row r="1764" spans="1:41">
      <c r="A1764" s="1" t="s">
        <v>1800</v>
      </c>
      <c r="B1764" t="s">
        <v>2001</v>
      </c>
      <c r="C1764" t="s">
        <v>2017</v>
      </c>
      <c r="D1764" t="s">
        <v>2056</v>
      </c>
      <c r="E1764" t="s">
        <v>2112</v>
      </c>
      <c r="F1764" t="s">
        <v>2116</v>
      </c>
      <c r="G1764" t="s">
        <v>2216</v>
      </c>
      <c r="H1764">
        <v>10304</v>
      </c>
      <c r="I1764" t="s">
        <v>2229</v>
      </c>
      <c r="J1764">
        <v>4</v>
      </c>
      <c r="K1764">
        <v>2</v>
      </c>
      <c r="L1764" t="s">
        <v>2300</v>
      </c>
      <c r="M1764" t="s">
        <v>2677</v>
      </c>
      <c r="P1764" t="s">
        <v>3132</v>
      </c>
      <c r="Q1764" t="s">
        <v>3255</v>
      </c>
      <c r="R1764" t="s">
        <v>3259</v>
      </c>
      <c r="S1764" t="s">
        <v>3264</v>
      </c>
      <c r="T1764" t="s">
        <v>3294</v>
      </c>
      <c r="U1764" t="s">
        <v>2981</v>
      </c>
      <c r="X1764" t="s">
        <v>3354</v>
      </c>
      <c r="Y1764" t="s">
        <v>2678</v>
      </c>
      <c r="Z1764" t="s">
        <v>3357</v>
      </c>
      <c r="AA1764" t="s">
        <v>3406</v>
      </c>
      <c r="AB1764" t="s">
        <v>3412</v>
      </c>
      <c r="AC1764">
        <f>HYPERLINK("https://lsnyc.legalserver.org/matter/dynamic-profile/view/1854223","17-1854223")</f>
        <v>0</v>
      </c>
      <c r="AD1764" t="s">
        <v>3447</v>
      </c>
      <c r="AE1764" t="s">
        <v>3462</v>
      </c>
      <c r="AF1764" t="s">
        <v>4465</v>
      </c>
      <c r="AG1764" t="s">
        <v>3357</v>
      </c>
      <c r="AH1764" t="s">
        <v>4904</v>
      </c>
      <c r="AK1764" t="s">
        <v>4911</v>
      </c>
      <c r="AL1764" t="s">
        <v>2116</v>
      </c>
      <c r="AM1764" t="s">
        <v>3294</v>
      </c>
      <c r="AN1764" t="s">
        <v>3412</v>
      </c>
    </row>
    <row r="1765" spans="1:41">
      <c r="A1765" s="1" t="s">
        <v>1801</v>
      </c>
      <c r="B1765" t="s">
        <v>2002</v>
      </c>
      <c r="C1765" t="s">
        <v>1998</v>
      </c>
      <c r="D1765" t="s">
        <v>2033</v>
      </c>
      <c r="E1765" t="s">
        <v>2112</v>
      </c>
      <c r="F1765" t="s">
        <v>2120</v>
      </c>
      <c r="G1765" t="s">
        <v>2214</v>
      </c>
      <c r="H1765">
        <v>11210</v>
      </c>
      <c r="I1765" t="s">
        <v>2230</v>
      </c>
      <c r="J1765">
        <v>1</v>
      </c>
      <c r="K1765">
        <v>0</v>
      </c>
      <c r="L1765" t="s">
        <v>2260</v>
      </c>
      <c r="M1765" t="s">
        <v>2677</v>
      </c>
      <c r="P1765" t="s">
        <v>3008</v>
      </c>
      <c r="Q1765" t="s">
        <v>2113</v>
      </c>
      <c r="R1765" t="s">
        <v>3258</v>
      </c>
      <c r="S1765" t="s">
        <v>3271</v>
      </c>
      <c r="X1765" t="s">
        <v>3354</v>
      </c>
      <c r="Y1765" t="s">
        <v>2677</v>
      </c>
      <c r="Z1765" t="s">
        <v>3362</v>
      </c>
      <c r="AA1765" t="s">
        <v>3406</v>
      </c>
      <c r="AB1765" t="s">
        <v>3419</v>
      </c>
      <c r="AC1765">
        <f>HYPERLINK("https://lsnyc.legalserver.org/matter/dynamic-profile/view/1854155","17-1854155")</f>
        <v>0</v>
      </c>
      <c r="AD1765" t="s">
        <v>3445</v>
      </c>
      <c r="AE1765" t="s">
        <v>3455</v>
      </c>
      <c r="AF1765" t="s">
        <v>4245</v>
      </c>
      <c r="AG1765" t="s">
        <v>3362</v>
      </c>
      <c r="AH1765" t="s">
        <v>4904</v>
      </c>
      <c r="AK1765" t="s">
        <v>4911</v>
      </c>
      <c r="AL1765" t="s">
        <v>2120</v>
      </c>
      <c r="AN1765" t="s">
        <v>3419</v>
      </c>
    </row>
    <row r="1766" spans="1:41">
      <c r="A1766" s="1" t="s">
        <v>1802</v>
      </c>
      <c r="B1766" t="s">
        <v>1998</v>
      </c>
      <c r="C1766" t="s">
        <v>2002</v>
      </c>
      <c r="D1766" t="s">
        <v>2038</v>
      </c>
      <c r="E1766" t="s">
        <v>2111</v>
      </c>
      <c r="F1766" t="s">
        <v>2173</v>
      </c>
      <c r="G1766" t="s">
        <v>2212</v>
      </c>
      <c r="H1766">
        <v>11416</v>
      </c>
      <c r="I1766" t="s">
        <v>2246</v>
      </c>
      <c r="J1766">
        <v>1</v>
      </c>
      <c r="K1766">
        <v>0</v>
      </c>
      <c r="L1766" t="s">
        <v>2262</v>
      </c>
      <c r="M1766" t="s">
        <v>2677</v>
      </c>
      <c r="P1766" t="s">
        <v>3133</v>
      </c>
      <c r="Q1766" t="s">
        <v>2113</v>
      </c>
      <c r="R1766" t="s">
        <v>3259</v>
      </c>
      <c r="S1766" t="s">
        <v>3268</v>
      </c>
      <c r="X1766" t="s">
        <v>3354</v>
      </c>
      <c r="Y1766" t="s">
        <v>2678</v>
      </c>
      <c r="Z1766" t="s">
        <v>3368</v>
      </c>
      <c r="AA1766" t="s">
        <v>3406</v>
      </c>
      <c r="AB1766" t="s">
        <v>3416</v>
      </c>
      <c r="AC1766">
        <f>HYPERLINK("https://lsnyc.legalserver.org/matter/dynamic-profile/view/1854178","17-1854178")</f>
        <v>0</v>
      </c>
      <c r="AD1766" t="s">
        <v>3447</v>
      </c>
      <c r="AE1766" t="s">
        <v>3459</v>
      </c>
      <c r="AF1766" t="s">
        <v>4766</v>
      </c>
      <c r="AG1766" t="s">
        <v>3368</v>
      </c>
      <c r="AH1766" t="s">
        <v>4904</v>
      </c>
      <c r="AK1766" t="s">
        <v>4911</v>
      </c>
      <c r="AL1766" t="s">
        <v>2173</v>
      </c>
      <c r="AN1766" t="s">
        <v>3416</v>
      </c>
    </row>
    <row r="1767" spans="1:41">
      <c r="A1767" s="1" t="s">
        <v>1803</v>
      </c>
      <c r="B1767" t="s">
        <v>1998</v>
      </c>
      <c r="C1767" t="s">
        <v>1998</v>
      </c>
      <c r="D1767" t="s">
        <v>2097</v>
      </c>
      <c r="E1767" t="s">
        <v>2112</v>
      </c>
      <c r="F1767" t="s">
        <v>2139</v>
      </c>
      <c r="G1767" t="s">
        <v>2214</v>
      </c>
      <c r="H1767">
        <v>11207</v>
      </c>
      <c r="I1767" t="s">
        <v>2252</v>
      </c>
      <c r="J1767">
        <v>1</v>
      </c>
      <c r="K1767">
        <v>0</v>
      </c>
      <c r="L1767" t="s">
        <v>2602</v>
      </c>
      <c r="M1767" t="s">
        <v>2677</v>
      </c>
      <c r="P1767" t="s">
        <v>3133</v>
      </c>
      <c r="Q1767" t="s">
        <v>2113</v>
      </c>
      <c r="R1767" t="s">
        <v>3258</v>
      </c>
      <c r="S1767" t="s">
        <v>3271</v>
      </c>
      <c r="X1767" t="s">
        <v>3354</v>
      </c>
      <c r="Y1767" t="s">
        <v>2677</v>
      </c>
      <c r="Z1767" t="s">
        <v>3362</v>
      </c>
      <c r="AA1767" t="s">
        <v>3406</v>
      </c>
      <c r="AB1767" t="s">
        <v>3419</v>
      </c>
      <c r="AC1767">
        <f>HYPERLINK("https://lsnyc.legalserver.org/matter/dynamic-profile/view/1854195","17-1854195")</f>
        <v>0</v>
      </c>
      <c r="AD1767" t="s">
        <v>3445</v>
      </c>
      <c r="AE1767" t="s">
        <v>3455</v>
      </c>
      <c r="AF1767" t="s">
        <v>4661</v>
      </c>
      <c r="AG1767" t="s">
        <v>3362</v>
      </c>
      <c r="AH1767" t="s">
        <v>4904</v>
      </c>
      <c r="AK1767" t="s">
        <v>4911</v>
      </c>
      <c r="AL1767" t="s">
        <v>2139</v>
      </c>
      <c r="AN1767" t="s">
        <v>3419</v>
      </c>
    </row>
    <row r="1768" spans="1:41">
      <c r="A1768" s="1" t="s">
        <v>1804</v>
      </c>
      <c r="B1768" t="s">
        <v>2012</v>
      </c>
      <c r="C1768" t="s">
        <v>1998</v>
      </c>
      <c r="D1768" t="s">
        <v>2110</v>
      </c>
      <c r="E1768" t="s">
        <v>2112</v>
      </c>
      <c r="F1768" t="s">
        <v>2124</v>
      </c>
      <c r="G1768" t="s">
        <v>2214</v>
      </c>
      <c r="H1768">
        <v>11226</v>
      </c>
      <c r="I1768" t="s">
        <v>2230</v>
      </c>
      <c r="J1768">
        <v>2</v>
      </c>
      <c r="K1768">
        <v>0</v>
      </c>
      <c r="L1768" t="s">
        <v>2358</v>
      </c>
      <c r="M1768" t="s">
        <v>2677</v>
      </c>
      <c r="P1768" t="s">
        <v>3134</v>
      </c>
      <c r="Q1768" t="s">
        <v>3255</v>
      </c>
      <c r="R1768" t="s">
        <v>3258</v>
      </c>
      <c r="S1768" t="s">
        <v>3273</v>
      </c>
      <c r="T1768" t="s">
        <v>3294</v>
      </c>
      <c r="U1768" t="s">
        <v>2847</v>
      </c>
      <c r="V1768" t="s">
        <v>3352</v>
      </c>
      <c r="X1768" t="s">
        <v>3354</v>
      </c>
      <c r="Y1768" t="s">
        <v>2678</v>
      </c>
      <c r="Z1768" t="s">
        <v>3370</v>
      </c>
      <c r="AA1768" t="s">
        <v>3406</v>
      </c>
      <c r="AB1768" t="s">
        <v>3421</v>
      </c>
      <c r="AC1768">
        <f>HYPERLINK("https://lsnyc.legalserver.org/matter/dynamic-profile/view/1853979","17-1853979")</f>
        <v>0</v>
      </c>
      <c r="AD1768" t="s">
        <v>3446</v>
      </c>
      <c r="AE1768" t="s">
        <v>3473</v>
      </c>
      <c r="AF1768" t="s">
        <v>4767</v>
      </c>
      <c r="AG1768" t="s">
        <v>3370</v>
      </c>
      <c r="AH1768" t="s">
        <v>4904</v>
      </c>
      <c r="AK1768" t="s">
        <v>4911</v>
      </c>
      <c r="AL1768" t="s">
        <v>2124</v>
      </c>
      <c r="AM1768" t="s">
        <v>3294</v>
      </c>
      <c r="AN1768" t="s">
        <v>3421</v>
      </c>
      <c r="AO1768" t="s">
        <v>3352</v>
      </c>
    </row>
    <row r="1769" spans="1:41">
      <c r="A1769" s="1" t="s">
        <v>1805</v>
      </c>
      <c r="B1769" t="s">
        <v>1998</v>
      </c>
      <c r="C1769" t="s">
        <v>2005</v>
      </c>
      <c r="D1769" t="s">
        <v>2028</v>
      </c>
      <c r="E1769" t="s">
        <v>2112</v>
      </c>
      <c r="F1769" t="s">
        <v>2123</v>
      </c>
      <c r="G1769" t="s">
        <v>2212</v>
      </c>
      <c r="H1769">
        <v>11420</v>
      </c>
      <c r="I1769" t="s">
        <v>2229</v>
      </c>
      <c r="J1769">
        <v>2</v>
      </c>
      <c r="K1769">
        <v>0</v>
      </c>
      <c r="L1769" t="s">
        <v>2638</v>
      </c>
      <c r="M1769" t="s">
        <v>2677</v>
      </c>
      <c r="P1769" t="s">
        <v>3134</v>
      </c>
      <c r="Q1769" t="s">
        <v>2113</v>
      </c>
      <c r="R1769" t="s">
        <v>3258</v>
      </c>
      <c r="S1769" t="s">
        <v>3271</v>
      </c>
      <c r="X1769" t="s">
        <v>3354</v>
      </c>
      <c r="Y1769" t="s">
        <v>2678</v>
      </c>
      <c r="Z1769" t="s">
        <v>3362</v>
      </c>
      <c r="AA1769" t="s">
        <v>3406</v>
      </c>
      <c r="AB1769" t="s">
        <v>3419</v>
      </c>
      <c r="AC1769">
        <f>HYPERLINK("https://lsnyc.legalserver.org/matter/dynamic-profile/view/1853985","17-1853985")</f>
        <v>0</v>
      </c>
      <c r="AD1769" t="s">
        <v>3443</v>
      </c>
      <c r="AE1769" t="s">
        <v>3477</v>
      </c>
      <c r="AF1769" t="s">
        <v>4768</v>
      </c>
      <c r="AG1769" t="s">
        <v>3362</v>
      </c>
      <c r="AH1769" t="s">
        <v>4904</v>
      </c>
      <c r="AK1769" t="s">
        <v>4911</v>
      </c>
      <c r="AL1769" t="s">
        <v>2123</v>
      </c>
      <c r="AN1769" t="s">
        <v>3419</v>
      </c>
    </row>
    <row r="1770" spans="1:41">
      <c r="A1770" s="1" t="s">
        <v>1806</v>
      </c>
      <c r="B1770" t="s">
        <v>1998</v>
      </c>
      <c r="C1770" t="s">
        <v>2016</v>
      </c>
      <c r="D1770" t="s">
        <v>2055</v>
      </c>
      <c r="E1770" t="s">
        <v>2111</v>
      </c>
      <c r="F1770" t="s">
        <v>2129</v>
      </c>
      <c r="G1770" t="s">
        <v>2214</v>
      </c>
      <c r="H1770">
        <v>11209</v>
      </c>
      <c r="I1770" t="s">
        <v>2232</v>
      </c>
      <c r="J1770">
        <v>1</v>
      </c>
      <c r="K1770">
        <v>0</v>
      </c>
      <c r="L1770" t="s">
        <v>2260</v>
      </c>
      <c r="M1770" t="s">
        <v>2677</v>
      </c>
      <c r="P1770" t="s">
        <v>3134</v>
      </c>
      <c r="Q1770" t="s">
        <v>2113</v>
      </c>
      <c r="R1770" t="s">
        <v>3259</v>
      </c>
      <c r="S1770" t="s">
        <v>3268</v>
      </c>
      <c r="X1770" t="s">
        <v>3354</v>
      </c>
      <c r="Y1770" t="s">
        <v>2677</v>
      </c>
      <c r="Z1770" t="s">
        <v>3368</v>
      </c>
      <c r="AA1770" t="s">
        <v>3406</v>
      </c>
      <c r="AB1770" t="s">
        <v>3416</v>
      </c>
      <c r="AC1770">
        <f>HYPERLINK("https://lsnyc.legalserver.org/matter/dynamic-profile/view/1854006","17-1854006")</f>
        <v>0</v>
      </c>
      <c r="AD1770" t="s">
        <v>3445</v>
      </c>
      <c r="AE1770" t="s">
        <v>3455</v>
      </c>
      <c r="AF1770" t="s">
        <v>4769</v>
      </c>
      <c r="AG1770" t="s">
        <v>3368</v>
      </c>
      <c r="AH1770" t="s">
        <v>4904</v>
      </c>
      <c r="AK1770" t="s">
        <v>4911</v>
      </c>
      <c r="AL1770" t="s">
        <v>2129</v>
      </c>
      <c r="AN1770" t="s">
        <v>3416</v>
      </c>
    </row>
    <row r="1771" spans="1:41">
      <c r="A1771" s="1" t="s">
        <v>1807</v>
      </c>
      <c r="B1771" t="s">
        <v>2009</v>
      </c>
      <c r="C1771" t="s">
        <v>2018</v>
      </c>
      <c r="D1771" t="s">
        <v>2093</v>
      </c>
      <c r="E1771" t="s">
        <v>2111</v>
      </c>
      <c r="F1771" t="s">
        <v>2123</v>
      </c>
      <c r="G1771" t="s">
        <v>2211</v>
      </c>
      <c r="H1771">
        <v>10009</v>
      </c>
      <c r="I1771" t="s">
        <v>2229</v>
      </c>
      <c r="J1771">
        <v>1</v>
      </c>
      <c r="K1771">
        <v>0</v>
      </c>
      <c r="L1771" t="s">
        <v>2275</v>
      </c>
      <c r="M1771" t="s">
        <v>2677</v>
      </c>
      <c r="P1771" t="s">
        <v>3134</v>
      </c>
      <c r="Q1771" t="s">
        <v>2113</v>
      </c>
      <c r="R1771" t="s">
        <v>3261</v>
      </c>
      <c r="S1771" t="s">
        <v>3283</v>
      </c>
      <c r="T1771" t="s">
        <v>3295</v>
      </c>
      <c r="X1771" t="s">
        <v>3354</v>
      </c>
      <c r="Y1771" t="s">
        <v>2678</v>
      </c>
      <c r="Z1771" t="s">
        <v>3362</v>
      </c>
      <c r="AA1771" t="s">
        <v>3408</v>
      </c>
      <c r="AB1771" t="s">
        <v>3431</v>
      </c>
      <c r="AC1771">
        <f>HYPERLINK("https://lsnyc.legalserver.org/matter/dynamic-profile/view/1854047","17-1854047")</f>
        <v>0</v>
      </c>
      <c r="AD1771" t="s">
        <v>3442</v>
      </c>
      <c r="AE1771" t="s">
        <v>3480</v>
      </c>
      <c r="AF1771" t="s">
        <v>4770</v>
      </c>
      <c r="AG1771" t="s">
        <v>3362</v>
      </c>
      <c r="AH1771" t="s">
        <v>3408</v>
      </c>
      <c r="AK1771" t="s">
        <v>4911</v>
      </c>
      <c r="AL1771" t="s">
        <v>2123</v>
      </c>
      <c r="AM1771" t="s">
        <v>3295</v>
      </c>
      <c r="AN1771" t="s">
        <v>3431</v>
      </c>
    </row>
    <row r="1772" spans="1:41">
      <c r="A1772" s="1" t="s">
        <v>1808</v>
      </c>
      <c r="B1772" t="s">
        <v>2009</v>
      </c>
      <c r="C1772" t="s">
        <v>1998</v>
      </c>
      <c r="D1772" t="s">
        <v>2080</v>
      </c>
      <c r="E1772" t="s">
        <v>2111</v>
      </c>
      <c r="F1772" t="s">
        <v>2129</v>
      </c>
      <c r="G1772" t="s">
        <v>2211</v>
      </c>
      <c r="H1772">
        <v>10011</v>
      </c>
      <c r="I1772" t="s">
        <v>2230</v>
      </c>
      <c r="J1772">
        <v>1</v>
      </c>
      <c r="K1772">
        <v>0</v>
      </c>
      <c r="L1772" t="s">
        <v>2260</v>
      </c>
      <c r="M1772" t="s">
        <v>2677</v>
      </c>
      <c r="P1772" t="s">
        <v>3135</v>
      </c>
      <c r="Q1772" t="s">
        <v>2113</v>
      </c>
      <c r="R1772" t="s">
        <v>3259</v>
      </c>
      <c r="S1772" t="s">
        <v>3267</v>
      </c>
      <c r="X1772" t="s">
        <v>3354</v>
      </c>
      <c r="Y1772" t="s">
        <v>2678</v>
      </c>
      <c r="Z1772" t="s">
        <v>3380</v>
      </c>
      <c r="AA1772" t="s">
        <v>3406</v>
      </c>
      <c r="AB1772" t="s">
        <v>3415</v>
      </c>
      <c r="AC1772">
        <f>HYPERLINK("https://lsnyc.legalserver.org/matter/dynamic-profile/view/1853845","17-1853845")</f>
        <v>0</v>
      </c>
      <c r="AD1772" t="s">
        <v>3442</v>
      </c>
      <c r="AE1772" t="s">
        <v>3448</v>
      </c>
      <c r="AF1772" t="s">
        <v>4305</v>
      </c>
      <c r="AG1772" t="s">
        <v>3380</v>
      </c>
      <c r="AH1772" t="s">
        <v>4906</v>
      </c>
      <c r="AK1772" t="s">
        <v>4911</v>
      </c>
      <c r="AL1772" t="s">
        <v>2129</v>
      </c>
      <c r="AN1772" t="s">
        <v>3415</v>
      </c>
    </row>
    <row r="1773" spans="1:41">
      <c r="A1773" s="1" t="s">
        <v>1809</v>
      </c>
      <c r="B1773" t="s">
        <v>2000</v>
      </c>
      <c r="C1773" t="s">
        <v>1998</v>
      </c>
      <c r="D1773" t="s">
        <v>2081</v>
      </c>
      <c r="E1773" t="s">
        <v>2112</v>
      </c>
      <c r="F1773" t="s">
        <v>2123</v>
      </c>
      <c r="G1773" t="s">
        <v>2211</v>
      </c>
      <c r="H1773">
        <v>10002</v>
      </c>
      <c r="I1773" t="s">
        <v>2229</v>
      </c>
      <c r="J1773">
        <v>2</v>
      </c>
      <c r="K1773">
        <v>1</v>
      </c>
      <c r="L1773" t="s">
        <v>2639</v>
      </c>
      <c r="M1773" t="s">
        <v>2677</v>
      </c>
      <c r="P1773" t="s">
        <v>3136</v>
      </c>
      <c r="Q1773" t="s">
        <v>2113</v>
      </c>
      <c r="R1773" t="s">
        <v>3258</v>
      </c>
      <c r="S1773" t="s">
        <v>3271</v>
      </c>
      <c r="X1773" t="s">
        <v>3354</v>
      </c>
      <c r="Y1773" t="s">
        <v>2678</v>
      </c>
      <c r="Z1773" t="s">
        <v>3362</v>
      </c>
      <c r="AA1773" t="s">
        <v>3406</v>
      </c>
      <c r="AB1773" t="s">
        <v>3419</v>
      </c>
      <c r="AC1773">
        <f>HYPERLINK("https://lsnyc.legalserver.org/matter/dynamic-profile/view/1854036","17-1854036")</f>
        <v>0</v>
      </c>
      <c r="AD1773" t="s">
        <v>3442</v>
      </c>
      <c r="AE1773" t="s">
        <v>3480</v>
      </c>
      <c r="AF1773" t="s">
        <v>4771</v>
      </c>
      <c r="AG1773" t="s">
        <v>3362</v>
      </c>
      <c r="AH1773" t="s">
        <v>4904</v>
      </c>
      <c r="AK1773" t="s">
        <v>4911</v>
      </c>
      <c r="AL1773" t="s">
        <v>2123</v>
      </c>
      <c r="AN1773" t="s">
        <v>3419</v>
      </c>
    </row>
    <row r="1774" spans="1:41">
      <c r="A1774" s="1" t="s">
        <v>1810</v>
      </c>
      <c r="B1774" t="s">
        <v>1998</v>
      </c>
      <c r="C1774" t="s">
        <v>1998</v>
      </c>
      <c r="D1774" t="s">
        <v>2066</v>
      </c>
      <c r="E1774" t="s">
        <v>2112</v>
      </c>
      <c r="F1774" t="s">
        <v>2115</v>
      </c>
      <c r="G1774" t="s">
        <v>2213</v>
      </c>
      <c r="H1774">
        <v>10457</v>
      </c>
      <c r="I1774" t="s">
        <v>2229</v>
      </c>
      <c r="J1774">
        <v>3</v>
      </c>
      <c r="K1774">
        <v>1</v>
      </c>
      <c r="L1774" t="s">
        <v>2262</v>
      </c>
      <c r="M1774" t="s">
        <v>2677</v>
      </c>
      <c r="P1774" t="s">
        <v>3137</v>
      </c>
      <c r="Q1774" t="s">
        <v>2113</v>
      </c>
      <c r="R1774" t="s">
        <v>3259</v>
      </c>
      <c r="S1774" t="s">
        <v>3264</v>
      </c>
      <c r="X1774" t="s">
        <v>3354</v>
      </c>
      <c r="Y1774" t="s">
        <v>2678</v>
      </c>
      <c r="Z1774" t="s">
        <v>3357</v>
      </c>
      <c r="AA1774" t="s">
        <v>3406</v>
      </c>
      <c r="AB1774" t="s">
        <v>3412</v>
      </c>
      <c r="AC1774">
        <f>HYPERLINK("https://lsnyc.legalserver.org/matter/dynamic-profile/view/1853528","17-1853528")</f>
        <v>0</v>
      </c>
      <c r="AD1774" t="s">
        <v>3444</v>
      </c>
      <c r="AE1774" t="s">
        <v>3451</v>
      </c>
      <c r="AF1774" t="s">
        <v>4772</v>
      </c>
      <c r="AG1774" t="s">
        <v>3357</v>
      </c>
      <c r="AH1774" t="s">
        <v>4904</v>
      </c>
      <c r="AK1774" t="s">
        <v>4911</v>
      </c>
      <c r="AL1774" t="s">
        <v>2115</v>
      </c>
      <c r="AN1774" t="s">
        <v>3412</v>
      </c>
    </row>
    <row r="1775" spans="1:41">
      <c r="A1775" s="1" t="s">
        <v>1811</v>
      </c>
      <c r="B1775" t="s">
        <v>2000</v>
      </c>
      <c r="C1775" t="s">
        <v>1998</v>
      </c>
      <c r="D1775" t="s">
        <v>2097</v>
      </c>
      <c r="E1775" t="s">
        <v>2112</v>
      </c>
      <c r="F1775" t="s">
        <v>2114</v>
      </c>
      <c r="G1775" t="s">
        <v>2213</v>
      </c>
      <c r="H1775">
        <v>10461</v>
      </c>
      <c r="I1775" t="s">
        <v>2229</v>
      </c>
      <c r="J1775">
        <v>1</v>
      </c>
      <c r="K1775">
        <v>0</v>
      </c>
      <c r="L1775" t="s">
        <v>2534</v>
      </c>
      <c r="M1775" t="s">
        <v>2677</v>
      </c>
      <c r="P1775" t="s">
        <v>2741</v>
      </c>
      <c r="Q1775" t="s">
        <v>2113</v>
      </c>
      <c r="R1775" t="s">
        <v>3259</v>
      </c>
      <c r="S1775" t="s">
        <v>3267</v>
      </c>
      <c r="T1775" t="s">
        <v>3294</v>
      </c>
      <c r="U1775" t="s">
        <v>3326</v>
      </c>
      <c r="X1775" t="s">
        <v>3354</v>
      </c>
      <c r="Y1775" t="s">
        <v>2678</v>
      </c>
      <c r="Z1775" t="s">
        <v>3380</v>
      </c>
      <c r="AA1775" t="s">
        <v>3406</v>
      </c>
      <c r="AB1775" t="s">
        <v>3415</v>
      </c>
      <c r="AC1775">
        <f>HYPERLINK("https://lsnyc.legalserver.org/matter/dynamic-profile/view/1853162","17-1853162")</f>
        <v>0</v>
      </c>
      <c r="AD1775" t="s">
        <v>3444</v>
      </c>
      <c r="AE1775" t="s">
        <v>3451</v>
      </c>
      <c r="AF1775" t="s">
        <v>4773</v>
      </c>
      <c r="AG1775" t="s">
        <v>3380</v>
      </c>
      <c r="AH1775" t="s">
        <v>4906</v>
      </c>
      <c r="AL1775" t="s">
        <v>2114</v>
      </c>
      <c r="AM1775" t="s">
        <v>3294</v>
      </c>
      <c r="AN1775" t="s">
        <v>3415</v>
      </c>
    </row>
    <row r="1776" spans="1:41">
      <c r="A1776" s="1" t="s">
        <v>1812</v>
      </c>
      <c r="B1776" t="s">
        <v>2000</v>
      </c>
      <c r="C1776" t="s">
        <v>1998</v>
      </c>
      <c r="D1776" t="s">
        <v>2032</v>
      </c>
      <c r="E1776" t="s">
        <v>2112</v>
      </c>
      <c r="F1776" t="s">
        <v>2117</v>
      </c>
      <c r="G1776" t="s">
        <v>2211</v>
      </c>
      <c r="H1776">
        <v>10029</v>
      </c>
      <c r="I1776" t="s">
        <v>2229</v>
      </c>
      <c r="J1776">
        <v>2</v>
      </c>
      <c r="K1776">
        <v>0</v>
      </c>
      <c r="L1776" t="s">
        <v>2262</v>
      </c>
      <c r="M1776" t="s">
        <v>2677</v>
      </c>
      <c r="P1776" t="s">
        <v>3138</v>
      </c>
      <c r="Q1776" t="s">
        <v>2113</v>
      </c>
      <c r="R1776" t="s">
        <v>3259</v>
      </c>
      <c r="S1776" t="s">
        <v>3270</v>
      </c>
      <c r="X1776" t="s">
        <v>3354</v>
      </c>
      <c r="Y1776" t="s">
        <v>2677</v>
      </c>
      <c r="Z1776" t="s">
        <v>3362</v>
      </c>
      <c r="AA1776" t="s">
        <v>3406</v>
      </c>
      <c r="AB1776" t="s">
        <v>3418</v>
      </c>
      <c r="AC1776">
        <f>HYPERLINK("https://lsnyc.legalserver.org/matter/dynamic-profile/view/1853174","17-1853174")</f>
        <v>0</v>
      </c>
      <c r="AD1776" t="s">
        <v>3443</v>
      </c>
      <c r="AE1776" t="s">
        <v>3477</v>
      </c>
      <c r="AF1776" t="s">
        <v>4774</v>
      </c>
      <c r="AG1776" t="s">
        <v>3362</v>
      </c>
      <c r="AH1776" t="s">
        <v>4904</v>
      </c>
      <c r="AK1776" t="s">
        <v>4911</v>
      </c>
      <c r="AL1776" t="s">
        <v>2117</v>
      </c>
      <c r="AN1776" t="s">
        <v>3418</v>
      </c>
    </row>
    <row r="1777" spans="1:41">
      <c r="A1777" s="1" t="s">
        <v>1813</v>
      </c>
      <c r="B1777" t="s">
        <v>2001</v>
      </c>
      <c r="C1777" t="s">
        <v>2000</v>
      </c>
      <c r="D1777" t="s">
        <v>2067</v>
      </c>
      <c r="E1777" t="s">
        <v>2111</v>
      </c>
      <c r="F1777" t="s">
        <v>2117</v>
      </c>
      <c r="G1777" t="s">
        <v>2213</v>
      </c>
      <c r="H1777">
        <v>10460</v>
      </c>
      <c r="I1777" t="s">
        <v>2229</v>
      </c>
      <c r="J1777">
        <v>3</v>
      </c>
      <c r="K1777">
        <v>1</v>
      </c>
      <c r="L1777" t="s">
        <v>2331</v>
      </c>
      <c r="M1777" t="s">
        <v>2677</v>
      </c>
      <c r="P1777" t="s">
        <v>3139</v>
      </c>
      <c r="Q1777" t="s">
        <v>2113</v>
      </c>
      <c r="R1777" t="s">
        <v>3258</v>
      </c>
      <c r="S1777" t="s">
        <v>3265</v>
      </c>
      <c r="T1777" t="s">
        <v>3298</v>
      </c>
      <c r="U1777" t="s">
        <v>3327</v>
      </c>
      <c r="V1777" t="s">
        <v>3352</v>
      </c>
      <c r="X1777" t="s">
        <v>3354</v>
      </c>
      <c r="Y1777" t="s">
        <v>2678</v>
      </c>
      <c r="Z1777" t="s">
        <v>3385</v>
      </c>
      <c r="AA1777" t="s">
        <v>3406</v>
      </c>
      <c r="AB1777" t="s">
        <v>3413</v>
      </c>
      <c r="AC1777">
        <f>HYPERLINK("https://lsnyc.legalserver.org/matter/dynamic-profile/view/1852481","17-1852481")</f>
        <v>0</v>
      </c>
      <c r="AD1777" t="s">
        <v>3444</v>
      </c>
      <c r="AE1777" t="s">
        <v>3468</v>
      </c>
      <c r="AF1777" t="s">
        <v>3687</v>
      </c>
      <c r="AG1777" t="s">
        <v>3385</v>
      </c>
      <c r="AH1777" t="s">
        <v>4904</v>
      </c>
      <c r="AK1777" t="s">
        <v>4911</v>
      </c>
      <c r="AL1777" t="s">
        <v>2117</v>
      </c>
      <c r="AM1777" t="s">
        <v>3298</v>
      </c>
      <c r="AN1777" t="s">
        <v>3413</v>
      </c>
      <c r="AO1777" t="s">
        <v>3352</v>
      </c>
    </row>
    <row r="1778" spans="1:41">
      <c r="A1778" s="1" t="s">
        <v>1814</v>
      </c>
      <c r="B1778" t="s">
        <v>2009</v>
      </c>
      <c r="C1778" t="s">
        <v>2005</v>
      </c>
      <c r="D1778" t="s">
        <v>2076</v>
      </c>
      <c r="E1778" t="s">
        <v>2112</v>
      </c>
      <c r="F1778" t="s">
        <v>2114</v>
      </c>
      <c r="G1778" t="s">
        <v>2226</v>
      </c>
      <c r="H1778">
        <v>8854</v>
      </c>
      <c r="I1778" t="s">
        <v>2229</v>
      </c>
      <c r="J1778">
        <v>4</v>
      </c>
      <c r="K1778">
        <v>2</v>
      </c>
      <c r="L1778" t="s">
        <v>2307</v>
      </c>
      <c r="M1778" t="s">
        <v>2677</v>
      </c>
      <c r="P1778" t="s">
        <v>3139</v>
      </c>
      <c r="Q1778" t="s">
        <v>2113</v>
      </c>
      <c r="R1778" t="s">
        <v>3259</v>
      </c>
      <c r="S1778" t="s">
        <v>3267</v>
      </c>
      <c r="X1778" t="s">
        <v>3354</v>
      </c>
      <c r="Y1778" t="s">
        <v>2678</v>
      </c>
      <c r="Z1778" t="s">
        <v>3380</v>
      </c>
      <c r="AA1778" t="s">
        <v>3406</v>
      </c>
      <c r="AB1778" t="s">
        <v>3415</v>
      </c>
      <c r="AC1778">
        <f>HYPERLINK("https://lsnyc.legalserver.org/matter/dynamic-profile/view/1852495","17-1852495")</f>
        <v>0</v>
      </c>
      <c r="AD1778" t="s">
        <v>3447</v>
      </c>
      <c r="AE1778" t="s">
        <v>3463</v>
      </c>
      <c r="AF1778" t="s">
        <v>4775</v>
      </c>
      <c r="AG1778" t="s">
        <v>3380</v>
      </c>
      <c r="AH1778" t="s">
        <v>4906</v>
      </c>
      <c r="AK1778" t="s">
        <v>4911</v>
      </c>
      <c r="AL1778" t="s">
        <v>2114</v>
      </c>
      <c r="AN1778" t="s">
        <v>3415</v>
      </c>
    </row>
    <row r="1779" spans="1:41">
      <c r="A1779" s="1" t="s">
        <v>1815</v>
      </c>
      <c r="B1779" t="s">
        <v>1998</v>
      </c>
      <c r="C1779" t="s">
        <v>2016</v>
      </c>
      <c r="D1779" t="s">
        <v>2076</v>
      </c>
      <c r="E1779" t="s">
        <v>2111</v>
      </c>
      <c r="F1779" t="s">
        <v>2120</v>
      </c>
      <c r="G1779" t="s">
        <v>2212</v>
      </c>
      <c r="H1779">
        <v>11435</v>
      </c>
      <c r="I1779" t="s">
        <v>2230</v>
      </c>
      <c r="J1779">
        <v>1</v>
      </c>
      <c r="K1779">
        <v>0</v>
      </c>
      <c r="L1779" t="s">
        <v>2260</v>
      </c>
      <c r="M1779" t="s">
        <v>2677</v>
      </c>
      <c r="P1779" t="s">
        <v>3139</v>
      </c>
      <c r="Q1779" t="s">
        <v>2113</v>
      </c>
      <c r="R1779" t="s">
        <v>3259</v>
      </c>
      <c r="S1779" t="s">
        <v>3270</v>
      </c>
      <c r="X1779" t="s">
        <v>3354</v>
      </c>
      <c r="Y1779" t="s">
        <v>2677</v>
      </c>
      <c r="Z1779" t="s">
        <v>3359</v>
      </c>
      <c r="AA1779" t="s">
        <v>3406</v>
      </c>
      <c r="AB1779" t="s">
        <v>3418</v>
      </c>
      <c r="AC1779">
        <f>HYPERLINK("https://lsnyc.legalserver.org/matter/dynamic-profile/view/1852559","17-1852559")</f>
        <v>0</v>
      </c>
      <c r="AD1779" t="s">
        <v>3445</v>
      </c>
      <c r="AE1779" t="s">
        <v>3455</v>
      </c>
      <c r="AF1779" t="s">
        <v>4776</v>
      </c>
      <c r="AG1779" t="s">
        <v>3359</v>
      </c>
      <c r="AH1779" t="s">
        <v>4904</v>
      </c>
      <c r="AK1779" t="s">
        <v>4911</v>
      </c>
      <c r="AL1779" t="s">
        <v>2120</v>
      </c>
      <c r="AN1779" t="s">
        <v>3418</v>
      </c>
    </row>
    <row r="1780" spans="1:41">
      <c r="A1780" s="1" t="s">
        <v>1816</v>
      </c>
      <c r="B1780" t="s">
        <v>1998</v>
      </c>
      <c r="C1780" t="s">
        <v>2025</v>
      </c>
      <c r="D1780" t="s">
        <v>2104</v>
      </c>
      <c r="E1780" t="s">
        <v>2111</v>
      </c>
      <c r="F1780" t="s">
        <v>2122</v>
      </c>
      <c r="G1780" t="s">
        <v>2212</v>
      </c>
      <c r="H1780">
        <v>11419</v>
      </c>
      <c r="I1780" t="s">
        <v>2230</v>
      </c>
      <c r="J1780">
        <v>1</v>
      </c>
      <c r="K1780">
        <v>0</v>
      </c>
      <c r="L1780" t="s">
        <v>2310</v>
      </c>
      <c r="M1780" t="s">
        <v>2677</v>
      </c>
      <c r="P1780" t="s">
        <v>3140</v>
      </c>
      <c r="Q1780" t="s">
        <v>2113</v>
      </c>
      <c r="R1780" t="s">
        <v>3258</v>
      </c>
      <c r="S1780" t="s">
        <v>3271</v>
      </c>
      <c r="X1780" t="s">
        <v>3354</v>
      </c>
      <c r="Y1780" t="s">
        <v>2678</v>
      </c>
      <c r="Z1780" t="s">
        <v>3362</v>
      </c>
      <c r="AA1780" t="s">
        <v>3406</v>
      </c>
      <c r="AB1780" t="s">
        <v>3419</v>
      </c>
      <c r="AC1780">
        <f>HYPERLINK("https://lsnyc.legalserver.org/matter/dynamic-profile/view/1852451","17-1852451")</f>
        <v>0</v>
      </c>
      <c r="AD1780" t="s">
        <v>3443</v>
      </c>
      <c r="AE1780" t="s">
        <v>3477</v>
      </c>
      <c r="AF1780" t="s">
        <v>4777</v>
      </c>
      <c r="AG1780" t="s">
        <v>3362</v>
      </c>
      <c r="AH1780" t="s">
        <v>4904</v>
      </c>
      <c r="AK1780" t="s">
        <v>4911</v>
      </c>
      <c r="AL1780" t="s">
        <v>2122</v>
      </c>
      <c r="AN1780" t="s">
        <v>3419</v>
      </c>
    </row>
    <row r="1781" spans="1:41">
      <c r="A1781" s="1" t="s">
        <v>1817</v>
      </c>
      <c r="B1781" t="s">
        <v>1998</v>
      </c>
      <c r="C1781" t="s">
        <v>1998</v>
      </c>
      <c r="D1781" t="s">
        <v>2099</v>
      </c>
      <c r="E1781" t="s">
        <v>2112</v>
      </c>
      <c r="F1781" t="s">
        <v>2201</v>
      </c>
      <c r="G1781" t="s">
        <v>2212</v>
      </c>
      <c r="H1781">
        <v>11104</v>
      </c>
      <c r="I1781" t="s">
        <v>2253</v>
      </c>
      <c r="J1781">
        <v>1</v>
      </c>
      <c r="K1781">
        <v>0</v>
      </c>
      <c r="L1781" t="s">
        <v>2392</v>
      </c>
      <c r="M1781" t="s">
        <v>2677</v>
      </c>
      <c r="P1781" t="s">
        <v>3140</v>
      </c>
      <c r="Q1781" t="s">
        <v>2113</v>
      </c>
      <c r="R1781" t="s">
        <v>3258</v>
      </c>
      <c r="S1781" t="s">
        <v>3273</v>
      </c>
      <c r="X1781" t="s">
        <v>3354</v>
      </c>
      <c r="Y1781" t="s">
        <v>2677</v>
      </c>
      <c r="Z1781" t="s">
        <v>3365</v>
      </c>
      <c r="AA1781" t="s">
        <v>3406</v>
      </c>
      <c r="AB1781" t="s">
        <v>3421</v>
      </c>
      <c r="AC1781">
        <f>HYPERLINK("https://lsnyc.legalserver.org/matter/dynamic-profile/view/1853173","17-1853173")</f>
        <v>0</v>
      </c>
      <c r="AD1781" t="s">
        <v>3445</v>
      </c>
      <c r="AE1781" t="s">
        <v>3455</v>
      </c>
      <c r="AF1781" t="s">
        <v>4625</v>
      </c>
      <c r="AG1781" t="s">
        <v>3365</v>
      </c>
      <c r="AH1781" t="s">
        <v>4904</v>
      </c>
      <c r="AK1781" t="s">
        <v>4911</v>
      </c>
      <c r="AL1781" t="s">
        <v>2201</v>
      </c>
      <c r="AN1781" t="s">
        <v>3421</v>
      </c>
    </row>
    <row r="1782" spans="1:41">
      <c r="A1782" s="1" t="s">
        <v>1818</v>
      </c>
      <c r="B1782" t="s">
        <v>2009</v>
      </c>
      <c r="C1782" t="s">
        <v>1998</v>
      </c>
      <c r="D1782" t="s">
        <v>2042</v>
      </c>
      <c r="E1782" t="s">
        <v>2111</v>
      </c>
      <c r="F1782" t="s">
        <v>2123</v>
      </c>
      <c r="G1782" t="s">
        <v>2211</v>
      </c>
      <c r="H1782">
        <v>10009</v>
      </c>
      <c r="I1782" t="s">
        <v>2229</v>
      </c>
      <c r="J1782">
        <v>4</v>
      </c>
      <c r="K1782">
        <v>1</v>
      </c>
      <c r="L1782" t="s">
        <v>2640</v>
      </c>
      <c r="M1782" t="s">
        <v>2677</v>
      </c>
      <c r="P1782" t="s">
        <v>3141</v>
      </c>
      <c r="Q1782" t="s">
        <v>2113</v>
      </c>
      <c r="R1782" t="s">
        <v>3261</v>
      </c>
      <c r="S1782" t="s">
        <v>3283</v>
      </c>
      <c r="T1782" t="s">
        <v>3295</v>
      </c>
      <c r="X1782" t="s">
        <v>3354</v>
      </c>
      <c r="Y1782" t="s">
        <v>2678</v>
      </c>
      <c r="Z1782" t="s">
        <v>3362</v>
      </c>
      <c r="AA1782" t="s">
        <v>3408</v>
      </c>
      <c r="AB1782" t="s">
        <v>3431</v>
      </c>
      <c r="AC1782">
        <f>HYPERLINK("https://lsnyc.legalserver.org/matter/dynamic-profile/view/1852585","17-1852585")</f>
        <v>0</v>
      </c>
      <c r="AD1782" t="s">
        <v>3442</v>
      </c>
      <c r="AE1782" t="s">
        <v>3480</v>
      </c>
      <c r="AF1782" t="s">
        <v>4778</v>
      </c>
      <c r="AG1782" t="s">
        <v>3362</v>
      </c>
      <c r="AH1782" t="s">
        <v>3408</v>
      </c>
      <c r="AK1782" t="s">
        <v>4911</v>
      </c>
      <c r="AL1782" t="s">
        <v>2123</v>
      </c>
      <c r="AM1782" t="s">
        <v>3295</v>
      </c>
      <c r="AN1782" t="s">
        <v>3431</v>
      </c>
    </row>
    <row r="1783" spans="1:41">
      <c r="A1783" s="1" t="s">
        <v>1819</v>
      </c>
      <c r="B1783" t="s">
        <v>2000</v>
      </c>
      <c r="C1783" t="s">
        <v>2000</v>
      </c>
      <c r="D1783" t="s">
        <v>2031</v>
      </c>
      <c r="E1783" t="s">
        <v>2112</v>
      </c>
      <c r="F1783" t="s">
        <v>2123</v>
      </c>
      <c r="G1783" t="s">
        <v>2213</v>
      </c>
      <c r="H1783">
        <v>10459</v>
      </c>
      <c r="I1783" t="s">
        <v>2229</v>
      </c>
      <c r="J1783">
        <v>3</v>
      </c>
      <c r="K1783">
        <v>2</v>
      </c>
      <c r="L1783" t="s">
        <v>2641</v>
      </c>
      <c r="M1783" t="s">
        <v>2677</v>
      </c>
      <c r="P1783" t="s">
        <v>3141</v>
      </c>
      <c r="Q1783" t="s">
        <v>2113</v>
      </c>
      <c r="R1783" t="s">
        <v>3258</v>
      </c>
      <c r="S1783" t="s">
        <v>3273</v>
      </c>
      <c r="X1783" t="s">
        <v>3354</v>
      </c>
      <c r="Y1783" t="s">
        <v>2678</v>
      </c>
      <c r="Z1783" t="s">
        <v>3370</v>
      </c>
      <c r="AA1783" t="s">
        <v>3406</v>
      </c>
      <c r="AB1783" t="s">
        <v>3421</v>
      </c>
      <c r="AC1783">
        <f>HYPERLINK("https://lsnyc.legalserver.org/matter/dynamic-profile/view/1853608","17-1853608")</f>
        <v>0</v>
      </c>
      <c r="AD1783" t="s">
        <v>3442</v>
      </c>
      <c r="AE1783" t="s">
        <v>3448</v>
      </c>
      <c r="AF1783" t="s">
        <v>4779</v>
      </c>
      <c r="AG1783" t="s">
        <v>3370</v>
      </c>
      <c r="AH1783" t="s">
        <v>4904</v>
      </c>
      <c r="AK1783" t="s">
        <v>4911</v>
      </c>
      <c r="AL1783" t="s">
        <v>2123</v>
      </c>
      <c r="AN1783" t="s">
        <v>3421</v>
      </c>
    </row>
    <row r="1784" spans="1:41">
      <c r="A1784" s="1" t="s">
        <v>1820</v>
      </c>
      <c r="B1784" t="s">
        <v>1998</v>
      </c>
      <c r="C1784" t="s">
        <v>2000</v>
      </c>
      <c r="D1784" t="s">
        <v>2055</v>
      </c>
      <c r="E1784" t="s">
        <v>2112</v>
      </c>
      <c r="F1784" t="s">
        <v>2115</v>
      </c>
      <c r="G1784" t="s">
        <v>2212</v>
      </c>
      <c r="H1784">
        <v>11368</v>
      </c>
      <c r="I1784" t="s">
        <v>2229</v>
      </c>
      <c r="J1784">
        <v>1</v>
      </c>
      <c r="K1784">
        <v>0</v>
      </c>
      <c r="L1784" t="s">
        <v>2260</v>
      </c>
      <c r="M1784" t="s">
        <v>2677</v>
      </c>
      <c r="P1784" t="s">
        <v>2765</v>
      </c>
      <c r="Q1784" t="s">
        <v>2113</v>
      </c>
      <c r="R1784" t="s">
        <v>3259</v>
      </c>
      <c r="S1784" t="s">
        <v>3270</v>
      </c>
      <c r="T1784" t="s">
        <v>3294</v>
      </c>
      <c r="U1784" t="s">
        <v>2751</v>
      </c>
      <c r="X1784" t="s">
        <v>3354</v>
      </c>
      <c r="Y1784" t="s">
        <v>2678</v>
      </c>
      <c r="Z1784" t="s">
        <v>3368</v>
      </c>
      <c r="AA1784" t="s">
        <v>3406</v>
      </c>
      <c r="AB1784" t="s">
        <v>3418</v>
      </c>
      <c r="AC1784">
        <f>HYPERLINK("https://lsnyc.legalserver.org/matter/dynamic-profile/view/1852014","17-1852014")</f>
        <v>0</v>
      </c>
      <c r="AD1784" t="s">
        <v>3443</v>
      </c>
      <c r="AE1784" t="s">
        <v>3450</v>
      </c>
      <c r="AF1784" t="s">
        <v>4780</v>
      </c>
      <c r="AG1784" t="s">
        <v>3368</v>
      </c>
      <c r="AH1784" t="s">
        <v>4904</v>
      </c>
      <c r="AL1784" t="s">
        <v>2115</v>
      </c>
      <c r="AM1784" t="s">
        <v>3294</v>
      </c>
      <c r="AN1784" t="s">
        <v>3418</v>
      </c>
    </row>
    <row r="1785" spans="1:41">
      <c r="A1785" s="1" t="s">
        <v>1821</v>
      </c>
      <c r="B1785" t="s">
        <v>2012</v>
      </c>
      <c r="C1785" t="s">
        <v>2017</v>
      </c>
      <c r="D1785" t="s">
        <v>2055</v>
      </c>
      <c r="E1785" t="s">
        <v>2111</v>
      </c>
      <c r="F1785" t="s">
        <v>2129</v>
      </c>
      <c r="G1785" t="s">
        <v>2211</v>
      </c>
      <c r="H1785">
        <v>10014</v>
      </c>
      <c r="I1785" t="s">
        <v>2232</v>
      </c>
      <c r="J1785">
        <v>1</v>
      </c>
      <c r="K1785">
        <v>0</v>
      </c>
      <c r="L1785" t="s">
        <v>2306</v>
      </c>
      <c r="M1785" t="s">
        <v>2678</v>
      </c>
      <c r="N1785" t="s">
        <v>2679</v>
      </c>
      <c r="O1785" t="s">
        <v>2684</v>
      </c>
      <c r="P1785" t="s">
        <v>3142</v>
      </c>
      <c r="Q1785" t="s">
        <v>2113</v>
      </c>
      <c r="R1785" t="s">
        <v>3259</v>
      </c>
      <c r="S1785" t="s">
        <v>3268</v>
      </c>
      <c r="X1785" t="s">
        <v>3354</v>
      </c>
      <c r="Y1785" t="s">
        <v>2677</v>
      </c>
      <c r="Z1785" t="s">
        <v>3368</v>
      </c>
      <c r="AA1785" t="s">
        <v>3406</v>
      </c>
      <c r="AB1785" t="s">
        <v>3416</v>
      </c>
      <c r="AC1785">
        <f>HYPERLINK("https://lsnyc.legalserver.org/matter/dynamic-profile/view/1852061","17-1852061")</f>
        <v>0</v>
      </c>
      <c r="AD1785" t="s">
        <v>3445</v>
      </c>
      <c r="AE1785" t="s">
        <v>3455</v>
      </c>
      <c r="AF1785" t="s">
        <v>3531</v>
      </c>
      <c r="AG1785" t="s">
        <v>3368</v>
      </c>
      <c r="AH1785" t="s">
        <v>4904</v>
      </c>
      <c r="AK1785" t="s">
        <v>4911</v>
      </c>
      <c r="AL1785" t="s">
        <v>2129</v>
      </c>
      <c r="AN1785" t="s">
        <v>3416</v>
      </c>
    </row>
    <row r="1786" spans="1:41">
      <c r="A1786" s="1" t="s">
        <v>1822</v>
      </c>
      <c r="B1786" t="s">
        <v>2002</v>
      </c>
      <c r="C1786" t="s">
        <v>2009</v>
      </c>
      <c r="D1786" t="s">
        <v>2078</v>
      </c>
      <c r="E1786" t="s">
        <v>2112</v>
      </c>
      <c r="F1786" t="s">
        <v>2117</v>
      </c>
      <c r="G1786" t="s">
        <v>2212</v>
      </c>
      <c r="H1786">
        <v>11433</v>
      </c>
      <c r="I1786" t="s">
        <v>2229</v>
      </c>
      <c r="J1786">
        <v>2</v>
      </c>
      <c r="K1786">
        <v>1</v>
      </c>
      <c r="L1786" t="s">
        <v>2260</v>
      </c>
      <c r="M1786" t="s">
        <v>2677</v>
      </c>
      <c r="P1786" t="s">
        <v>3142</v>
      </c>
      <c r="Q1786" t="s">
        <v>2113</v>
      </c>
      <c r="R1786" t="s">
        <v>3259</v>
      </c>
      <c r="S1786" t="s">
        <v>3264</v>
      </c>
      <c r="X1786" t="s">
        <v>3354</v>
      </c>
      <c r="Y1786" t="s">
        <v>2677</v>
      </c>
      <c r="Z1786" t="s">
        <v>3357</v>
      </c>
      <c r="AA1786" t="s">
        <v>3406</v>
      </c>
      <c r="AB1786" t="s">
        <v>3412</v>
      </c>
      <c r="AC1786">
        <f>HYPERLINK("https://lsnyc.legalserver.org/matter/dynamic-profile/view/1852062","17-1852062")</f>
        <v>0</v>
      </c>
      <c r="AD1786" t="s">
        <v>3445</v>
      </c>
      <c r="AE1786" t="s">
        <v>3455</v>
      </c>
      <c r="AF1786" t="s">
        <v>4685</v>
      </c>
      <c r="AG1786" t="s">
        <v>3357</v>
      </c>
      <c r="AH1786" t="s">
        <v>4904</v>
      </c>
      <c r="AK1786" t="s">
        <v>4911</v>
      </c>
      <c r="AL1786" t="s">
        <v>2117</v>
      </c>
      <c r="AN1786" t="s">
        <v>3412</v>
      </c>
    </row>
    <row r="1787" spans="1:41">
      <c r="A1787" s="1" t="s">
        <v>1823</v>
      </c>
      <c r="B1787" t="s">
        <v>2000</v>
      </c>
      <c r="C1787" t="s">
        <v>2001</v>
      </c>
      <c r="D1787" t="s">
        <v>2056</v>
      </c>
      <c r="E1787" t="s">
        <v>2111</v>
      </c>
      <c r="F1787" t="s">
        <v>2205</v>
      </c>
      <c r="G1787" t="s">
        <v>2212</v>
      </c>
      <c r="H1787">
        <v>11436</v>
      </c>
      <c r="I1787" t="s">
        <v>2230</v>
      </c>
      <c r="J1787">
        <v>3</v>
      </c>
      <c r="K1787">
        <v>2</v>
      </c>
      <c r="L1787" t="s">
        <v>2294</v>
      </c>
      <c r="M1787" t="s">
        <v>2677</v>
      </c>
      <c r="P1787" t="s">
        <v>2759</v>
      </c>
      <c r="Q1787" t="s">
        <v>2113</v>
      </c>
      <c r="R1787" t="s">
        <v>3258</v>
      </c>
      <c r="S1787" t="s">
        <v>3271</v>
      </c>
      <c r="X1787" t="s">
        <v>3354</v>
      </c>
      <c r="Y1787" t="s">
        <v>2678</v>
      </c>
      <c r="Z1787" t="s">
        <v>3369</v>
      </c>
      <c r="AA1787" t="s">
        <v>3406</v>
      </c>
      <c r="AB1787" t="s">
        <v>3419</v>
      </c>
      <c r="AC1787">
        <f>HYPERLINK("https://lsnyc.legalserver.org/matter/dynamic-profile/view/1852073","17-1852073")</f>
        <v>0</v>
      </c>
      <c r="AD1787" t="s">
        <v>3443</v>
      </c>
      <c r="AE1787" t="s">
        <v>3477</v>
      </c>
      <c r="AF1787" t="s">
        <v>4781</v>
      </c>
      <c r="AG1787" t="s">
        <v>3369</v>
      </c>
      <c r="AH1787" t="s">
        <v>4904</v>
      </c>
      <c r="AL1787" t="s">
        <v>2205</v>
      </c>
      <c r="AN1787" t="s">
        <v>3419</v>
      </c>
    </row>
    <row r="1788" spans="1:41">
      <c r="A1788" s="1" t="s">
        <v>1824</v>
      </c>
      <c r="B1788" t="s">
        <v>2012</v>
      </c>
      <c r="C1788" t="s">
        <v>2009</v>
      </c>
      <c r="D1788" t="s">
        <v>2061</v>
      </c>
      <c r="E1788" t="s">
        <v>2112</v>
      </c>
      <c r="F1788" t="s">
        <v>2117</v>
      </c>
      <c r="G1788" t="s">
        <v>2212</v>
      </c>
      <c r="H1788">
        <v>11433</v>
      </c>
      <c r="I1788" t="s">
        <v>2229</v>
      </c>
      <c r="J1788">
        <v>2</v>
      </c>
      <c r="K1788">
        <v>1</v>
      </c>
      <c r="L1788" t="s">
        <v>2260</v>
      </c>
      <c r="M1788" t="s">
        <v>2677</v>
      </c>
      <c r="P1788" t="s">
        <v>3143</v>
      </c>
      <c r="Q1788" t="s">
        <v>3255</v>
      </c>
      <c r="R1788" t="s">
        <v>3259</v>
      </c>
      <c r="S1788" t="s">
        <v>3267</v>
      </c>
      <c r="X1788" t="s">
        <v>3354</v>
      </c>
      <c r="Y1788" t="s">
        <v>2678</v>
      </c>
      <c r="Z1788" t="s">
        <v>3359</v>
      </c>
      <c r="AA1788" t="s">
        <v>3406</v>
      </c>
      <c r="AB1788" t="s">
        <v>3415</v>
      </c>
      <c r="AC1788">
        <f>HYPERLINK("https://lsnyc.legalserver.org/matter/dynamic-profile/view/1852005","17-1852005")</f>
        <v>0</v>
      </c>
      <c r="AD1788" t="s">
        <v>3443</v>
      </c>
      <c r="AE1788" t="s">
        <v>3449</v>
      </c>
      <c r="AF1788" t="s">
        <v>4782</v>
      </c>
      <c r="AG1788" t="s">
        <v>3359</v>
      </c>
      <c r="AH1788" t="s">
        <v>4906</v>
      </c>
      <c r="AK1788" t="s">
        <v>4911</v>
      </c>
      <c r="AL1788" t="s">
        <v>2117</v>
      </c>
      <c r="AN1788" t="s">
        <v>3415</v>
      </c>
    </row>
    <row r="1789" spans="1:41">
      <c r="A1789" s="1" t="s">
        <v>1825</v>
      </c>
      <c r="B1789" t="s">
        <v>2001</v>
      </c>
      <c r="C1789" t="s">
        <v>2001</v>
      </c>
      <c r="D1789" t="s">
        <v>2064</v>
      </c>
      <c r="E1789" t="s">
        <v>2112</v>
      </c>
      <c r="F1789" t="s">
        <v>2117</v>
      </c>
      <c r="G1789" t="s">
        <v>2213</v>
      </c>
      <c r="H1789">
        <v>10474</v>
      </c>
      <c r="I1789" t="s">
        <v>2229</v>
      </c>
      <c r="J1789">
        <v>5</v>
      </c>
      <c r="K1789">
        <v>4</v>
      </c>
      <c r="L1789" t="s">
        <v>2293</v>
      </c>
      <c r="M1789" t="s">
        <v>2677</v>
      </c>
      <c r="P1789" t="s">
        <v>3144</v>
      </c>
      <c r="Q1789" t="s">
        <v>3255</v>
      </c>
      <c r="R1789" t="s">
        <v>3259</v>
      </c>
      <c r="S1789" t="s">
        <v>3267</v>
      </c>
      <c r="X1789" t="s">
        <v>3354</v>
      </c>
      <c r="Y1789" t="s">
        <v>2678</v>
      </c>
      <c r="Z1789" t="s">
        <v>3359</v>
      </c>
      <c r="AA1789" t="s">
        <v>3406</v>
      </c>
      <c r="AB1789" t="s">
        <v>3415</v>
      </c>
      <c r="AC1789">
        <f>HYPERLINK("https://lsnyc.legalserver.org/matter/dynamic-profile/view/1851853","17-1851853")</f>
        <v>0</v>
      </c>
      <c r="AD1789" t="s">
        <v>3444</v>
      </c>
      <c r="AE1789" t="s">
        <v>3451</v>
      </c>
      <c r="AF1789" t="s">
        <v>3559</v>
      </c>
      <c r="AG1789" t="s">
        <v>3359</v>
      </c>
      <c r="AH1789" t="s">
        <v>4906</v>
      </c>
      <c r="AK1789" t="s">
        <v>4911</v>
      </c>
      <c r="AL1789" t="s">
        <v>2117</v>
      </c>
      <c r="AN1789" t="s">
        <v>3415</v>
      </c>
    </row>
    <row r="1790" spans="1:41">
      <c r="A1790" s="1" t="s">
        <v>1826</v>
      </c>
      <c r="B1790" t="s">
        <v>2005</v>
      </c>
      <c r="C1790" t="s">
        <v>1999</v>
      </c>
      <c r="D1790" t="s">
        <v>2036</v>
      </c>
      <c r="E1790" t="s">
        <v>2112</v>
      </c>
      <c r="F1790" t="s">
        <v>2117</v>
      </c>
      <c r="G1790" t="s">
        <v>2213</v>
      </c>
      <c r="H1790">
        <v>10474</v>
      </c>
      <c r="I1790" t="s">
        <v>2229</v>
      </c>
      <c r="J1790">
        <v>5</v>
      </c>
      <c r="K1790">
        <v>4</v>
      </c>
      <c r="L1790" t="s">
        <v>2293</v>
      </c>
      <c r="M1790" t="s">
        <v>2677</v>
      </c>
      <c r="P1790" t="s">
        <v>2857</v>
      </c>
      <c r="Q1790" t="s">
        <v>2113</v>
      </c>
      <c r="R1790" t="s">
        <v>3259</v>
      </c>
      <c r="S1790" t="s">
        <v>3267</v>
      </c>
      <c r="X1790" t="s">
        <v>3354</v>
      </c>
      <c r="Y1790" t="s">
        <v>2678</v>
      </c>
      <c r="Z1790" t="s">
        <v>3359</v>
      </c>
      <c r="AA1790" t="s">
        <v>3406</v>
      </c>
      <c r="AB1790" t="s">
        <v>3415</v>
      </c>
      <c r="AC1790">
        <f>HYPERLINK("https://lsnyc.legalserver.org/matter/dynamic-profile/view/1851854","17-1851854")</f>
        <v>0</v>
      </c>
      <c r="AD1790" t="s">
        <v>3444</v>
      </c>
      <c r="AE1790" t="s">
        <v>3451</v>
      </c>
      <c r="AF1790" t="s">
        <v>4783</v>
      </c>
      <c r="AG1790" t="s">
        <v>3359</v>
      </c>
      <c r="AH1790" t="s">
        <v>4906</v>
      </c>
      <c r="AK1790" t="s">
        <v>4911</v>
      </c>
      <c r="AL1790" t="s">
        <v>2117</v>
      </c>
      <c r="AN1790" t="s">
        <v>3415</v>
      </c>
    </row>
    <row r="1791" spans="1:41">
      <c r="A1791" s="1" t="s">
        <v>1827</v>
      </c>
      <c r="B1791" t="s">
        <v>1998</v>
      </c>
      <c r="C1791" t="s">
        <v>2000</v>
      </c>
      <c r="D1791" t="s">
        <v>2032</v>
      </c>
      <c r="E1791" t="s">
        <v>2112</v>
      </c>
      <c r="F1791" t="s">
        <v>2123</v>
      </c>
      <c r="G1791" t="s">
        <v>2214</v>
      </c>
      <c r="H1791">
        <v>11208</v>
      </c>
      <c r="I1791" t="s">
        <v>2229</v>
      </c>
      <c r="J1791">
        <v>3</v>
      </c>
      <c r="K1791">
        <v>1</v>
      </c>
      <c r="L1791" t="s">
        <v>2642</v>
      </c>
      <c r="M1791" t="s">
        <v>2677</v>
      </c>
      <c r="P1791" t="s">
        <v>3144</v>
      </c>
      <c r="Q1791" t="s">
        <v>2113</v>
      </c>
      <c r="R1791" t="s">
        <v>3258</v>
      </c>
      <c r="S1791" t="s">
        <v>3271</v>
      </c>
      <c r="X1791" t="s">
        <v>3354</v>
      </c>
      <c r="Y1791" t="s">
        <v>2677</v>
      </c>
      <c r="Z1791" t="s">
        <v>3362</v>
      </c>
      <c r="AA1791" t="s">
        <v>3406</v>
      </c>
      <c r="AB1791" t="s">
        <v>3419</v>
      </c>
      <c r="AC1791">
        <f>HYPERLINK("https://lsnyc.legalserver.org/matter/dynamic-profile/view/1851855","17-1851855")</f>
        <v>0</v>
      </c>
      <c r="AD1791" t="s">
        <v>3445</v>
      </c>
      <c r="AE1791" t="s">
        <v>3477</v>
      </c>
      <c r="AF1791" t="s">
        <v>4784</v>
      </c>
      <c r="AG1791" t="s">
        <v>3362</v>
      </c>
      <c r="AH1791" t="s">
        <v>4904</v>
      </c>
      <c r="AK1791" t="s">
        <v>4911</v>
      </c>
      <c r="AL1791" t="s">
        <v>2123</v>
      </c>
      <c r="AN1791" t="s">
        <v>3419</v>
      </c>
    </row>
    <row r="1792" spans="1:41">
      <c r="A1792" s="1" t="s">
        <v>1828</v>
      </c>
      <c r="B1792" t="s">
        <v>2005</v>
      </c>
      <c r="C1792" t="s">
        <v>2001</v>
      </c>
      <c r="D1792" t="s">
        <v>2078</v>
      </c>
      <c r="E1792" t="s">
        <v>2112</v>
      </c>
      <c r="F1792" t="s">
        <v>2117</v>
      </c>
      <c r="G1792" t="s">
        <v>2212</v>
      </c>
      <c r="H1792">
        <v>11433</v>
      </c>
      <c r="I1792" t="s">
        <v>2229</v>
      </c>
      <c r="J1792">
        <v>2</v>
      </c>
      <c r="K1792">
        <v>1</v>
      </c>
      <c r="L1792" t="s">
        <v>2260</v>
      </c>
      <c r="M1792" t="s">
        <v>2677</v>
      </c>
      <c r="P1792" t="s">
        <v>2794</v>
      </c>
      <c r="Q1792" t="s">
        <v>3255</v>
      </c>
      <c r="R1792" t="s">
        <v>3259</v>
      </c>
      <c r="S1792" t="s">
        <v>3267</v>
      </c>
      <c r="X1792" t="s">
        <v>3354</v>
      </c>
      <c r="Y1792" t="s">
        <v>2678</v>
      </c>
      <c r="Z1792" t="s">
        <v>3359</v>
      </c>
      <c r="AA1792" t="s">
        <v>3406</v>
      </c>
      <c r="AB1792" t="s">
        <v>3415</v>
      </c>
      <c r="AC1792">
        <f>HYPERLINK("https://lsnyc.legalserver.org/matter/dynamic-profile/view/1851617","17-1851617")</f>
        <v>0</v>
      </c>
      <c r="AD1792" t="s">
        <v>3443</v>
      </c>
      <c r="AE1792" t="s">
        <v>3449</v>
      </c>
      <c r="AF1792" t="s">
        <v>4785</v>
      </c>
      <c r="AG1792" t="s">
        <v>3359</v>
      </c>
      <c r="AH1792" t="s">
        <v>4906</v>
      </c>
      <c r="AL1792" t="s">
        <v>2117</v>
      </c>
      <c r="AN1792" t="s">
        <v>3415</v>
      </c>
    </row>
    <row r="1793" spans="1:41">
      <c r="A1793" s="1" t="s">
        <v>1829</v>
      </c>
      <c r="B1793" t="s">
        <v>1998</v>
      </c>
      <c r="C1793" t="s">
        <v>2018</v>
      </c>
      <c r="D1793" t="s">
        <v>2054</v>
      </c>
      <c r="E1793" t="s">
        <v>2111</v>
      </c>
      <c r="F1793" t="s">
        <v>2117</v>
      </c>
      <c r="G1793" t="s">
        <v>2212</v>
      </c>
      <c r="H1793">
        <v>11433</v>
      </c>
      <c r="I1793" t="s">
        <v>2229</v>
      </c>
      <c r="J1793">
        <v>2</v>
      </c>
      <c r="K1793">
        <v>1</v>
      </c>
      <c r="L1793" t="s">
        <v>2260</v>
      </c>
      <c r="M1793" t="s">
        <v>2677</v>
      </c>
      <c r="P1793" t="s">
        <v>2794</v>
      </c>
      <c r="Q1793" t="s">
        <v>3255</v>
      </c>
      <c r="R1793" t="s">
        <v>3259</v>
      </c>
      <c r="S1793" t="s">
        <v>3267</v>
      </c>
      <c r="X1793" t="s">
        <v>3354</v>
      </c>
      <c r="Y1793" t="s">
        <v>2678</v>
      </c>
      <c r="Z1793" t="s">
        <v>3359</v>
      </c>
      <c r="AA1793" t="s">
        <v>3406</v>
      </c>
      <c r="AB1793" t="s">
        <v>3415</v>
      </c>
      <c r="AC1793">
        <f>HYPERLINK("https://lsnyc.legalserver.org/matter/dynamic-profile/view/1851618","17-1851618")</f>
        <v>0</v>
      </c>
      <c r="AD1793" t="s">
        <v>3443</v>
      </c>
      <c r="AE1793" t="s">
        <v>3449</v>
      </c>
      <c r="AF1793" t="s">
        <v>4786</v>
      </c>
      <c r="AG1793" t="s">
        <v>3359</v>
      </c>
      <c r="AH1793" t="s">
        <v>4906</v>
      </c>
      <c r="AL1793" t="s">
        <v>2117</v>
      </c>
      <c r="AN1793" t="s">
        <v>3415</v>
      </c>
    </row>
    <row r="1794" spans="1:41">
      <c r="A1794" s="1" t="s">
        <v>1830</v>
      </c>
      <c r="B1794" t="s">
        <v>2012</v>
      </c>
      <c r="C1794" t="s">
        <v>1998</v>
      </c>
      <c r="D1794" t="s">
        <v>2056</v>
      </c>
      <c r="E1794" t="s">
        <v>2111</v>
      </c>
      <c r="F1794" t="s">
        <v>2120</v>
      </c>
      <c r="G1794" t="s">
        <v>2212</v>
      </c>
      <c r="H1794">
        <v>11691</v>
      </c>
      <c r="I1794" t="s">
        <v>2230</v>
      </c>
      <c r="J1794">
        <v>1</v>
      </c>
      <c r="K1794">
        <v>0</v>
      </c>
      <c r="L1794" t="s">
        <v>2260</v>
      </c>
      <c r="M1794" t="s">
        <v>2677</v>
      </c>
      <c r="P1794" t="s">
        <v>3145</v>
      </c>
      <c r="Q1794" t="s">
        <v>2113</v>
      </c>
      <c r="R1794" t="s">
        <v>3259</v>
      </c>
      <c r="S1794" t="s">
        <v>3268</v>
      </c>
      <c r="X1794" t="s">
        <v>3354</v>
      </c>
      <c r="Y1794" t="s">
        <v>2677</v>
      </c>
      <c r="Z1794" t="s">
        <v>3368</v>
      </c>
      <c r="AA1794" t="s">
        <v>3406</v>
      </c>
      <c r="AB1794" t="s">
        <v>3416</v>
      </c>
      <c r="AC1794">
        <f>HYPERLINK("https://lsnyc.legalserver.org/matter/dynamic-profile/view/1851452","17-1851452")</f>
        <v>0</v>
      </c>
      <c r="AD1794" t="s">
        <v>3445</v>
      </c>
      <c r="AE1794" t="s">
        <v>3455</v>
      </c>
      <c r="AF1794" t="s">
        <v>4787</v>
      </c>
      <c r="AG1794" t="s">
        <v>3368</v>
      </c>
      <c r="AH1794" t="s">
        <v>4904</v>
      </c>
      <c r="AK1794" t="s">
        <v>4911</v>
      </c>
      <c r="AL1794" t="s">
        <v>2120</v>
      </c>
      <c r="AN1794" t="s">
        <v>3416</v>
      </c>
    </row>
    <row r="1795" spans="1:41">
      <c r="A1795" s="1" t="s">
        <v>1831</v>
      </c>
      <c r="B1795" t="s">
        <v>2009</v>
      </c>
      <c r="C1795" t="s">
        <v>2002</v>
      </c>
      <c r="D1795" t="s">
        <v>2085</v>
      </c>
      <c r="E1795" t="s">
        <v>2111</v>
      </c>
      <c r="G1795" t="s">
        <v>2212</v>
      </c>
      <c r="H1795">
        <v>11435</v>
      </c>
      <c r="I1795" t="s">
        <v>2230</v>
      </c>
      <c r="J1795">
        <v>2</v>
      </c>
      <c r="K1795">
        <v>0</v>
      </c>
      <c r="L1795" t="s">
        <v>2555</v>
      </c>
      <c r="M1795" t="s">
        <v>2677</v>
      </c>
      <c r="P1795" t="s">
        <v>3145</v>
      </c>
      <c r="Q1795" t="s">
        <v>2113</v>
      </c>
      <c r="R1795" t="s">
        <v>3261</v>
      </c>
      <c r="S1795" t="s">
        <v>3283</v>
      </c>
      <c r="X1795" t="s">
        <v>3354</v>
      </c>
      <c r="Y1795" t="s">
        <v>2678</v>
      </c>
      <c r="Z1795" t="s">
        <v>3362</v>
      </c>
      <c r="AA1795" t="s">
        <v>3408</v>
      </c>
      <c r="AB1795" t="s">
        <v>3431</v>
      </c>
      <c r="AC1795">
        <f>HYPERLINK("https://lsnyc.legalserver.org/matter/dynamic-profile/view/1851527","17-1851527")</f>
        <v>0</v>
      </c>
      <c r="AD1795" t="s">
        <v>3443</v>
      </c>
      <c r="AE1795" t="s">
        <v>3477</v>
      </c>
      <c r="AF1795" t="s">
        <v>4788</v>
      </c>
      <c r="AG1795" t="s">
        <v>3362</v>
      </c>
      <c r="AH1795" t="s">
        <v>3408</v>
      </c>
      <c r="AN1795" t="s">
        <v>3431</v>
      </c>
    </row>
    <row r="1796" spans="1:41">
      <c r="A1796" s="1" t="s">
        <v>1832</v>
      </c>
      <c r="B1796" t="s">
        <v>2000</v>
      </c>
      <c r="C1796" t="s">
        <v>2009</v>
      </c>
      <c r="D1796" t="s">
        <v>2097</v>
      </c>
      <c r="E1796" t="s">
        <v>2112</v>
      </c>
      <c r="F1796" t="s">
        <v>2166</v>
      </c>
      <c r="G1796" t="s">
        <v>2213</v>
      </c>
      <c r="H1796">
        <v>10459</v>
      </c>
      <c r="I1796" t="s">
        <v>2230</v>
      </c>
      <c r="J1796">
        <v>1</v>
      </c>
      <c r="K1796">
        <v>0</v>
      </c>
      <c r="L1796" t="s">
        <v>2608</v>
      </c>
      <c r="M1796" t="s">
        <v>2677</v>
      </c>
      <c r="P1796" t="s">
        <v>3146</v>
      </c>
      <c r="Q1796" t="s">
        <v>2113</v>
      </c>
      <c r="R1796" t="s">
        <v>3258</v>
      </c>
      <c r="S1796" t="s">
        <v>3271</v>
      </c>
      <c r="T1796" t="s">
        <v>3294</v>
      </c>
      <c r="U1796" t="s">
        <v>3079</v>
      </c>
      <c r="X1796" t="s">
        <v>3354</v>
      </c>
      <c r="Y1796" t="s">
        <v>2677</v>
      </c>
      <c r="Z1796" t="s">
        <v>3362</v>
      </c>
      <c r="AA1796" t="s">
        <v>3406</v>
      </c>
      <c r="AB1796" t="s">
        <v>3419</v>
      </c>
      <c r="AC1796">
        <f>HYPERLINK("https://lsnyc.legalserver.org/matter/dynamic-profile/view/1851338","17-1851338")</f>
        <v>0</v>
      </c>
      <c r="AD1796" t="s">
        <v>3445</v>
      </c>
      <c r="AE1796" t="s">
        <v>3455</v>
      </c>
      <c r="AF1796" t="s">
        <v>4678</v>
      </c>
      <c r="AG1796" t="s">
        <v>3362</v>
      </c>
      <c r="AH1796" t="s">
        <v>4904</v>
      </c>
      <c r="AK1796" t="s">
        <v>4911</v>
      </c>
      <c r="AL1796" t="s">
        <v>2166</v>
      </c>
      <c r="AM1796" t="s">
        <v>3294</v>
      </c>
      <c r="AN1796" t="s">
        <v>3419</v>
      </c>
    </row>
    <row r="1797" spans="1:41">
      <c r="A1797" s="1" t="s">
        <v>1833</v>
      </c>
      <c r="B1797" t="s">
        <v>2001</v>
      </c>
      <c r="C1797" t="s">
        <v>2000</v>
      </c>
      <c r="D1797" t="s">
        <v>2033</v>
      </c>
      <c r="E1797" t="s">
        <v>2112</v>
      </c>
      <c r="F1797" t="s">
        <v>2120</v>
      </c>
      <c r="G1797" t="s">
        <v>2214</v>
      </c>
      <c r="H1797">
        <v>11212</v>
      </c>
      <c r="I1797" t="s">
        <v>2230</v>
      </c>
      <c r="J1797">
        <v>2</v>
      </c>
      <c r="K1797">
        <v>1</v>
      </c>
      <c r="L1797" t="s">
        <v>2256</v>
      </c>
      <c r="M1797" t="s">
        <v>2677</v>
      </c>
      <c r="P1797" t="s">
        <v>3002</v>
      </c>
      <c r="Q1797" t="s">
        <v>2113</v>
      </c>
      <c r="R1797" t="s">
        <v>3259</v>
      </c>
      <c r="S1797" t="s">
        <v>3270</v>
      </c>
      <c r="T1797" t="s">
        <v>3294</v>
      </c>
      <c r="U1797" t="s">
        <v>3304</v>
      </c>
      <c r="V1797" t="s">
        <v>3352</v>
      </c>
      <c r="X1797" t="s">
        <v>3354</v>
      </c>
      <c r="Y1797" t="s">
        <v>2677</v>
      </c>
      <c r="Z1797" t="s">
        <v>3369</v>
      </c>
      <c r="AA1797" t="s">
        <v>3406</v>
      </c>
      <c r="AB1797" t="s">
        <v>3418</v>
      </c>
      <c r="AC1797">
        <f>HYPERLINK("https://lsnyc.legalserver.org/matter/dynamic-profile/view/1851340","17-1851340")</f>
        <v>0</v>
      </c>
      <c r="AD1797" t="s">
        <v>3445</v>
      </c>
      <c r="AE1797" t="s">
        <v>3452</v>
      </c>
      <c r="AF1797" t="s">
        <v>3502</v>
      </c>
      <c r="AG1797" t="s">
        <v>3369</v>
      </c>
      <c r="AH1797" t="s">
        <v>4904</v>
      </c>
      <c r="AK1797" t="s">
        <v>4911</v>
      </c>
      <c r="AL1797" t="s">
        <v>2120</v>
      </c>
      <c r="AM1797" t="s">
        <v>3294</v>
      </c>
      <c r="AN1797" t="s">
        <v>3418</v>
      </c>
      <c r="AO1797" t="s">
        <v>3352</v>
      </c>
    </row>
    <row r="1798" spans="1:41">
      <c r="A1798" s="1" t="s">
        <v>1834</v>
      </c>
      <c r="B1798" t="s">
        <v>2012</v>
      </c>
      <c r="C1798" t="s">
        <v>1998</v>
      </c>
      <c r="D1798" t="s">
        <v>2059</v>
      </c>
      <c r="E1798" t="s">
        <v>2112</v>
      </c>
      <c r="F1798" t="s">
        <v>2120</v>
      </c>
      <c r="G1798" t="s">
        <v>2212</v>
      </c>
      <c r="H1798">
        <v>11435</v>
      </c>
      <c r="I1798" t="s">
        <v>2229</v>
      </c>
      <c r="J1798">
        <v>1</v>
      </c>
      <c r="K1798">
        <v>0</v>
      </c>
      <c r="L1798" t="s">
        <v>2331</v>
      </c>
      <c r="M1798" t="s">
        <v>2677</v>
      </c>
      <c r="P1798" t="s">
        <v>3147</v>
      </c>
      <c r="Q1798" t="s">
        <v>3255</v>
      </c>
      <c r="R1798" t="s">
        <v>3258</v>
      </c>
      <c r="S1798" t="s">
        <v>3273</v>
      </c>
      <c r="X1798" t="s">
        <v>3354</v>
      </c>
      <c r="Y1798" t="s">
        <v>2677</v>
      </c>
      <c r="Z1798" t="s">
        <v>3365</v>
      </c>
      <c r="AA1798" t="s">
        <v>3406</v>
      </c>
      <c r="AB1798" t="s">
        <v>3421</v>
      </c>
      <c r="AC1798">
        <f>HYPERLINK("https://lsnyc.legalserver.org/matter/dynamic-profile/view/1851269","17-1851269")</f>
        <v>0</v>
      </c>
      <c r="AD1798" t="s">
        <v>3445</v>
      </c>
      <c r="AE1798" t="s">
        <v>3455</v>
      </c>
      <c r="AF1798" t="s">
        <v>4680</v>
      </c>
      <c r="AG1798" t="s">
        <v>3365</v>
      </c>
      <c r="AH1798" t="s">
        <v>4904</v>
      </c>
      <c r="AK1798" t="s">
        <v>4911</v>
      </c>
      <c r="AL1798" t="s">
        <v>2120</v>
      </c>
      <c r="AN1798" t="s">
        <v>3421</v>
      </c>
    </row>
    <row r="1799" spans="1:41">
      <c r="A1799" s="1" t="s">
        <v>1835</v>
      </c>
      <c r="B1799" t="s">
        <v>1998</v>
      </c>
      <c r="C1799" t="s">
        <v>2001</v>
      </c>
      <c r="D1799" t="s">
        <v>2063</v>
      </c>
      <c r="E1799" t="s">
        <v>2111</v>
      </c>
      <c r="F1799" t="s">
        <v>2114</v>
      </c>
      <c r="G1799" t="s">
        <v>2212</v>
      </c>
      <c r="H1799">
        <v>11368</v>
      </c>
      <c r="I1799" t="s">
        <v>2229</v>
      </c>
      <c r="J1799">
        <v>1</v>
      </c>
      <c r="K1799">
        <v>0</v>
      </c>
      <c r="L1799" t="s">
        <v>2260</v>
      </c>
      <c r="M1799" t="s">
        <v>2677</v>
      </c>
      <c r="P1799" t="s">
        <v>3147</v>
      </c>
      <c r="Q1799" t="s">
        <v>3255</v>
      </c>
      <c r="R1799" t="s">
        <v>3259</v>
      </c>
      <c r="S1799" t="s">
        <v>3267</v>
      </c>
      <c r="X1799" t="s">
        <v>3354</v>
      </c>
      <c r="Y1799" t="s">
        <v>2678</v>
      </c>
      <c r="Z1799" t="s">
        <v>3359</v>
      </c>
      <c r="AA1799" t="s">
        <v>3406</v>
      </c>
      <c r="AB1799" t="s">
        <v>3415</v>
      </c>
      <c r="AC1799">
        <f>HYPERLINK("https://lsnyc.legalserver.org/matter/dynamic-profile/view/1851272","17-1851272")</f>
        <v>0</v>
      </c>
      <c r="AD1799" t="s">
        <v>3443</v>
      </c>
      <c r="AE1799" t="s">
        <v>3449</v>
      </c>
      <c r="AF1799" t="s">
        <v>4789</v>
      </c>
      <c r="AG1799" t="s">
        <v>3359</v>
      </c>
      <c r="AH1799" t="s">
        <v>4906</v>
      </c>
      <c r="AK1799" t="s">
        <v>4911</v>
      </c>
      <c r="AL1799" t="s">
        <v>2114</v>
      </c>
      <c r="AN1799" t="s">
        <v>3415</v>
      </c>
    </row>
    <row r="1800" spans="1:41">
      <c r="A1800" s="1" t="s">
        <v>1836</v>
      </c>
      <c r="B1800" t="s">
        <v>1998</v>
      </c>
      <c r="C1800" t="s">
        <v>1998</v>
      </c>
      <c r="D1800" t="s">
        <v>2045</v>
      </c>
      <c r="E1800" t="s">
        <v>2111</v>
      </c>
      <c r="G1800" t="s">
        <v>2214</v>
      </c>
      <c r="H1800">
        <v>11203</v>
      </c>
      <c r="I1800" t="s">
        <v>2230</v>
      </c>
      <c r="J1800">
        <v>3</v>
      </c>
      <c r="K1800">
        <v>2</v>
      </c>
      <c r="L1800" t="s">
        <v>2331</v>
      </c>
      <c r="M1800" t="s">
        <v>2677</v>
      </c>
      <c r="P1800" t="s">
        <v>3148</v>
      </c>
      <c r="Q1800" t="s">
        <v>3255</v>
      </c>
      <c r="X1800" t="s">
        <v>3354</v>
      </c>
      <c r="Y1800" t="s">
        <v>2677</v>
      </c>
      <c r="Z1800" t="s">
        <v>3369</v>
      </c>
      <c r="AA1800" t="s">
        <v>3407</v>
      </c>
      <c r="AB1800" t="s">
        <v>3407</v>
      </c>
      <c r="AC1800">
        <f>HYPERLINK("https://lsnyc.legalserver.org/matter/dynamic-profile/view/1849352","17-1849352")</f>
        <v>0</v>
      </c>
      <c r="AD1800" t="s">
        <v>3445</v>
      </c>
      <c r="AE1800" t="s">
        <v>3490</v>
      </c>
      <c r="AF1800" t="s">
        <v>4790</v>
      </c>
      <c r="AG1800" t="s">
        <v>3369</v>
      </c>
      <c r="AH1800" t="s">
        <v>3407</v>
      </c>
      <c r="AN1800" t="s">
        <v>3407</v>
      </c>
    </row>
    <row r="1801" spans="1:41">
      <c r="A1801" s="1" t="s">
        <v>1837</v>
      </c>
      <c r="B1801" t="s">
        <v>2000</v>
      </c>
      <c r="C1801" t="s">
        <v>2017</v>
      </c>
      <c r="D1801" t="s">
        <v>2031</v>
      </c>
      <c r="E1801" t="s">
        <v>2112</v>
      </c>
      <c r="F1801" t="s">
        <v>2204</v>
      </c>
      <c r="G1801" t="s">
        <v>2213</v>
      </c>
      <c r="H1801">
        <v>10462</v>
      </c>
      <c r="I1801" t="s">
        <v>2230</v>
      </c>
      <c r="J1801">
        <v>3</v>
      </c>
      <c r="K1801">
        <v>2</v>
      </c>
      <c r="L1801" t="s">
        <v>2422</v>
      </c>
      <c r="M1801" t="s">
        <v>2677</v>
      </c>
      <c r="P1801" t="s">
        <v>3149</v>
      </c>
      <c r="Q1801" t="s">
        <v>2113</v>
      </c>
      <c r="R1801" t="s">
        <v>3259</v>
      </c>
      <c r="S1801" t="s">
        <v>3270</v>
      </c>
      <c r="X1801" t="s">
        <v>3354</v>
      </c>
      <c r="Y1801" t="s">
        <v>2677</v>
      </c>
      <c r="Z1801" t="s">
        <v>3362</v>
      </c>
      <c r="AA1801" t="s">
        <v>3406</v>
      </c>
      <c r="AB1801" t="s">
        <v>3418</v>
      </c>
      <c r="AC1801">
        <f>HYPERLINK("https://lsnyc.legalserver.org/matter/dynamic-profile/view/0827705","17-0827705")</f>
        <v>0</v>
      </c>
      <c r="AD1801" t="s">
        <v>3443</v>
      </c>
      <c r="AE1801" t="s">
        <v>3477</v>
      </c>
      <c r="AF1801" t="s">
        <v>4791</v>
      </c>
      <c r="AG1801" t="s">
        <v>3362</v>
      </c>
      <c r="AH1801" t="s">
        <v>4904</v>
      </c>
      <c r="AK1801" t="s">
        <v>4911</v>
      </c>
      <c r="AL1801" t="s">
        <v>2204</v>
      </c>
      <c r="AN1801" t="s">
        <v>3418</v>
      </c>
    </row>
    <row r="1802" spans="1:41">
      <c r="A1802" s="1" t="s">
        <v>1838</v>
      </c>
      <c r="B1802" t="s">
        <v>2006</v>
      </c>
      <c r="C1802" t="s">
        <v>1998</v>
      </c>
      <c r="D1802" t="s">
        <v>2045</v>
      </c>
      <c r="E1802" t="s">
        <v>2112</v>
      </c>
      <c r="F1802" t="s">
        <v>2197</v>
      </c>
      <c r="G1802" t="s">
        <v>2213</v>
      </c>
      <c r="H1802">
        <v>10455</v>
      </c>
      <c r="I1802" t="s">
        <v>2230</v>
      </c>
      <c r="J1802">
        <v>2</v>
      </c>
      <c r="K1802">
        <v>1</v>
      </c>
      <c r="L1802" t="s">
        <v>2277</v>
      </c>
      <c r="M1802" t="s">
        <v>2677</v>
      </c>
      <c r="P1802" t="s">
        <v>3150</v>
      </c>
      <c r="Q1802" t="s">
        <v>2113</v>
      </c>
      <c r="R1802" t="s">
        <v>3258</v>
      </c>
      <c r="S1802" t="s">
        <v>3271</v>
      </c>
      <c r="T1802" t="s">
        <v>3294</v>
      </c>
      <c r="U1802" t="s">
        <v>3055</v>
      </c>
      <c r="X1802" t="s">
        <v>3354</v>
      </c>
      <c r="Y1802" t="s">
        <v>2677</v>
      </c>
      <c r="Z1802" t="s">
        <v>3362</v>
      </c>
      <c r="AA1802" t="s">
        <v>3406</v>
      </c>
      <c r="AB1802" t="s">
        <v>3419</v>
      </c>
      <c r="AC1802">
        <f>HYPERLINK("https://lsnyc.legalserver.org/matter/dynamic-profile/view/1850788","17-1850788")</f>
        <v>0</v>
      </c>
      <c r="AD1802" t="s">
        <v>3445</v>
      </c>
      <c r="AE1802" t="s">
        <v>3455</v>
      </c>
      <c r="AF1802" t="s">
        <v>4662</v>
      </c>
      <c r="AG1802" t="s">
        <v>3362</v>
      </c>
      <c r="AH1802" t="s">
        <v>4904</v>
      </c>
      <c r="AK1802" t="s">
        <v>4911</v>
      </c>
      <c r="AL1802" t="s">
        <v>2197</v>
      </c>
      <c r="AM1802" t="s">
        <v>3294</v>
      </c>
      <c r="AN1802" t="s">
        <v>3419</v>
      </c>
    </row>
    <row r="1803" spans="1:41">
      <c r="A1803" s="1" t="s">
        <v>1839</v>
      </c>
      <c r="B1803" t="s">
        <v>2012</v>
      </c>
      <c r="C1803" t="s">
        <v>2000</v>
      </c>
      <c r="D1803" t="s">
        <v>2076</v>
      </c>
      <c r="E1803" t="s">
        <v>2112</v>
      </c>
      <c r="F1803" t="s">
        <v>2114</v>
      </c>
      <c r="G1803" t="s">
        <v>2212</v>
      </c>
      <c r="H1803">
        <v>11377</v>
      </c>
      <c r="I1803" t="s">
        <v>2229</v>
      </c>
      <c r="J1803">
        <v>3</v>
      </c>
      <c r="K1803">
        <v>1</v>
      </c>
      <c r="L1803" t="s">
        <v>2294</v>
      </c>
      <c r="M1803" t="s">
        <v>2677</v>
      </c>
      <c r="P1803" t="s">
        <v>3151</v>
      </c>
      <c r="Q1803" t="s">
        <v>2113</v>
      </c>
      <c r="R1803" t="s">
        <v>3259</v>
      </c>
      <c r="S1803" t="s">
        <v>3264</v>
      </c>
      <c r="X1803" t="s">
        <v>3354</v>
      </c>
      <c r="Y1803" t="s">
        <v>2677</v>
      </c>
      <c r="Z1803" t="s">
        <v>3357</v>
      </c>
      <c r="AA1803" t="s">
        <v>3406</v>
      </c>
      <c r="AB1803" t="s">
        <v>3412</v>
      </c>
      <c r="AC1803">
        <f>HYPERLINK("https://lsnyc.legalserver.org/matter/dynamic-profile/view/1850659","17-1850659")</f>
        <v>0</v>
      </c>
      <c r="AD1803" t="s">
        <v>3445</v>
      </c>
      <c r="AE1803" t="s">
        <v>3455</v>
      </c>
      <c r="AF1803" t="s">
        <v>4543</v>
      </c>
      <c r="AG1803" t="s">
        <v>3357</v>
      </c>
      <c r="AH1803" t="s">
        <v>4904</v>
      </c>
      <c r="AK1803" t="s">
        <v>4911</v>
      </c>
      <c r="AL1803" t="s">
        <v>2114</v>
      </c>
      <c r="AN1803" t="s">
        <v>3412</v>
      </c>
    </row>
    <row r="1804" spans="1:41">
      <c r="A1804" s="1" t="s">
        <v>1840</v>
      </c>
      <c r="B1804" t="s">
        <v>2000</v>
      </c>
      <c r="C1804" t="s">
        <v>2000</v>
      </c>
      <c r="D1804" t="s">
        <v>2079</v>
      </c>
      <c r="E1804" t="s">
        <v>2111</v>
      </c>
      <c r="F1804" t="s">
        <v>2148</v>
      </c>
      <c r="G1804" t="s">
        <v>2213</v>
      </c>
      <c r="H1804">
        <v>10456</v>
      </c>
      <c r="I1804" t="s">
        <v>2230</v>
      </c>
      <c r="J1804">
        <v>7</v>
      </c>
      <c r="K1804">
        <v>4</v>
      </c>
      <c r="L1804" t="s">
        <v>2437</v>
      </c>
      <c r="M1804" t="s">
        <v>2677</v>
      </c>
      <c r="P1804" t="s">
        <v>3001</v>
      </c>
      <c r="Q1804" t="s">
        <v>2113</v>
      </c>
      <c r="R1804" t="s">
        <v>3258</v>
      </c>
      <c r="S1804" t="s">
        <v>3271</v>
      </c>
      <c r="X1804" t="s">
        <v>3354</v>
      </c>
      <c r="Y1804" t="s">
        <v>2677</v>
      </c>
      <c r="Z1804" t="s">
        <v>3362</v>
      </c>
      <c r="AA1804" t="s">
        <v>3406</v>
      </c>
      <c r="AB1804" t="s">
        <v>3419</v>
      </c>
      <c r="AC1804">
        <f>HYPERLINK("https://lsnyc.legalserver.org/matter/dynamic-profile/view/1850691","17-1850691")</f>
        <v>0</v>
      </c>
      <c r="AD1804" t="s">
        <v>3445</v>
      </c>
      <c r="AE1804" t="s">
        <v>3452</v>
      </c>
      <c r="AF1804" t="s">
        <v>4035</v>
      </c>
      <c r="AG1804" t="s">
        <v>3362</v>
      </c>
      <c r="AH1804" t="s">
        <v>4904</v>
      </c>
      <c r="AK1804" t="s">
        <v>4911</v>
      </c>
      <c r="AL1804" t="s">
        <v>2148</v>
      </c>
      <c r="AN1804" t="s">
        <v>3419</v>
      </c>
    </row>
    <row r="1805" spans="1:41">
      <c r="A1805" s="1" t="s">
        <v>1841</v>
      </c>
      <c r="B1805" t="s">
        <v>2015</v>
      </c>
      <c r="C1805" t="s">
        <v>2001</v>
      </c>
      <c r="D1805" t="s">
        <v>2084</v>
      </c>
      <c r="E1805" t="s">
        <v>2111</v>
      </c>
      <c r="F1805" t="s">
        <v>2116</v>
      </c>
      <c r="G1805" t="s">
        <v>2216</v>
      </c>
      <c r="H1805">
        <v>11104</v>
      </c>
      <c r="I1805" t="s">
        <v>2229</v>
      </c>
      <c r="J1805">
        <v>1</v>
      </c>
      <c r="K1805">
        <v>0</v>
      </c>
      <c r="L1805" t="s">
        <v>2285</v>
      </c>
      <c r="M1805" t="s">
        <v>2677</v>
      </c>
      <c r="P1805" t="s">
        <v>3152</v>
      </c>
      <c r="Q1805" t="s">
        <v>3255</v>
      </c>
      <c r="R1805" t="s">
        <v>3259</v>
      </c>
      <c r="S1805" t="s">
        <v>3287</v>
      </c>
      <c r="T1805" t="s">
        <v>3294</v>
      </c>
      <c r="U1805" t="s">
        <v>3031</v>
      </c>
      <c r="X1805" t="s">
        <v>3354</v>
      </c>
      <c r="Y1805" t="s">
        <v>2678</v>
      </c>
      <c r="Z1805" t="s">
        <v>3378</v>
      </c>
      <c r="AA1805" t="s">
        <v>3406</v>
      </c>
      <c r="AB1805" t="s">
        <v>3435</v>
      </c>
      <c r="AC1805">
        <f>HYPERLINK("https://lsnyc.legalserver.org/matter/dynamic-profile/view/1848890","17-1848890")</f>
        <v>0</v>
      </c>
      <c r="AD1805" t="s">
        <v>3447</v>
      </c>
      <c r="AE1805" t="s">
        <v>3462</v>
      </c>
      <c r="AF1805" t="s">
        <v>4792</v>
      </c>
      <c r="AG1805" t="s">
        <v>3378</v>
      </c>
      <c r="AH1805" t="s">
        <v>4904</v>
      </c>
      <c r="AK1805" t="s">
        <v>4911</v>
      </c>
      <c r="AL1805" t="s">
        <v>2116</v>
      </c>
      <c r="AM1805" t="s">
        <v>3294</v>
      </c>
      <c r="AN1805" t="s">
        <v>3435</v>
      </c>
    </row>
    <row r="1806" spans="1:41">
      <c r="A1806" s="1" t="s">
        <v>1842</v>
      </c>
      <c r="B1806" t="s">
        <v>2001</v>
      </c>
      <c r="C1806" t="s">
        <v>2001</v>
      </c>
      <c r="D1806" t="s">
        <v>2057</v>
      </c>
      <c r="E1806" t="s">
        <v>2112</v>
      </c>
      <c r="G1806" t="s">
        <v>2212</v>
      </c>
      <c r="H1806">
        <v>11434</v>
      </c>
      <c r="I1806" t="s">
        <v>2230</v>
      </c>
      <c r="J1806">
        <v>3</v>
      </c>
      <c r="K1806">
        <v>2</v>
      </c>
      <c r="L1806" t="s">
        <v>2256</v>
      </c>
      <c r="M1806" t="s">
        <v>2677</v>
      </c>
      <c r="P1806" t="s">
        <v>3153</v>
      </c>
      <c r="Q1806" t="s">
        <v>2113</v>
      </c>
      <c r="R1806" t="s">
        <v>3261</v>
      </c>
      <c r="S1806" t="s">
        <v>3283</v>
      </c>
      <c r="X1806" t="s">
        <v>3354</v>
      </c>
      <c r="Y1806" t="s">
        <v>2678</v>
      </c>
      <c r="Z1806" t="s">
        <v>3362</v>
      </c>
      <c r="AA1806" t="s">
        <v>3408</v>
      </c>
      <c r="AB1806" t="s">
        <v>3431</v>
      </c>
      <c r="AC1806">
        <f>HYPERLINK("https://lsnyc.legalserver.org/matter/dynamic-profile/view/1850486","17-1850486")</f>
        <v>0</v>
      </c>
      <c r="AD1806" t="s">
        <v>3443</v>
      </c>
      <c r="AE1806" t="s">
        <v>3477</v>
      </c>
      <c r="AF1806" t="s">
        <v>4793</v>
      </c>
      <c r="AG1806" t="s">
        <v>3362</v>
      </c>
      <c r="AH1806" t="s">
        <v>3408</v>
      </c>
      <c r="AN1806" t="s">
        <v>3431</v>
      </c>
    </row>
    <row r="1807" spans="1:41">
      <c r="A1807" s="1" t="s">
        <v>1843</v>
      </c>
      <c r="B1807" t="s">
        <v>2000</v>
      </c>
      <c r="C1807" t="s">
        <v>2001</v>
      </c>
      <c r="D1807" t="s">
        <v>2029</v>
      </c>
      <c r="E1807" t="s">
        <v>2111</v>
      </c>
      <c r="F1807" t="s">
        <v>2116</v>
      </c>
      <c r="G1807" t="s">
        <v>2216</v>
      </c>
      <c r="H1807">
        <v>10301</v>
      </c>
      <c r="I1807" t="s">
        <v>2229</v>
      </c>
      <c r="J1807">
        <v>6</v>
      </c>
      <c r="K1807">
        <v>3</v>
      </c>
      <c r="L1807" t="s">
        <v>2316</v>
      </c>
      <c r="M1807" t="s">
        <v>2677</v>
      </c>
      <c r="P1807" t="s">
        <v>3154</v>
      </c>
      <c r="Q1807" t="s">
        <v>2113</v>
      </c>
      <c r="R1807" t="s">
        <v>3259</v>
      </c>
      <c r="S1807" t="s">
        <v>3267</v>
      </c>
      <c r="X1807" t="s">
        <v>3354</v>
      </c>
      <c r="Y1807" t="s">
        <v>2678</v>
      </c>
      <c r="Z1807" t="s">
        <v>3380</v>
      </c>
      <c r="AA1807" t="s">
        <v>3406</v>
      </c>
      <c r="AB1807" t="s">
        <v>3415</v>
      </c>
      <c r="AC1807">
        <f>HYPERLINK("https://lsnyc.legalserver.org/matter/dynamic-profile/view/1850295","17-1850295")</f>
        <v>0</v>
      </c>
      <c r="AD1807" t="s">
        <v>3447</v>
      </c>
      <c r="AE1807" t="s">
        <v>3463</v>
      </c>
      <c r="AF1807" t="s">
        <v>4536</v>
      </c>
      <c r="AG1807" t="s">
        <v>3380</v>
      </c>
      <c r="AH1807" t="s">
        <v>4906</v>
      </c>
      <c r="AK1807" t="s">
        <v>4911</v>
      </c>
      <c r="AL1807" t="s">
        <v>2116</v>
      </c>
      <c r="AN1807" t="s">
        <v>3415</v>
      </c>
    </row>
    <row r="1808" spans="1:41">
      <c r="A1808" s="1" t="s">
        <v>1844</v>
      </c>
      <c r="B1808" t="s">
        <v>2000</v>
      </c>
      <c r="C1808" t="s">
        <v>1998</v>
      </c>
      <c r="D1808" t="s">
        <v>2029</v>
      </c>
      <c r="E1808" t="s">
        <v>2111</v>
      </c>
      <c r="F1808" t="s">
        <v>2116</v>
      </c>
      <c r="G1808" t="s">
        <v>2216</v>
      </c>
      <c r="H1808">
        <v>10301</v>
      </c>
      <c r="I1808" t="s">
        <v>2229</v>
      </c>
      <c r="J1808">
        <v>6</v>
      </c>
      <c r="K1808">
        <v>3</v>
      </c>
      <c r="L1808" t="s">
        <v>2316</v>
      </c>
      <c r="M1808" t="s">
        <v>2677</v>
      </c>
      <c r="P1808" t="s">
        <v>3154</v>
      </c>
      <c r="Q1808" t="s">
        <v>2113</v>
      </c>
      <c r="R1808" t="s">
        <v>3259</v>
      </c>
      <c r="S1808" t="s">
        <v>3267</v>
      </c>
      <c r="X1808" t="s">
        <v>3354</v>
      </c>
      <c r="Y1808" t="s">
        <v>2678</v>
      </c>
      <c r="Z1808" t="s">
        <v>3380</v>
      </c>
      <c r="AA1808" t="s">
        <v>3406</v>
      </c>
      <c r="AB1808" t="s">
        <v>3415</v>
      </c>
      <c r="AC1808">
        <f>HYPERLINK("https://lsnyc.legalserver.org/matter/dynamic-profile/view/1850299","17-1850299")</f>
        <v>0</v>
      </c>
      <c r="AD1808" t="s">
        <v>3447</v>
      </c>
      <c r="AE1808" t="s">
        <v>3459</v>
      </c>
      <c r="AF1808" t="s">
        <v>4533</v>
      </c>
      <c r="AG1808" t="s">
        <v>3380</v>
      </c>
      <c r="AH1808" t="s">
        <v>4906</v>
      </c>
      <c r="AK1808" t="s">
        <v>4911</v>
      </c>
      <c r="AL1808" t="s">
        <v>2116</v>
      </c>
      <c r="AN1808" t="s">
        <v>3415</v>
      </c>
    </row>
    <row r="1809" spans="1:40">
      <c r="A1809" s="1" t="s">
        <v>1845</v>
      </c>
      <c r="B1809" t="s">
        <v>2001</v>
      </c>
      <c r="C1809" t="s">
        <v>2015</v>
      </c>
      <c r="D1809" t="s">
        <v>2094</v>
      </c>
      <c r="E1809" t="s">
        <v>2111</v>
      </c>
      <c r="F1809" t="s">
        <v>2173</v>
      </c>
      <c r="G1809" t="s">
        <v>2212</v>
      </c>
      <c r="H1809">
        <v>11375</v>
      </c>
      <c r="I1809" t="s">
        <v>2230</v>
      </c>
      <c r="J1809">
        <v>1</v>
      </c>
      <c r="K1809">
        <v>0</v>
      </c>
      <c r="L1809" t="s">
        <v>2272</v>
      </c>
      <c r="M1809" t="s">
        <v>2677</v>
      </c>
      <c r="P1809" t="s">
        <v>3155</v>
      </c>
      <c r="Q1809" t="s">
        <v>2113</v>
      </c>
      <c r="R1809" t="s">
        <v>3259</v>
      </c>
      <c r="S1809" t="s">
        <v>3268</v>
      </c>
      <c r="X1809" t="s">
        <v>3354</v>
      </c>
      <c r="Y1809" t="s">
        <v>2678</v>
      </c>
      <c r="Z1809" t="s">
        <v>3368</v>
      </c>
      <c r="AA1809" t="s">
        <v>3406</v>
      </c>
      <c r="AB1809" t="s">
        <v>3416</v>
      </c>
      <c r="AC1809">
        <f>HYPERLINK("https://lsnyc.legalserver.org/matter/dynamic-profile/view/1850235","17-1850235")</f>
        <v>0</v>
      </c>
      <c r="AD1809" t="s">
        <v>3447</v>
      </c>
      <c r="AE1809" t="s">
        <v>3478</v>
      </c>
      <c r="AF1809" t="s">
        <v>4794</v>
      </c>
      <c r="AG1809" t="s">
        <v>3368</v>
      </c>
      <c r="AH1809" t="s">
        <v>4904</v>
      </c>
      <c r="AK1809" t="s">
        <v>4911</v>
      </c>
      <c r="AL1809" t="s">
        <v>2173</v>
      </c>
      <c r="AN1809" t="s">
        <v>3416</v>
      </c>
    </row>
    <row r="1810" spans="1:40">
      <c r="A1810" s="1" t="s">
        <v>1846</v>
      </c>
      <c r="B1810" t="s">
        <v>2009</v>
      </c>
      <c r="C1810" t="s">
        <v>2002</v>
      </c>
      <c r="D1810" t="s">
        <v>2044</v>
      </c>
      <c r="E1810" t="s">
        <v>2112</v>
      </c>
      <c r="F1810" t="s">
        <v>2123</v>
      </c>
      <c r="G1810" t="s">
        <v>2216</v>
      </c>
      <c r="H1810">
        <v>10305</v>
      </c>
      <c r="I1810" t="s">
        <v>2230</v>
      </c>
      <c r="J1810">
        <v>1</v>
      </c>
      <c r="K1810">
        <v>0</v>
      </c>
      <c r="L1810" t="s">
        <v>2260</v>
      </c>
      <c r="M1810" t="s">
        <v>2677</v>
      </c>
      <c r="P1810" t="s">
        <v>3155</v>
      </c>
      <c r="Q1810" t="s">
        <v>2113</v>
      </c>
      <c r="R1810" t="s">
        <v>3258</v>
      </c>
      <c r="S1810" t="s">
        <v>3271</v>
      </c>
      <c r="T1810" t="s">
        <v>3294</v>
      </c>
      <c r="X1810" t="s">
        <v>3354</v>
      </c>
      <c r="Y1810" t="s">
        <v>2677</v>
      </c>
      <c r="Z1810" t="s">
        <v>3362</v>
      </c>
      <c r="AA1810" t="s">
        <v>3406</v>
      </c>
      <c r="AB1810" t="s">
        <v>3419</v>
      </c>
      <c r="AC1810">
        <f>HYPERLINK("https://lsnyc.legalserver.org/matter/dynamic-profile/view/1850246","17-1850246")</f>
        <v>0</v>
      </c>
      <c r="AD1810" t="s">
        <v>3445</v>
      </c>
      <c r="AE1810" t="s">
        <v>3455</v>
      </c>
      <c r="AF1810" t="s">
        <v>4658</v>
      </c>
      <c r="AG1810" t="s">
        <v>3362</v>
      </c>
      <c r="AH1810" t="s">
        <v>4904</v>
      </c>
      <c r="AK1810" t="s">
        <v>4911</v>
      </c>
      <c r="AL1810" t="s">
        <v>2123</v>
      </c>
      <c r="AM1810" t="s">
        <v>3294</v>
      </c>
      <c r="AN1810" t="s">
        <v>3419</v>
      </c>
    </row>
    <row r="1811" spans="1:40">
      <c r="A1811" s="1" t="s">
        <v>1847</v>
      </c>
      <c r="B1811" t="s">
        <v>2016</v>
      </c>
      <c r="C1811" t="s">
        <v>2016</v>
      </c>
      <c r="D1811" t="s">
        <v>2066</v>
      </c>
      <c r="E1811" t="s">
        <v>2112</v>
      </c>
      <c r="F1811" t="s">
        <v>2122</v>
      </c>
      <c r="G1811" t="s">
        <v>2214</v>
      </c>
      <c r="H1811">
        <v>11214</v>
      </c>
      <c r="I1811" t="s">
        <v>2230</v>
      </c>
      <c r="J1811">
        <v>1</v>
      </c>
      <c r="K1811">
        <v>0</v>
      </c>
      <c r="L1811" t="s">
        <v>2285</v>
      </c>
      <c r="M1811" t="s">
        <v>2677</v>
      </c>
      <c r="P1811" t="s">
        <v>3156</v>
      </c>
      <c r="Q1811" t="s">
        <v>3255</v>
      </c>
      <c r="R1811" t="s">
        <v>3258</v>
      </c>
      <c r="S1811" t="s">
        <v>3271</v>
      </c>
      <c r="X1811" t="s">
        <v>3354</v>
      </c>
      <c r="Y1811" t="s">
        <v>2677</v>
      </c>
      <c r="Z1811" t="s">
        <v>3362</v>
      </c>
      <c r="AA1811" t="s">
        <v>3406</v>
      </c>
      <c r="AB1811" t="s">
        <v>3419</v>
      </c>
      <c r="AC1811">
        <f>HYPERLINK("https://lsnyc.legalserver.org/matter/dynamic-profile/view/1850026","17-1850026")</f>
        <v>0</v>
      </c>
      <c r="AD1811" t="s">
        <v>3443</v>
      </c>
      <c r="AE1811" t="s">
        <v>3490</v>
      </c>
      <c r="AF1811" t="s">
        <v>4795</v>
      </c>
      <c r="AG1811" t="s">
        <v>3362</v>
      </c>
      <c r="AH1811" t="s">
        <v>4904</v>
      </c>
      <c r="AK1811" t="s">
        <v>4911</v>
      </c>
      <c r="AL1811" t="s">
        <v>2122</v>
      </c>
      <c r="AN1811" t="s">
        <v>3419</v>
      </c>
    </row>
    <row r="1812" spans="1:40">
      <c r="A1812" s="1" t="s">
        <v>1848</v>
      </c>
      <c r="B1812" t="s">
        <v>1998</v>
      </c>
      <c r="C1812" t="s">
        <v>2016</v>
      </c>
      <c r="D1812" t="s">
        <v>2110</v>
      </c>
      <c r="E1812" t="s">
        <v>2112</v>
      </c>
      <c r="F1812" t="s">
        <v>2129</v>
      </c>
      <c r="G1812" t="s">
        <v>2214</v>
      </c>
      <c r="H1812">
        <v>11224</v>
      </c>
      <c r="I1812" t="s">
        <v>2232</v>
      </c>
      <c r="J1812">
        <v>1</v>
      </c>
      <c r="K1812">
        <v>0</v>
      </c>
      <c r="L1812" t="s">
        <v>2401</v>
      </c>
      <c r="M1812" t="s">
        <v>2677</v>
      </c>
      <c r="P1812" t="s">
        <v>3157</v>
      </c>
      <c r="Q1812" t="s">
        <v>3255</v>
      </c>
      <c r="R1812" t="s">
        <v>3258</v>
      </c>
      <c r="S1812" t="s">
        <v>3273</v>
      </c>
      <c r="T1812" t="s">
        <v>3294</v>
      </c>
      <c r="U1812" t="s">
        <v>3140</v>
      </c>
      <c r="X1812" t="s">
        <v>3354</v>
      </c>
      <c r="Y1812" t="s">
        <v>2678</v>
      </c>
      <c r="Z1812" t="s">
        <v>3365</v>
      </c>
      <c r="AA1812" t="s">
        <v>3406</v>
      </c>
      <c r="AB1812" t="s">
        <v>3421</v>
      </c>
      <c r="AC1812">
        <f>HYPERLINK("https://lsnyc.legalserver.org/matter/dynamic-profile/view/1847378","17-1847378")</f>
        <v>0</v>
      </c>
      <c r="AD1812" t="s">
        <v>3447</v>
      </c>
      <c r="AE1812" t="s">
        <v>3462</v>
      </c>
      <c r="AF1812" t="s">
        <v>4796</v>
      </c>
      <c r="AG1812" t="s">
        <v>3365</v>
      </c>
      <c r="AH1812" t="s">
        <v>4904</v>
      </c>
      <c r="AK1812" t="s">
        <v>4911</v>
      </c>
      <c r="AL1812" t="s">
        <v>2129</v>
      </c>
      <c r="AM1812" t="s">
        <v>3294</v>
      </c>
      <c r="AN1812" t="s">
        <v>3421</v>
      </c>
    </row>
    <row r="1813" spans="1:40">
      <c r="A1813" s="1" t="s">
        <v>1849</v>
      </c>
      <c r="B1813" t="s">
        <v>2000</v>
      </c>
      <c r="C1813" t="s">
        <v>2005</v>
      </c>
      <c r="D1813" t="s">
        <v>2048</v>
      </c>
      <c r="E1813" t="s">
        <v>2111</v>
      </c>
      <c r="F1813" t="s">
        <v>2114</v>
      </c>
      <c r="G1813" t="s">
        <v>2216</v>
      </c>
      <c r="H1813">
        <v>10302</v>
      </c>
      <c r="I1813" t="s">
        <v>2229</v>
      </c>
      <c r="J1813">
        <v>2</v>
      </c>
      <c r="K1813">
        <v>0</v>
      </c>
      <c r="L1813" t="s">
        <v>2262</v>
      </c>
      <c r="M1813" t="s">
        <v>2677</v>
      </c>
      <c r="P1813" t="s">
        <v>3157</v>
      </c>
      <c r="Q1813" t="s">
        <v>3255</v>
      </c>
      <c r="R1813" t="s">
        <v>3259</v>
      </c>
      <c r="S1813" t="s">
        <v>3267</v>
      </c>
      <c r="T1813" t="s">
        <v>3294</v>
      </c>
      <c r="U1813" t="s">
        <v>3148</v>
      </c>
      <c r="X1813" t="s">
        <v>3354</v>
      </c>
      <c r="Y1813" t="s">
        <v>2678</v>
      </c>
      <c r="Z1813" t="s">
        <v>3359</v>
      </c>
      <c r="AA1813" t="s">
        <v>3406</v>
      </c>
      <c r="AB1813" t="s">
        <v>3415</v>
      </c>
      <c r="AC1813">
        <f>HYPERLINK("https://lsnyc.legalserver.org/matter/dynamic-profile/view/1849685","17-1849685")</f>
        <v>0</v>
      </c>
      <c r="AD1813" t="s">
        <v>3447</v>
      </c>
      <c r="AE1813" t="s">
        <v>3459</v>
      </c>
      <c r="AF1813" t="s">
        <v>4797</v>
      </c>
      <c r="AG1813" t="s">
        <v>3359</v>
      </c>
      <c r="AH1813" t="s">
        <v>4906</v>
      </c>
      <c r="AK1813" t="s">
        <v>4911</v>
      </c>
      <c r="AL1813" t="s">
        <v>2114</v>
      </c>
      <c r="AM1813" t="s">
        <v>3294</v>
      </c>
      <c r="AN1813" t="s">
        <v>3415</v>
      </c>
    </row>
    <row r="1814" spans="1:40">
      <c r="A1814" s="1" t="s">
        <v>1850</v>
      </c>
      <c r="B1814" t="s">
        <v>1998</v>
      </c>
      <c r="C1814" t="s">
        <v>2000</v>
      </c>
      <c r="D1814" t="s">
        <v>2081</v>
      </c>
      <c r="E1814" t="s">
        <v>2112</v>
      </c>
      <c r="F1814" t="s">
        <v>2151</v>
      </c>
      <c r="G1814" t="s">
        <v>2213</v>
      </c>
      <c r="H1814">
        <v>10455</v>
      </c>
      <c r="I1814" t="s">
        <v>2230</v>
      </c>
      <c r="J1814">
        <v>1</v>
      </c>
      <c r="K1814">
        <v>0</v>
      </c>
      <c r="L1814" t="s">
        <v>2572</v>
      </c>
      <c r="M1814" t="s">
        <v>2677</v>
      </c>
      <c r="P1814" t="s">
        <v>3158</v>
      </c>
      <c r="Q1814" t="s">
        <v>2113</v>
      </c>
      <c r="R1814" t="s">
        <v>3259</v>
      </c>
      <c r="S1814" t="s">
        <v>3270</v>
      </c>
      <c r="T1814" t="s">
        <v>3294</v>
      </c>
      <c r="U1814" t="s">
        <v>3088</v>
      </c>
      <c r="X1814" t="s">
        <v>3354</v>
      </c>
      <c r="Y1814" t="s">
        <v>2677</v>
      </c>
      <c r="Z1814" t="s">
        <v>3362</v>
      </c>
      <c r="AA1814" t="s">
        <v>3406</v>
      </c>
      <c r="AB1814" t="s">
        <v>3418</v>
      </c>
      <c r="AC1814">
        <f>HYPERLINK("https://lsnyc.legalserver.org/matter/dynamic-profile/view/1849635","17-1849635")</f>
        <v>0</v>
      </c>
      <c r="AD1814" t="s">
        <v>3445</v>
      </c>
      <c r="AE1814" t="s">
        <v>3455</v>
      </c>
      <c r="AF1814" t="s">
        <v>4581</v>
      </c>
      <c r="AG1814" t="s">
        <v>3362</v>
      </c>
      <c r="AH1814" t="s">
        <v>4904</v>
      </c>
      <c r="AK1814" t="s">
        <v>4911</v>
      </c>
      <c r="AL1814" t="s">
        <v>2151</v>
      </c>
      <c r="AM1814" t="s">
        <v>3294</v>
      </c>
      <c r="AN1814" t="s">
        <v>3418</v>
      </c>
    </row>
    <row r="1815" spans="1:40">
      <c r="A1815" s="1" t="s">
        <v>1851</v>
      </c>
      <c r="B1815" t="s">
        <v>1998</v>
      </c>
      <c r="C1815" t="s">
        <v>2002</v>
      </c>
      <c r="D1815" t="s">
        <v>2094</v>
      </c>
      <c r="E1815" t="s">
        <v>2111</v>
      </c>
      <c r="F1815" t="s">
        <v>2165</v>
      </c>
      <c r="G1815" t="s">
        <v>2212</v>
      </c>
      <c r="H1815">
        <v>11432</v>
      </c>
      <c r="I1815" t="s">
        <v>2230</v>
      </c>
      <c r="J1815">
        <v>5</v>
      </c>
      <c r="K1815">
        <v>2</v>
      </c>
      <c r="L1815" t="s">
        <v>2643</v>
      </c>
      <c r="M1815" t="s">
        <v>2677</v>
      </c>
      <c r="P1815" t="s">
        <v>3158</v>
      </c>
      <c r="Q1815" t="s">
        <v>3255</v>
      </c>
      <c r="R1815" t="s">
        <v>3258</v>
      </c>
      <c r="S1815" t="s">
        <v>3262</v>
      </c>
      <c r="X1815" t="s">
        <v>3354</v>
      </c>
      <c r="Y1815" t="s">
        <v>2678</v>
      </c>
      <c r="Z1815" t="s">
        <v>3355</v>
      </c>
      <c r="AA1815" t="s">
        <v>3406</v>
      </c>
      <c r="AB1815" t="s">
        <v>3410</v>
      </c>
      <c r="AC1815">
        <f>HYPERLINK("https://lsnyc.legalserver.org/matter/dynamic-profile/view/1851141","17-1851141")</f>
        <v>0</v>
      </c>
      <c r="AD1815" t="s">
        <v>3443</v>
      </c>
      <c r="AE1815" t="s">
        <v>3457</v>
      </c>
      <c r="AF1815" t="s">
        <v>4798</v>
      </c>
      <c r="AG1815" t="s">
        <v>3355</v>
      </c>
      <c r="AH1815" t="s">
        <v>4904</v>
      </c>
      <c r="AL1815" t="s">
        <v>2165</v>
      </c>
      <c r="AN1815" t="s">
        <v>3410</v>
      </c>
    </row>
    <row r="1816" spans="1:40">
      <c r="A1816" s="1" t="s">
        <v>1852</v>
      </c>
      <c r="B1816" t="s">
        <v>1998</v>
      </c>
      <c r="C1816" t="s">
        <v>2015</v>
      </c>
      <c r="D1816" t="s">
        <v>2072</v>
      </c>
      <c r="E1816" t="s">
        <v>2111</v>
      </c>
      <c r="F1816" t="s">
        <v>2165</v>
      </c>
      <c r="G1816" t="s">
        <v>2212</v>
      </c>
      <c r="H1816">
        <v>11432</v>
      </c>
      <c r="I1816" t="s">
        <v>2230</v>
      </c>
      <c r="J1816">
        <v>6</v>
      </c>
      <c r="K1816">
        <v>3</v>
      </c>
      <c r="L1816" t="s">
        <v>2643</v>
      </c>
      <c r="M1816" t="s">
        <v>2677</v>
      </c>
      <c r="P1816" t="s">
        <v>3158</v>
      </c>
      <c r="Q1816" t="s">
        <v>3255</v>
      </c>
      <c r="R1816" t="s">
        <v>3258</v>
      </c>
      <c r="S1816" t="s">
        <v>3262</v>
      </c>
      <c r="X1816" t="s">
        <v>3354</v>
      </c>
      <c r="Y1816" t="s">
        <v>2678</v>
      </c>
      <c r="Z1816" t="s">
        <v>3355</v>
      </c>
      <c r="AA1816" t="s">
        <v>3406</v>
      </c>
      <c r="AB1816" t="s">
        <v>3410</v>
      </c>
      <c r="AC1816">
        <f>HYPERLINK("https://lsnyc.legalserver.org/matter/dynamic-profile/view/1851169","17-1851169")</f>
        <v>0</v>
      </c>
      <c r="AD1816" t="s">
        <v>3443</v>
      </c>
      <c r="AE1816" t="s">
        <v>3457</v>
      </c>
      <c r="AF1816" t="s">
        <v>4799</v>
      </c>
      <c r="AG1816" t="s">
        <v>3355</v>
      </c>
      <c r="AH1816" t="s">
        <v>4904</v>
      </c>
      <c r="AL1816" t="s">
        <v>2165</v>
      </c>
      <c r="AN1816" t="s">
        <v>3410</v>
      </c>
    </row>
    <row r="1817" spans="1:40">
      <c r="A1817" s="1" t="s">
        <v>1853</v>
      </c>
      <c r="B1817" t="s">
        <v>2001</v>
      </c>
      <c r="C1817" t="s">
        <v>2005</v>
      </c>
      <c r="D1817" t="s">
        <v>2028</v>
      </c>
      <c r="E1817" t="s">
        <v>2112</v>
      </c>
      <c r="F1817" t="s">
        <v>2123</v>
      </c>
      <c r="G1817" t="s">
        <v>2213</v>
      </c>
      <c r="H1817">
        <v>10452</v>
      </c>
      <c r="I1817" t="s">
        <v>2229</v>
      </c>
      <c r="J1817">
        <v>1</v>
      </c>
      <c r="K1817">
        <v>0</v>
      </c>
      <c r="L1817" t="s">
        <v>2600</v>
      </c>
      <c r="M1817" t="s">
        <v>2677</v>
      </c>
      <c r="P1817" t="s">
        <v>3159</v>
      </c>
      <c r="Q1817" t="s">
        <v>2113</v>
      </c>
      <c r="R1817" t="s">
        <v>3258</v>
      </c>
      <c r="S1817" t="s">
        <v>3271</v>
      </c>
      <c r="X1817" t="s">
        <v>3354</v>
      </c>
      <c r="Y1817" t="s">
        <v>2677</v>
      </c>
      <c r="Z1817" t="s">
        <v>3362</v>
      </c>
      <c r="AA1817" t="s">
        <v>3406</v>
      </c>
      <c r="AB1817" t="s">
        <v>3419</v>
      </c>
      <c r="AC1817">
        <f>HYPERLINK("https://lsnyc.legalserver.org/matter/dynamic-profile/view/1849293","17-1849293")</f>
        <v>0</v>
      </c>
      <c r="AD1817" t="s">
        <v>3445</v>
      </c>
      <c r="AE1817" t="s">
        <v>3455</v>
      </c>
      <c r="AF1817" t="s">
        <v>4657</v>
      </c>
      <c r="AG1817" t="s">
        <v>3362</v>
      </c>
      <c r="AH1817" t="s">
        <v>4904</v>
      </c>
      <c r="AK1817" t="s">
        <v>4911</v>
      </c>
      <c r="AL1817" t="s">
        <v>2123</v>
      </c>
      <c r="AN1817" t="s">
        <v>3419</v>
      </c>
    </row>
    <row r="1818" spans="1:40">
      <c r="A1818" s="1" t="s">
        <v>1854</v>
      </c>
      <c r="B1818" t="s">
        <v>2004</v>
      </c>
      <c r="C1818" t="s">
        <v>1998</v>
      </c>
      <c r="D1818" t="s">
        <v>2058</v>
      </c>
      <c r="E1818" t="s">
        <v>2111</v>
      </c>
      <c r="F1818" t="s">
        <v>2122</v>
      </c>
      <c r="G1818" t="s">
        <v>2212</v>
      </c>
      <c r="H1818">
        <v>11419</v>
      </c>
      <c r="J1818">
        <v>3</v>
      </c>
      <c r="K1818">
        <v>2</v>
      </c>
      <c r="L1818" t="s">
        <v>2262</v>
      </c>
      <c r="M1818" t="s">
        <v>2677</v>
      </c>
      <c r="P1818" t="s">
        <v>3160</v>
      </c>
      <c r="Q1818" t="s">
        <v>3255</v>
      </c>
      <c r="R1818" t="s">
        <v>3258</v>
      </c>
      <c r="S1818" t="s">
        <v>3279</v>
      </c>
      <c r="T1818" t="s">
        <v>3294</v>
      </c>
      <c r="U1818" t="s">
        <v>3040</v>
      </c>
      <c r="X1818" t="s">
        <v>3354</v>
      </c>
      <c r="Y1818" t="s">
        <v>2678</v>
      </c>
      <c r="Z1818" t="s">
        <v>3377</v>
      </c>
      <c r="AA1818" t="s">
        <v>3406</v>
      </c>
      <c r="AB1818" t="s">
        <v>3427</v>
      </c>
      <c r="AC1818">
        <f>HYPERLINK("https://lsnyc.legalserver.org/matter/dynamic-profile/view/1849171","17-1849171")</f>
        <v>0</v>
      </c>
      <c r="AD1818" t="s">
        <v>3443</v>
      </c>
      <c r="AE1818" t="s">
        <v>3449</v>
      </c>
      <c r="AF1818" t="s">
        <v>4800</v>
      </c>
      <c r="AG1818" t="s">
        <v>3377</v>
      </c>
      <c r="AH1818" t="s">
        <v>4904</v>
      </c>
      <c r="AK1818" t="s">
        <v>4911</v>
      </c>
      <c r="AL1818" t="s">
        <v>2122</v>
      </c>
      <c r="AM1818" t="s">
        <v>3294</v>
      </c>
      <c r="AN1818" t="s">
        <v>3427</v>
      </c>
    </row>
    <row r="1819" spans="1:40">
      <c r="A1819" s="1" t="s">
        <v>1855</v>
      </c>
      <c r="B1819" t="s">
        <v>2008</v>
      </c>
      <c r="C1819" t="s">
        <v>2016</v>
      </c>
      <c r="D1819" t="s">
        <v>2072</v>
      </c>
      <c r="E1819" t="s">
        <v>2111</v>
      </c>
      <c r="F1819" t="s">
        <v>2144</v>
      </c>
      <c r="G1819" t="s">
        <v>2216</v>
      </c>
      <c r="H1819">
        <v>10302</v>
      </c>
      <c r="I1819" t="s">
        <v>2230</v>
      </c>
      <c r="J1819">
        <v>1</v>
      </c>
      <c r="K1819">
        <v>0</v>
      </c>
      <c r="L1819" t="s">
        <v>2260</v>
      </c>
      <c r="M1819" t="s">
        <v>2677</v>
      </c>
      <c r="P1819" t="s">
        <v>3161</v>
      </c>
      <c r="Q1819" t="s">
        <v>3255</v>
      </c>
      <c r="R1819" t="s">
        <v>3259</v>
      </c>
      <c r="S1819" t="s">
        <v>3268</v>
      </c>
      <c r="T1819" t="s">
        <v>3294</v>
      </c>
      <c r="U1819" t="s">
        <v>3147</v>
      </c>
      <c r="X1819" t="s">
        <v>3354</v>
      </c>
      <c r="Y1819" t="s">
        <v>2678</v>
      </c>
      <c r="Z1819" t="s">
        <v>3368</v>
      </c>
      <c r="AA1819" t="s">
        <v>3406</v>
      </c>
      <c r="AB1819" t="s">
        <v>3416</v>
      </c>
      <c r="AC1819">
        <f>HYPERLINK("https://lsnyc.legalserver.org/matter/dynamic-profile/view/1848676","17-1848676")</f>
        <v>0</v>
      </c>
      <c r="AD1819" t="s">
        <v>3447</v>
      </c>
      <c r="AE1819" t="s">
        <v>3459</v>
      </c>
      <c r="AF1819" t="s">
        <v>4801</v>
      </c>
      <c r="AG1819" t="s">
        <v>3368</v>
      </c>
      <c r="AH1819" t="s">
        <v>4904</v>
      </c>
      <c r="AK1819" t="s">
        <v>4911</v>
      </c>
      <c r="AL1819" t="s">
        <v>2144</v>
      </c>
      <c r="AM1819" t="s">
        <v>3294</v>
      </c>
      <c r="AN1819" t="s">
        <v>3416</v>
      </c>
    </row>
    <row r="1820" spans="1:40">
      <c r="A1820" s="1" t="s">
        <v>1856</v>
      </c>
      <c r="B1820" t="s">
        <v>1998</v>
      </c>
      <c r="C1820" t="s">
        <v>2001</v>
      </c>
      <c r="D1820" t="s">
        <v>2029</v>
      </c>
      <c r="E1820" t="s">
        <v>2111</v>
      </c>
      <c r="F1820" t="s">
        <v>2116</v>
      </c>
      <c r="G1820" t="s">
        <v>2213</v>
      </c>
      <c r="H1820">
        <v>10455</v>
      </c>
      <c r="I1820" t="s">
        <v>2229</v>
      </c>
      <c r="J1820">
        <v>2</v>
      </c>
      <c r="K1820">
        <v>0</v>
      </c>
      <c r="L1820" t="s">
        <v>2304</v>
      </c>
      <c r="M1820" t="s">
        <v>2677</v>
      </c>
      <c r="P1820" t="s">
        <v>3161</v>
      </c>
      <c r="Q1820" t="s">
        <v>2113</v>
      </c>
      <c r="R1820" t="s">
        <v>3259</v>
      </c>
      <c r="S1820" t="s">
        <v>3264</v>
      </c>
      <c r="T1820" t="s">
        <v>3294</v>
      </c>
      <c r="U1820" t="s">
        <v>3113</v>
      </c>
      <c r="X1820" t="s">
        <v>3354</v>
      </c>
      <c r="Y1820" t="s">
        <v>2678</v>
      </c>
      <c r="Z1820" t="s">
        <v>3357</v>
      </c>
      <c r="AA1820" t="s">
        <v>3406</v>
      </c>
      <c r="AB1820" t="s">
        <v>3412</v>
      </c>
      <c r="AC1820">
        <f>HYPERLINK("https://lsnyc.legalserver.org/matter/dynamic-profile/view/1848994","17-1848994")</f>
        <v>0</v>
      </c>
      <c r="AD1820" t="s">
        <v>3444</v>
      </c>
      <c r="AE1820" t="s">
        <v>3494</v>
      </c>
      <c r="AF1820" t="s">
        <v>4802</v>
      </c>
      <c r="AG1820" t="s">
        <v>3357</v>
      </c>
      <c r="AH1820" t="s">
        <v>4904</v>
      </c>
      <c r="AK1820" t="s">
        <v>4911</v>
      </c>
      <c r="AL1820" t="s">
        <v>2116</v>
      </c>
      <c r="AM1820" t="s">
        <v>3294</v>
      </c>
      <c r="AN1820" t="s">
        <v>3412</v>
      </c>
    </row>
    <row r="1821" spans="1:40">
      <c r="A1821" s="1" t="s">
        <v>1857</v>
      </c>
      <c r="B1821" t="s">
        <v>2001</v>
      </c>
      <c r="C1821" t="s">
        <v>2003</v>
      </c>
      <c r="D1821" t="s">
        <v>2060</v>
      </c>
      <c r="E1821" t="s">
        <v>2111</v>
      </c>
      <c r="F1821" t="s">
        <v>2123</v>
      </c>
      <c r="G1821" t="s">
        <v>2211</v>
      </c>
      <c r="H1821">
        <v>10031</v>
      </c>
      <c r="I1821" t="s">
        <v>2230</v>
      </c>
      <c r="J1821">
        <v>1</v>
      </c>
      <c r="K1821">
        <v>0</v>
      </c>
      <c r="L1821" t="s">
        <v>2260</v>
      </c>
      <c r="M1821" t="s">
        <v>2677</v>
      </c>
      <c r="P1821" t="s">
        <v>3162</v>
      </c>
      <c r="Q1821" t="s">
        <v>2113</v>
      </c>
      <c r="R1821" t="s">
        <v>3258</v>
      </c>
      <c r="S1821" t="s">
        <v>3271</v>
      </c>
      <c r="T1821" t="s">
        <v>3294</v>
      </c>
      <c r="U1821" t="s">
        <v>2797</v>
      </c>
      <c r="X1821" t="s">
        <v>3354</v>
      </c>
      <c r="Y1821" t="s">
        <v>2677</v>
      </c>
      <c r="Z1821" t="s">
        <v>3362</v>
      </c>
      <c r="AA1821" t="s">
        <v>3406</v>
      </c>
      <c r="AB1821" t="s">
        <v>3419</v>
      </c>
      <c r="AC1821">
        <f>HYPERLINK("https://lsnyc.legalserver.org/matter/dynamic-profile/view/1844741","17-1844741")</f>
        <v>0</v>
      </c>
      <c r="AD1821" t="s">
        <v>3442</v>
      </c>
      <c r="AE1821" t="s">
        <v>3460</v>
      </c>
      <c r="AF1821" t="s">
        <v>4803</v>
      </c>
      <c r="AG1821" t="s">
        <v>3362</v>
      </c>
      <c r="AH1821" t="s">
        <v>4904</v>
      </c>
      <c r="AK1821" t="s">
        <v>4911</v>
      </c>
      <c r="AL1821" t="s">
        <v>2123</v>
      </c>
      <c r="AM1821" t="s">
        <v>3294</v>
      </c>
      <c r="AN1821" t="s">
        <v>3419</v>
      </c>
    </row>
    <row r="1822" spans="1:40">
      <c r="A1822" s="1" t="s">
        <v>1857</v>
      </c>
      <c r="B1822" t="s">
        <v>2001</v>
      </c>
      <c r="C1822" t="s">
        <v>2003</v>
      </c>
      <c r="D1822" t="s">
        <v>2060</v>
      </c>
      <c r="E1822" t="s">
        <v>2111</v>
      </c>
      <c r="F1822" t="s">
        <v>2123</v>
      </c>
      <c r="G1822" t="s">
        <v>2211</v>
      </c>
      <c r="H1822">
        <v>10031</v>
      </c>
      <c r="I1822" t="s">
        <v>2230</v>
      </c>
      <c r="J1822">
        <v>1</v>
      </c>
      <c r="K1822">
        <v>0</v>
      </c>
      <c r="L1822" t="s">
        <v>2260</v>
      </c>
      <c r="M1822" t="s">
        <v>2677</v>
      </c>
      <c r="P1822" t="s">
        <v>3162</v>
      </c>
      <c r="Q1822" t="s">
        <v>2113</v>
      </c>
      <c r="R1822" t="s">
        <v>3258</v>
      </c>
      <c r="S1822" t="s">
        <v>3271</v>
      </c>
      <c r="T1822" t="s">
        <v>3294</v>
      </c>
      <c r="U1822" t="s">
        <v>2797</v>
      </c>
      <c r="X1822" t="s">
        <v>3354</v>
      </c>
      <c r="Y1822" t="s">
        <v>2677</v>
      </c>
      <c r="Z1822" t="s">
        <v>3362</v>
      </c>
      <c r="AA1822" t="s">
        <v>3406</v>
      </c>
      <c r="AB1822" t="s">
        <v>3419</v>
      </c>
      <c r="AC1822">
        <f>HYPERLINK("https://lsnyc.legalserver.org/matter/dynamic-profile/view/1844741","17-1844741")</f>
        <v>0</v>
      </c>
      <c r="AD1822" t="s">
        <v>3442</v>
      </c>
      <c r="AE1822" t="s">
        <v>3460</v>
      </c>
      <c r="AF1822" t="s">
        <v>4803</v>
      </c>
      <c r="AG1822" t="s">
        <v>3362</v>
      </c>
      <c r="AH1822" t="s">
        <v>4904</v>
      </c>
      <c r="AK1822" t="s">
        <v>4911</v>
      </c>
      <c r="AL1822" t="s">
        <v>2123</v>
      </c>
      <c r="AM1822" t="s">
        <v>3294</v>
      </c>
      <c r="AN1822" t="s">
        <v>3419</v>
      </c>
    </row>
    <row r="1823" spans="1:40">
      <c r="A1823" s="1" t="s">
        <v>1858</v>
      </c>
      <c r="B1823" t="s">
        <v>2000</v>
      </c>
      <c r="C1823" t="s">
        <v>2016</v>
      </c>
      <c r="D1823" t="s">
        <v>2060</v>
      </c>
      <c r="E1823" t="s">
        <v>2111</v>
      </c>
      <c r="F1823" t="s">
        <v>2123</v>
      </c>
      <c r="G1823" t="s">
        <v>2213</v>
      </c>
      <c r="H1823">
        <v>10452</v>
      </c>
      <c r="I1823" t="s">
        <v>2229</v>
      </c>
      <c r="J1823">
        <v>4</v>
      </c>
      <c r="K1823">
        <v>2</v>
      </c>
      <c r="L1823" t="s">
        <v>2644</v>
      </c>
      <c r="M1823" t="s">
        <v>2677</v>
      </c>
      <c r="P1823" t="s">
        <v>3163</v>
      </c>
      <c r="Q1823" t="s">
        <v>2113</v>
      </c>
      <c r="R1823" t="s">
        <v>3258</v>
      </c>
      <c r="S1823" t="s">
        <v>3271</v>
      </c>
      <c r="X1823" t="s">
        <v>3354</v>
      </c>
      <c r="Y1823" t="s">
        <v>2677</v>
      </c>
      <c r="Z1823" t="s">
        <v>3362</v>
      </c>
      <c r="AA1823" t="s">
        <v>3406</v>
      </c>
      <c r="AB1823" t="s">
        <v>3419</v>
      </c>
      <c r="AC1823">
        <f>HYPERLINK("https://lsnyc.legalserver.org/matter/dynamic-profile/view/1848726","17-1848726")</f>
        <v>0</v>
      </c>
      <c r="AD1823" t="s">
        <v>3445</v>
      </c>
      <c r="AE1823" t="s">
        <v>3455</v>
      </c>
      <c r="AF1823" t="s">
        <v>4804</v>
      </c>
      <c r="AG1823" t="s">
        <v>3362</v>
      </c>
      <c r="AH1823" t="s">
        <v>4904</v>
      </c>
      <c r="AK1823" t="s">
        <v>4911</v>
      </c>
      <c r="AL1823" t="s">
        <v>2123</v>
      </c>
      <c r="AN1823" t="s">
        <v>3419</v>
      </c>
    </row>
    <row r="1824" spans="1:40">
      <c r="A1824" s="1" t="s">
        <v>1859</v>
      </c>
      <c r="B1824" t="s">
        <v>2015</v>
      </c>
      <c r="C1824" t="s">
        <v>2001</v>
      </c>
      <c r="D1824" t="s">
        <v>2080</v>
      </c>
      <c r="E1824" t="s">
        <v>2112</v>
      </c>
      <c r="F1824" t="s">
        <v>2187</v>
      </c>
      <c r="G1824" t="s">
        <v>2214</v>
      </c>
      <c r="H1824">
        <v>11214</v>
      </c>
      <c r="I1824" t="s">
        <v>2232</v>
      </c>
      <c r="J1824">
        <v>1</v>
      </c>
      <c r="K1824">
        <v>0</v>
      </c>
      <c r="L1824" t="s">
        <v>2256</v>
      </c>
      <c r="M1824" t="s">
        <v>2677</v>
      </c>
      <c r="P1824" t="s">
        <v>3164</v>
      </c>
      <c r="Q1824" t="s">
        <v>2113</v>
      </c>
      <c r="R1824" t="s">
        <v>3258</v>
      </c>
      <c r="S1824" t="s">
        <v>3273</v>
      </c>
      <c r="T1824" t="s">
        <v>3294</v>
      </c>
      <c r="U1824" t="s">
        <v>3328</v>
      </c>
      <c r="X1824" t="s">
        <v>3354</v>
      </c>
      <c r="Y1824" t="s">
        <v>2678</v>
      </c>
      <c r="Z1824" t="s">
        <v>3370</v>
      </c>
      <c r="AA1824" t="s">
        <v>3406</v>
      </c>
      <c r="AB1824" t="s">
        <v>3421</v>
      </c>
      <c r="AC1824">
        <f>HYPERLINK("https://lsnyc.legalserver.org/matter/dynamic-profile/view/1848446","17-1848446")</f>
        <v>0</v>
      </c>
      <c r="AD1824" t="s">
        <v>3446</v>
      </c>
      <c r="AE1824" t="s">
        <v>3465</v>
      </c>
      <c r="AF1824" t="s">
        <v>4805</v>
      </c>
      <c r="AG1824" t="s">
        <v>3370</v>
      </c>
      <c r="AH1824" t="s">
        <v>4904</v>
      </c>
      <c r="AK1824" t="s">
        <v>4911</v>
      </c>
      <c r="AL1824" t="s">
        <v>2187</v>
      </c>
      <c r="AM1824" t="s">
        <v>3294</v>
      </c>
      <c r="AN1824" t="s">
        <v>3421</v>
      </c>
    </row>
    <row r="1825" spans="1:40">
      <c r="A1825" s="1" t="s">
        <v>1860</v>
      </c>
      <c r="B1825" t="s">
        <v>1998</v>
      </c>
      <c r="C1825" t="s">
        <v>2001</v>
      </c>
      <c r="D1825" t="s">
        <v>2062</v>
      </c>
      <c r="E1825" t="s">
        <v>2112</v>
      </c>
      <c r="F1825" t="s">
        <v>2123</v>
      </c>
      <c r="G1825" t="s">
        <v>2213</v>
      </c>
      <c r="H1825">
        <v>10456</v>
      </c>
      <c r="I1825" t="s">
        <v>2229</v>
      </c>
      <c r="J1825">
        <v>1</v>
      </c>
      <c r="K1825">
        <v>0</v>
      </c>
      <c r="L1825" t="s">
        <v>2281</v>
      </c>
      <c r="M1825" t="s">
        <v>2677</v>
      </c>
      <c r="P1825" t="s">
        <v>3165</v>
      </c>
      <c r="Q1825" t="s">
        <v>3256</v>
      </c>
      <c r="R1825" t="s">
        <v>3258</v>
      </c>
      <c r="S1825" t="s">
        <v>3271</v>
      </c>
      <c r="X1825" t="s">
        <v>3354</v>
      </c>
      <c r="Y1825" t="s">
        <v>2677</v>
      </c>
      <c r="Z1825" t="s">
        <v>3362</v>
      </c>
      <c r="AA1825" t="s">
        <v>3406</v>
      </c>
      <c r="AB1825" t="s">
        <v>3419</v>
      </c>
      <c r="AC1825">
        <f>HYPERLINK("https://lsnyc.legalserver.org/matter/dynamic-profile/view/1848376","17-1848376")</f>
        <v>0</v>
      </c>
      <c r="AD1825" t="s">
        <v>3443</v>
      </c>
      <c r="AE1825" t="s">
        <v>3477</v>
      </c>
      <c r="AF1825" t="s">
        <v>4806</v>
      </c>
      <c r="AG1825" t="s">
        <v>3362</v>
      </c>
      <c r="AH1825" t="s">
        <v>4904</v>
      </c>
      <c r="AK1825" t="s">
        <v>4911</v>
      </c>
      <c r="AL1825" t="s">
        <v>2123</v>
      </c>
      <c r="AN1825" t="s">
        <v>3419</v>
      </c>
    </row>
    <row r="1826" spans="1:40">
      <c r="A1826" s="1" t="s">
        <v>1861</v>
      </c>
      <c r="B1826" t="s">
        <v>2016</v>
      </c>
      <c r="C1826" t="s">
        <v>2000</v>
      </c>
      <c r="D1826" t="s">
        <v>2071</v>
      </c>
      <c r="E1826" t="s">
        <v>2111</v>
      </c>
      <c r="F1826" t="s">
        <v>2116</v>
      </c>
      <c r="G1826" t="s">
        <v>2211</v>
      </c>
      <c r="H1826">
        <v>10027</v>
      </c>
      <c r="I1826" t="s">
        <v>2229</v>
      </c>
      <c r="J1826">
        <v>2</v>
      </c>
      <c r="K1826">
        <v>0</v>
      </c>
      <c r="L1826" t="s">
        <v>2377</v>
      </c>
      <c r="M1826" t="s">
        <v>2677</v>
      </c>
      <c r="P1826" t="s">
        <v>3166</v>
      </c>
      <c r="Q1826" t="s">
        <v>2113</v>
      </c>
      <c r="R1826" t="s">
        <v>3258</v>
      </c>
      <c r="S1826" t="s">
        <v>3271</v>
      </c>
      <c r="X1826" t="s">
        <v>3354</v>
      </c>
      <c r="Y1826" t="s">
        <v>2677</v>
      </c>
      <c r="Z1826" t="s">
        <v>3362</v>
      </c>
      <c r="AA1826" t="s">
        <v>3406</v>
      </c>
      <c r="AB1826" t="s">
        <v>3419</v>
      </c>
      <c r="AC1826">
        <f>HYPERLINK("https://lsnyc.legalserver.org/matter/dynamic-profile/view/1848142","17-1848142")</f>
        <v>0</v>
      </c>
      <c r="AD1826" t="s">
        <v>3445</v>
      </c>
      <c r="AE1826" t="s">
        <v>3455</v>
      </c>
      <c r="AF1826" t="s">
        <v>4565</v>
      </c>
      <c r="AG1826" t="s">
        <v>3362</v>
      </c>
      <c r="AH1826" t="s">
        <v>4904</v>
      </c>
      <c r="AK1826" t="s">
        <v>4911</v>
      </c>
      <c r="AL1826" t="s">
        <v>2116</v>
      </c>
      <c r="AN1826" t="s">
        <v>3419</v>
      </c>
    </row>
    <row r="1827" spans="1:40">
      <c r="A1827" s="1" t="s">
        <v>1862</v>
      </c>
      <c r="B1827" t="s">
        <v>2002</v>
      </c>
      <c r="C1827" t="s">
        <v>1998</v>
      </c>
      <c r="D1827" t="s">
        <v>2050</v>
      </c>
      <c r="E1827" t="s">
        <v>2112</v>
      </c>
      <c r="F1827" t="s">
        <v>2117</v>
      </c>
      <c r="G1827" t="s">
        <v>2213</v>
      </c>
      <c r="H1827">
        <v>10473</v>
      </c>
      <c r="I1827" t="s">
        <v>2229</v>
      </c>
      <c r="J1827">
        <v>2</v>
      </c>
      <c r="K1827">
        <v>1</v>
      </c>
      <c r="L1827" t="s">
        <v>2306</v>
      </c>
      <c r="M1827" t="s">
        <v>2677</v>
      </c>
      <c r="P1827" t="s">
        <v>3166</v>
      </c>
      <c r="Q1827" t="s">
        <v>2113</v>
      </c>
      <c r="R1827" t="s">
        <v>3258</v>
      </c>
      <c r="S1827" t="s">
        <v>3271</v>
      </c>
      <c r="X1827" t="s">
        <v>3354</v>
      </c>
      <c r="Y1827" t="s">
        <v>2677</v>
      </c>
      <c r="Z1827" t="s">
        <v>3362</v>
      </c>
      <c r="AA1827" t="s">
        <v>3406</v>
      </c>
      <c r="AB1827" t="s">
        <v>3419</v>
      </c>
      <c r="AC1827">
        <f>HYPERLINK("https://lsnyc.legalserver.org/matter/dynamic-profile/view/1848150","17-1848150")</f>
        <v>0</v>
      </c>
      <c r="AD1827" t="s">
        <v>3443</v>
      </c>
      <c r="AE1827" t="s">
        <v>3477</v>
      </c>
      <c r="AF1827" t="s">
        <v>4807</v>
      </c>
      <c r="AG1827" t="s">
        <v>3362</v>
      </c>
      <c r="AH1827" t="s">
        <v>4904</v>
      </c>
      <c r="AK1827" t="s">
        <v>4911</v>
      </c>
      <c r="AL1827" t="s">
        <v>2117</v>
      </c>
      <c r="AN1827" t="s">
        <v>3419</v>
      </c>
    </row>
    <row r="1828" spans="1:40">
      <c r="A1828" s="1" t="s">
        <v>1863</v>
      </c>
      <c r="B1828" t="s">
        <v>2016</v>
      </c>
      <c r="C1828" t="s">
        <v>2016</v>
      </c>
      <c r="D1828" t="s">
        <v>2049</v>
      </c>
      <c r="E1828" t="s">
        <v>2112</v>
      </c>
      <c r="F1828" t="s">
        <v>2123</v>
      </c>
      <c r="G1828" t="s">
        <v>2213</v>
      </c>
      <c r="H1828">
        <v>10455</v>
      </c>
      <c r="I1828" t="s">
        <v>2230</v>
      </c>
      <c r="J1828">
        <v>1</v>
      </c>
      <c r="K1828">
        <v>0</v>
      </c>
      <c r="L1828" t="s">
        <v>2285</v>
      </c>
      <c r="M1828" t="s">
        <v>2677</v>
      </c>
      <c r="P1828" t="s">
        <v>3166</v>
      </c>
      <c r="Q1828" t="s">
        <v>2113</v>
      </c>
      <c r="R1828" t="s">
        <v>3258</v>
      </c>
      <c r="S1828" t="s">
        <v>3271</v>
      </c>
      <c r="X1828" t="s">
        <v>3354</v>
      </c>
      <c r="Y1828" t="s">
        <v>2677</v>
      </c>
      <c r="Z1828" t="s">
        <v>3362</v>
      </c>
      <c r="AA1828" t="s">
        <v>3406</v>
      </c>
      <c r="AB1828" t="s">
        <v>3419</v>
      </c>
      <c r="AC1828">
        <f>HYPERLINK("https://lsnyc.legalserver.org/matter/dynamic-profile/view/1848182","17-1848182")</f>
        <v>0</v>
      </c>
      <c r="AD1828" t="s">
        <v>3445</v>
      </c>
      <c r="AE1828" t="s">
        <v>3455</v>
      </c>
      <c r="AF1828" t="s">
        <v>4808</v>
      </c>
      <c r="AG1828" t="s">
        <v>3362</v>
      </c>
      <c r="AH1828" t="s">
        <v>4904</v>
      </c>
      <c r="AK1828" t="s">
        <v>4911</v>
      </c>
      <c r="AL1828" t="s">
        <v>2123</v>
      </c>
      <c r="AN1828" t="s">
        <v>3419</v>
      </c>
    </row>
    <row r="1829" spans="1:40">
      <c r="A1829" s="1" t="s">
        <v>1864</v>
      </c>
      <c r="B1829" t="s">
        <v>2009</v>
      </c>
      <c r="C1829" t="s">
        <v>2002</v>
      </c>
      <c r="D1829" t="s">
        <v>2039</v>
      </c>
      <c r="E1829" t="s">
        <v>2111</v>
      </c>
      <c r="F1829" t="s">
        <v>2135</v>
      </c>
      <c r="G1829" t="s">
        <v>2214</v>
      </c>
      <c r="H1829">
        <v>11226</v>
      </c>
      <c r="I1829" t="s">
        <v>2229</v>
      </c>
      <c r="J1829">
        <v>4</v>
      </c>
      <c r="K1829">
        <v>0</v>
      </c>
      <c r="L1829" t="s">
        <v>2645</v>
      </c>
      <c r="M1829" t="s">
        <v>2678</v>
      </c>
      <c r="P1829" t="s">
        <v>2944</v>
      </c>
      <c r="Q1829" t="s">
        <v>2113</v>
      </c>
      <c r="R1829" t="s">
        <v>3258</v>
      </c>
      <c r="S1829" t="s">
        <v>3271</v>
      </c>
      <c r="X1829" t="s">
        <v>3354</v>
      </c>
      <c r="Y1829" t="s">
        <v>2677</v>
      </c>
      <c r="Z1829" t="s">
        <v>3362</v>
      </c>
      <c r="AA1829" t="s">
        <v>3406</v>
      </c>
      <c r="AB1829" t="s">
        <v>3419</v>
      </c>
      <c r="AC1829">
        <f>HYPERLINK("https://lsnyc.legalserver.org/matter/dynamic-profile/view/1847965","17-1847965")</f>
        <v>0</v>
      </c>
      <c r="AD1829" t="s">
        <v>3445</v>
      </c>
      <c r="AE1829" t="s">
        <v>3452</v>
      </c>
      <c r="AF1829" t="s">
        <v>3937</v>
      </c>
      <c r="AG1829" t="s">
        <v>3362</v>
      </c>
      <c r="AH1829" t="s">
        <v>4904</v>
      </c>
      <c r="AJ1829" t="s">
        <v>4910</v>
      </c>
      <c r="AL1829" t="s">
        <v>2135</v>
      </c>
      <c r="AN1829" t="s">
        <v>3419</v>
      </c>
    </row>
    <row r="1830" spans="1:40">
      <c r="A1830" s="1" t="s">
        <v>1865</v>
      </c>
      <c r="B1830" t="s">
        <v>2012</v>
      </c>
      <c r="C1830" t="s">
        <v>2012</v>
      </c>
      <c r="D1830" t="s">
        <v>2093</v>
      </c>
      <c r="E1830" t="s">
        <v>2111</v>
      </c>
      <c r="F1830" t="s">
        <v>2123</v>
      </c>
      <c r="G1830" t="s">
        <v>2211</v>
      </c>
      <c r="H1830">
        <v>10002</v>
      </c>
      <c r="I1830" t="s">
        <v>2229</v>
      </c>
      <c r="J1830">
        <v>3</v>
      </c>
      <c r="K1830">
        <v>1</v>
      </c>
      <c r="L1830" t="s">
        <v>2643</v>
      </c>
      <c r="M1830" t="s">
        <v>2677</v>
      </c>
      <c r="P1830" t="s">
        <v>3167</v>
      </c>
      <c r="Q1830" t="s">
        <v>3255</v>
      </c>
      <c r="R1830" t="s">
        <v>3258</v>
      </c>
      <c r="S1830" t="s">
        <v>3271</v>
      </c>
      <c r="X1830" t="s">
        <v>3354</v>
      </c>
      <c r="Y1830" t="s">
        <v>2677</v>
      </c>
      <c r="Z1830" t="s">
        <v>3362</v>
      </c>
      <c r="AA1830" t="s">
        <v>3406</v>
      </c>
      <c r="AB1830" t="s">
        <v>3419</v>
      </c>
      <c r="AC1830">
        <f>HYPERLINK("https://lsnyc.legalserver.org/matter/dynamic-profile/view/1847472","17-1847472")</f>
        <v>0</v>
      </c>
      <c r="AD1830" t="s">
        <v>3443</v>
      </c>
      <c r="AE1830" t="s">
        <v>3490</v>
      </c>
      <c r="AF1830" t="s">
        <v>4809</v>
      </c>
      <c r="AG1830" t="s">
        <v>3362</v>
      </c>
      <c r="AH1830" t="s">
        <v>4904</v>
      </c>
      <c r="AK1830" t="s">
        <v>4911</v>
      </c>
      <c r="AL1830" t="s">
        <v>2123</v>
      </c>
      <c r="AN1830" t="s">
        <v>3419</v>
      </c>
    </row>
    <row r="1831" spans="1:40">
      <c r="A1831" s="1" t="s">
        <v>1866</v>
      </c>
      <c r="B1831" t="s">
        <v>1998</v>
      </c>
      <c r="C1831" t="s">
        <v>2002</v>
      </c>
      <c r="D1831" t="s">
        <v>2051</v>
      </c>
      <c r="E1831" t="s">
        <v>2112</v>
      </c>
      <c r="F1831" t="s">
        <v>2163</v>
      </c>
      <c r="G1831" t="s">
        <v>2214</v>
      </c>
      <c r="H1831">
        <v>11218</v>
      </c>
      <c r="I1831" t="s">
        <v>2230</v>
      </c>
      <c r="J1831">
        <v>2</v>
      </c>
      <c r="K1831">
        <v>0</v>
      </c>
      <c r="L1831" t="s">
        <v>2316</v>
      </c>
      <c r="M1831" t="s">
        <v>2677</v>
      </c>
      <c r="P1831" t="s">
        <v>3167</v>
      </c>
      <c r="Q1831" t="s">
        <v>3255</v>
      </c>
      <c r="R1831" t="s">
        <v>3258</v>
      </c>
      <c r="S1831" t="s">
        <v>3271</v>
      </c>
      <c r="X1831" t="s">
        <v>3354</v>
      </c>
      <c r="Y1831" t="s">
        <v>2677</v>
      </c>
      <c r="Z1831" t="s">
        <v>3362</v>
      </c>
      <c r="AA1831" t="s">
        <v>3406</v>
      </c>
      <c r="AB1831" t="s">
        <v>3419</v>
      </c>
      <c r="AC1831">
        <f>HYPERLINK("https://lsnyc.legalserver.org/matter/dynamic-profile/view/1847503","17-1847503")</f>
        <v>0</v>
      </c>
      <c r="AD1831" t="s">
        <v>3443</v>
      </c>
      <c r="AE1831" t="s">
        <v>3450</v>
      </c>
      <c r="AF1831" t="s">
        <v>4810</v>
      </c>
      <c r="AG1831" t="s">
        <v>3362</v>
      </c>
      <c r="AH1831" t="s">
        <v>4904</v>
      </c>
      <c r="AK1831" t="s">
        <v>4911</v>
      </c>
      <c r="AL1831" t="s">
        <v>2163</v>
      </c>
      <c r="AN1831" t="s">
        <v>3419</v>
      </c>
    </row>
    <row r="1832" spans="1:40">
      <c r="A1832" s="1" t="s">
        <v>1867</v>
      </c>
      <c r="B1832" t="s">
        <v>2004</v>
      </c>
      <c r="C1832" t="s">
        <v>2001</v>
      </c>
      <c r="D1832" t="s">
        <v>2072</v>
      </c>
      <c r="E1832" t="s">
        <v>2112</v>
      </c>
      <c r="F1832" t="s">
        <v>2114</v>
      </c>
      <c r="G1832" t="s">
        <v>2212</v>
      </c>
      <c r="H1832">
        <v>11435</v>
      </c>
      <c r="I1832" t="s">
        <v>2229</v>
      </c>
      <c r="J1832">
        <v>6</v>
      </c>
      <c r="K1832">
        <v>3</v>
      </c>
      <c r="L1832" t="s">
        <v>2646</v>
      </c>
      <c r="M1832" t="s">
        <v>2677</v>
      </c>
      <c r="P1832" t="s">
        <v>2762</v>
      </c>
      <c r="Q1832" t="s">
        <v>2113</v>
      </c>
      <c r="R1832" t="s">
        <v>3258</v>
      </c>
      <c r="S1832" t="s">
        <v>3269</v>
      </c>
      <c r="T1832" t="s">
        <v>3294</v>
      </c>
      <c r="X1832" t="s">
        <v>3354</v>
      </c>
      <c r="Y1832" t="s">
        <v>2678</v>
      </c>
      <c r="Z1832" t="s">
        <v>3361</v>
      </c>
      <c r="AA1832" t="s">
        <v>3406</v>
      </c>
      <c r="AB1832" t="s">
        <v>3417</v>
      </c>
      <c r="AC1832">
        <f>HYPERLINK("https://lsnyc.legalserver.org/matter/dynamic-profile/view/1847549","17-1847549")</f>
        <v>0</v>
      </c>
      <c r="AD1832" t="s">
        <v>3443</v>
      </c>
      <c r="AE1832" t="s">
        <v>3450</v>
      </c>
      <c r="AF1832" t="s">
        <v>4811</v>
      </c>
      <c r="AG1832" t="s">
        <v>3361</v>
      </c>
      <c r="AH1832" t="s">
        <v>4904</v>
      </c>
      <c r="AL1832" t="s">
        <v>2114</v>
      </c>
      <c r="AM1832" t="s">
        <v>3294</v>
      </c>
      <c r="AN1832" t="s">
        <v>3417</v>
      </c>
    </row>
    <row r="1833" spans="1:40">
      <c r="A1833" s="1" t="s">
        <v>1868</v>
      </c>
      <c r="B1833" t="s">
        <v>2002</v>
      </c>
      <c r="C1833" t="s">
        <v>2012</v>
      </c>
      <c r="D1833" t="s">
        <v>2074</v>
      </c>
      <c r="E1833" t="s">
        <v>2111</v>
      </c>
      <c r="F1833" t="s">
        <v>2123</v>
      </c>
      <c r="G1833" t="s">
        <v>2213</v>
      </c>
      <c r="H1833">
        <v>10460</v>
      </c>
      <c r="I1833" t="s">
        <v>2229</v>
      </c>
      <c r="J1833">
        <v>3</v>
      </c>
      <c r="K1833">
        <v>0</v>
      </c>
      <c r="L1833" t="s">
        <v>2647</v>
      </c>
      <c r="M1833" t="s">
        <v>2678</v>
      </c>
      <c r="P1833" t="s">
        <v>3168</v>
      </c>
      <c r="Q1833" t="s">
        <v>2113</v>
      </c>
      <c r="R1833" t="s">
        <v>3258</v>
      </c>
      <c r="S1833" t="s">
        <v>3271</v>
      </c>
      <c r="X1833" t="s">
        <v>3354</v>
      </c>
      <c r="Y1833" t="s">
        <v>2677</v>
      </c>
      <c r="Z1833" t="s">
        <v>3362</v>
      </c>
      <c r="AA1833" t="s">
        <v>3406</v>
      </c>
      <c r="AB1833" t="s">
        <v>3419</v>
      </c>
      <c r="AC1833">
        <f>HYPERLINK("https://lsnyc.legalserver.org/matter/dynamic-profile/view/1847396","17-1847396")</f>
        <v>0</v>
      </c>
      <c r="AD1833" t="s">
        <v>3443</v>
      </c>
      <c r="AE1833" t="s">
        <v>3477</v>
      </c>
      <c r="AF1833" t="s">
        <v>4812</v>
      </c>
      <c r="AG1833" t="s">
        <v>3362</v>
      </c>
      <c r="AH1833" t="s">
        <v>4904</v>
      </c>
      <c r="AJ1833" t="s">
        <v>4910</v>
      </c>
      <c r="AL1833" t="s">
        <v>2123</v>
      </c>
      <c r="AN1833" t="s">
        <v>3419</v>
      </c>
    </row>
    <row r="1834" spans="1:40">
      <c r="A1834" s="1" t="s">
        <v>1869</v>
      </c>
      <c r="B1834" t="s">
        <v>2001</v>
      </c>
      <c r="C1834" t="s">
        <v>2004</v>
      </c>
      <c r="D1834" t="s">
        <v>2082</v>
      </c>
      <c r="E1834" t="s">
        <v>2112</v>
      </c>
      <c r="F1834" t="s">
        <v>2145</v>
      </c>
      <c r="G1834" t="s">
        <v>2213</v>
      </c>
      <c r="H1834">
        <v>10460</v>
      </c>
      <c r="I1834" t="s">
        <v>2230</v>
      </c>
      <c r="J1834">
        <v>1</v>
      </c>
      <c r="K1834">
        <v>0</v>
      </c>
      <c r="L1834" t="s">
        <v>2648</v>
      </c>
      <c r="M1834" t="s">
        <v>2677</v>
      </c>
      <c r="P1834" t="s">
        <v>3169</v>
      </c>
      <c r="Q1834" t="s">
        <v>2113</v>
      </c>
      <c r="R1834" t="s">
        <v>3258</v>
      </c>
      <c r="S1834" t="s">
        <v>3271</v>
      </c>
      <c r="X1834" t="s">
        <v>3354</v>
      </c>
      <c r="Y1834" t="s">
        <v>2677</v>
      </c>
      <c r="Z1834" t="s">
        <v>3362</v>
      </c>
      <c r="AA1834" t="s">
        <v>3406</v>
      </c>
      <c r="AB1834" t="s">
        <v>3419</v>
      </c>
      <c r="AC1834">
        <f>HYPERLINK("https://lsnyc.legalserver.org/matter/dynamic-profile/view/1846950","17-1846950")</f>
        <v>0</v>
      </c>
      <c r="AD1834" t="s">
        <v>3443</v>
      </c>
      <c r="AE1834" t="s">
        <v>3490</v>
      </c>
      <c r="AF1834" t="s">
        <v>4813</v>
      </c>
      <c r="AG1834" t="s">
        <v>3362</v>
      </c>
      <c r="AH1834" t="s">
        <v>4904</v>
      </c>
      <c r="AL1834" t="s">
        <v>2145</v>
      </c>
      <c r="AN1834" t="s">
        <v>3419</v>
      </c>
    </row>
    <row r="1835" spans="1:40">
      <c r="A1835" s="1" t="s">
        <v>1870</v>
      </c>
      <c r="B1835" t="s">
        <v>2008</v>
      </c>
      <c r="C1835" t="s">
        <v>2016</v>
      </c>
      <c r="D1835" t="s">
        <v>2057</v>
      </c>
      <c r="E1835" t="s">
        <v>2111</v>
      </c>
      <c r="F1835" t="s">
        <v>2125</v>
      </c>
      <c r="G1835" t="s">
        <v>2211</v>
      </c>
      <c r="H1835">
        <v>10031</v>
      </c>
      <c r="I1835" t="s">
        <v>2230</v>
      </c>
      <c r="J1835">
        <v>1</v>
      </c>
      <c r="K1835">
        <v>0</v>
      </c>
      <c r="L1835" t="s">
        <v>2333</v>
      </c>
      <c r="M1835" t="s">
        <v>2677</v>
      </c>
      <c r="P1835" t="s">
        <v>3170</v>
      </c>
      <c r="Q1835" t="s">
        <v>3255</v>
      </c>
      <c r="R1835" t="s">
        <v>3258</v>
      </c>
      <c r="S1835" t="s">
        <v>3271</v>
      </c>
      <c r="X1835" t="s">
        <v>3354</v>
      </c>
      <c r="Y1835" t="s">
        <v>2677</v>
      </c>
      <c r="Z1835" t="s">
        <v>3362</v>
      </c>
      <c r="AA1835" t="s">
        <v>3406</v>
      </c>
      <c r="AB1835" t="s">
        <v>3419</v>
      </c>
      <c r="AC1835">
        <f>HYPERLINK("https://lsnyc.legalserver.org/matter/dynamic-profile/view/1846830","17-1846830")</f>
        <v>0</v>
      </c>
      <c r="AD1835" t="s">
        <v>3442</v>
      </c>
      <c r="AE1835" t="s">
        <v>3460</v>
      </c>
      <c r="AF1835" t="s">
        <v>4814</v>
      </c>
      <c r="AG1835" t="s">
        <v>3362</v>
      </c>
      <c r="AH1835" t="s">
        <v>4904</v>
      </c>
      <c r="AK1835" t="s">
        <v>4911</v>
      </c>
      <c r="AL1835" t="s">
        <v>2125</v>
      </c>
      <c r="AN1835" t="s">
        <v>3419</v>
      </c>
    </row>
    <row r="1836" spans="1:40">
      <c r="A1836" s="1" t="s">
        <v>1871</v>
      </c>
      <c r="B1836" t="s">
        <v>2002</v>
      </c>
      <c r="C1836" t="s">
        <v>2002</v>
      </c>
      <c r="D1836" t="s">
        <v>2108</v>
      </c>
      <c r="E1836" t="s">
        <v>2112</v>
      </c>
      <c r="F1836" t="s">
        <v>2135</v>
      </c>
      <c r="G1836" t="s">
        <v>2213</v>
      </c>
      <c r="H1836">
        <v>10451</v>
      </c>
      <c r="I1836" t="s">
        <v>2229</v>
      </c>
      <c r="J1836">
        <v>2</v>
      </c>
      <c r="K1836">
        <v>0</v>
      </c>
      <c r="L1836" t="s">
        <v>2521</v>
      </c>
      <c r="M1836" t="s">
        <v>2677</v>
      </c>
      <c r="P1836" t="s">
        <v>3171</v>
      </c>
      <c r="Q1836" t="s">
        <v>2113</v>
      </c>
      <c r="R1836" t="s">
        <v>3258</v>
      </c>
      <c r="S1836" t="s">
        <v>3271</v>
      </c>
      <c r="X1836" t="s">
        <v>3354</v>
      </c>
      <c r="Y1836" t="s">
        <v>2677</v>
      </c>
      <c r="Z1836" t="s">
        <v>3362</v>
      </c>
      <c r="AA1836" t="s">
        <v>3406</v>
      </c>
      <c r="AB1836" t="s">
        <v>3419</v>
      </c>
      <c r="AC1836">
        <f>HYPERLINK("https://lsnyc.legalserver.org/matter/dynamic-profile/view/1846559","17-1846559")</f>
        <v>0</v>
      </c>
      <c r="AD1836" t="s">
        <v>3445</v>
      </c>
      <c r="AE1836" t="s">
        <v>3455</v>
      </c>
      <c r="AF1836" t="s">
        <v>4632</v>
      </c>
      <c r="AG1836" t="s">
        <v>3362</v>
      </c>
      <c r="AH1836" t="s">
        <v>4904</v>
      </c>
      <c r="AK1836" t="s">
        <v>4911</v>
      </c>
      <c r="AL1836" t="s">
        <v>2135</v>
      </c>
      <c r="AN1836" t="s">
        <v>3419</v>
      </c>
    </row>
    <row r="1837" spans="1:40">
      <c r="A1837" s="1" t="s">
        <v>1872</v>
      </c>
      <c r="B1837" t="s">
        <v>1998</v>
      </c>
      <c r="C1837" t="s">
        <v>2001</v>
      </c>
      <c r="D1837" t="s">
        <v>2039</v>
      </c>
      <c r="E1837" t="s">
        <v>2112</v>
      </c>
      <c r="F1837" t="s">
        <v>2117</v>
      </c>
      <c r="G1837" t="s">
        <v>2213</v>
      </c>
      <c r="H1837">
        <v>10456</v>
      </c>
      <c r="I1837" t="s">
        <v>2229</v>
      </c>
      <c r="J1837">
        <v>2</v>
      </c>
      <c r="K1837">
        <v>0</v>
      </c>
      <c r="L1837" t="s">
        <v>2260</v>
      </c>
      <c r="M1837" t="s">
        <v>2677</v>
      </c>
      <c r="P1837" t="s">
        <v>2741</v>
      </c>
      <c r="Q1837" t="s">
        <v>2113</v>
      </c>
      <c r="R1837" t="s">
        <v>3259</v>
      </c>
      <c r="S1837" t="s">
        <v>3267</v>
      </c>
      <c r="T1837" t="s">
        <v>3294</v>
      </c>
      <c r="U1837" t="s">
        <v>3329</v>
      </c>
      <c r="X1837" t="s">
        <v>3354</v>
      </c>
      <c r="Y1837" t="s">
        <v>2678</v>
      </c>
      <c r="Z1837" t="s">
        <v>3380</v>
      </c>
      <c r="AA1837" t="s">
        <v>3406</v>
      </c>
      <c r="AB1837" t="s">
        <v>3415</v>
      </c>
      <c r="AC1837">
        <f>HYPERLINK("https://lsnyc.legalserver.org/matter/dynamic-profile/view/1846422","17-1846422")</f>
        <v>0</v>
      </c>
      <c r="AD1837" t="s">
        <v>3444</v>
      </c>
      <c r="AE1837" t="s">
        <v>3451</v>
      </c>
      <c r="AF1837" t="s">
        <v>4815</v>
      </c>
      <c r="AG1837" t="s">
        <v>3380</v>
      </c>
      <c r="AH1837" t="s">
        <v>4906</v>
      </c>
      <c r="AI1837" t="s">
        <v>4909</v>
      </c>
      <c r="AL1837" t="s">
        <v>2117</v>
      </c>
      <c r="AM1837" t="s">
        <v>3294</v>
      </c>
      <c r="AN1837" t="s">
        <v>3415</v>
      </c>
    </row>
    <row r="1838" spans="1:40">
      <c r="A1838" s="1" t="s">
        <v>1873</v>
      </c>
      <c r="B1838" t="s">
        <v>2018</v>
      </c>
      <c r="C1838" t="s">
        <v>2009</v>
      </c>
      <c r="D1838" t="s">
        <v>2060</v>
      </c>
      <c r="E1838" t="s">
        <v>2112</v>
      </c>
      <c r="F1838" t="s">
        <v>2116</v>
      </c>
      <c r="G1838" t="s">
        <v>2212</v>
      </c>
      <c r="H1838">
        <v>11368</v>
      </c>
      <c r="I1838" t="s">
        <v>2229</v>
      </c>
      <c r="J1838">
        <v>6</v>
      </c>
      <c r="K1838">
        <v>5</v>
      </c>
      <c r="L1838" t="s">
        <v>2428</v>
      </c>
      <c r="M1838" t="s">
        <v>2677</v>
      </c>
      <c r="P1838" t="s">
        <v>2957</v>
      </c>
      <c r="Q1838" t="s">
        <v>2113</v>
      </c>
      <c r="R1838" t="s">
        <v>3259</v>
      </c>
      <c r="S1838" t="s">
        <v>3264</v>
      </c>
      <c r="X1838" t="s">
        <v>3354</v>
      </c>
      <c r="Y1838" t="s">
        <v>2677</v>
      </c>
      <c r="Z1838" t="s">
        <v>3357</v>
      </c>
      <c r="AA1838" t="s">
        <v>3406</v>
      </c>
      <c r="AB1838" t="s">
        <v>3412</v>
      </c>
      <c r="AC1838">
        <f>HYPERLINK("https://lsnyc.legalserver.org/matter/dynamic-profile/view/1846496","17-1846496")</f>
        <v>0</v>
      </c>
      <c r="AD1838" t="s">
        <v>3445</v>
      </c>
      <c r="AE1838" t="s">
        <v>3455</v>
      </c>
      <c r="AF1838" t="s">
        <v>4003</v>
      </c>
      <c r="AG1838" t="s">
        <v>3357</v>
      </c>
      <c r="AH1838" t="s">
        <v>4904</v>
      </c>
      <c r="AK1838" t="s">
        <v>4911</v>
      </c>
      <c r="AL1838" t="s">
        <v>2116</v>
      </c>
      <c r="AN1838" t="s">
        <v>3412</v>
      </c>
    </row>
    <row r="1839" spans="1:40">
      <c r="A1839" s="1" t="s">
        <v>1874</v>
      </c>
      <c r="B1839" t="s">
        <v>2015</v>
      </c>
      <c r="C1839" t="s">
        <v>2001</v>
      </c>
      <c r="D1839" t="s">
        <v>2099</v>
      </c>
      <c r="E1839" t="s">
        <v>2112</v>
      </c>
      <c r="F1839" t="s">
        <v>2117</v>
      </c>
      <c r="G1839" t="s">
        <v>2213</v>
      </c>
      <c r="H1839">
        <v>10452</v>
      </c>
      <c r="I1839" t="s">
        <v>2229</v>
      </c>
      <c r="J1839">
        <v>1</v>
      </c>
      <c r="K1839">
        <v>0</v>
      </c>
      <c r="L1839" t="s">
        <v>2433</v>
      </c>
      <c r="M1839" t="s">
        <v>2677</v>
      </c>
      <c r="P1839" t="s">
        <v>3001</v>
      </c>
      <c r="Q1839" t="s">
        <v>2113</v>
      </c>
      <c r="R1839" t="s">
        <v>3258</v>
      </c>
      <c r="S1839" t="s">
        <v>3271</v>
      </c>
      <c r="X1839" t="s">
        <v>3354</v>
      </c>
      <c r="Y1839" t="s">
        <v>2677</v>
      </c>
      <c r="Z1839" t="s">
        <v>3362</v>
      </c>
      <c r="AA1839" t="s">
        <v>3406</v>
      </c>
      <c r="AB1839" t="s">
        <v>3419</v>
      </c>
      <c r="AC1839">
        <f>HYPERLINK("https://lsnyc.legalserver.org/matter/dynamic-profile/view/1846371","17-1846371")</f>
        <v>0</v>
      </c>
      <c r="AD1839" t="s">
        <v>3445</v>
      </c>
      <c r="AE1839" t="s">
        <v>3452</v>
      </c>
      <c r="AF1839" t="s">
        <v>4026</v>
      </c>
      <c r="AG1839" t="s">
        <v>3362</v>
      </c>
      <c r="AH1839" t="s">
        <v>4904</v>
      </c>
      <c r="AK1839" t="s">
        <v>4911</v>
      </c>
      <c r="AL1839" t="s">
        <v>2117</v>
      </c>
      <c r="AN1839" t="s">
        <v>3419</v>
      </c>
    </row>
    <row r="1840" spans="1:40">
      <c r="A1840" s="1" t="s">
        <v>1875</v>
      </c>
      <c r="B1840" t="s">
        <v>2000</v>
      </c>
      <c r="C1840" t="s">
        <v>2009</v>
      </c>
      <c r="D1840" t="s">
        <v>2081</v>
      </c>
      <c r="E1840" t="s">
        <v>2112</v>
      </c>
      <c r="F1840" t="s">
        <v>2116</v>
      </c>
      <c r="G1840" t="s">
        <v>2212</v>
      </c>
      <c r="H1840">
        <v>11368</v>
      </c>
      <c r="I1840" t="s">
        <v>2229</v>
      </c>
      <c r="J1840">
        <v>3</v>
      </c>
      <c r="K1840">
        <v>2</v>
      </c>
      <c r="L1840" t="s">
        <v>2283</v>
      </c>
      <c r="M1840" t="s">
        <v>2677</v>
      </c>
      <c r="P1840" t="s">
        <v>3172</v>
      </c>
      <c r="Q1840" t="s">
        <v>2113</v>
      </c>
      <c r="R1840" t="s">
        <v>3259</v>
      </c>
      <c r="S1840" t="s">
        <v>3264</v>
      </c>
      <c r="X1840" t="s">
        <v>3354</v>
      </c>
      <c r="Y1840" t="s">
        <v>2677</v>
      </c>
      <c r="Z1840" t="s">
        <v>3357</v>
      </c>
      <c r="AA1840" t="s">
        <v>3406</v>
      </c>
      <c r="AB1840" t="s">
        <v>3412</v>
      </c>
      <c r="AC1840">
        <f>HYPERLINK("https://lsnyc.legalserver.org/matter/dynamic-profile/view/1846376","17-1846376")</f>
        <v>0</v>
      </c>
      <c r="AD1840" t="s">
        <v>3445</v>
      </c>
      <c r="AE1840" t="s">
        <v>3455</v>
      </c>
      <c r="AF1840" t="s">
        <v>4167</v>
      </c>
      <c r="AG1840" t="s">
        <v>3357</v>
      </c>
      <c r="AH1840" t="s">
        <v>4904</v>
      </c>
      <c r="AK1840" t="s">
        <v>4911</v>
      </c>
      <c r="AL1840" t="s">
        <v>2116</v>
      </c>
      <c r="AN1840" t="s">
        <v>3412</v>
      </c>
    </row>
    <row r="1841" spans="1:40">
      <c r="A1841" s="1" t="s">
        <v>1876</v>
      </c>
      <c r="B1841" t="s">
        <v>1998</v>
      </c>
      <c r="C1841" t="s">
        <v>2016</v>
      </c>
      <c r="D1841" t="s">
        <v>2045</v>
      </c>
      <c r="E1841" t="s">
        <v>2112</v>
      </c>
      <c r="F1841" t="s">
        <v>2117</v>
      </c>
      <c r="G1841" t="s">
        <v>2216</v>
      </c>
      <c r="H1841">
        <v>10303</v>
      </c>
      <c r="I1841" t="s">
        <v>2229</v>
      </c>
      <c r="J1841">
        <v>4</v>
      </c>
      <c r="K1841">
        <v>3</v>
      </c>
      <c r="L1841" t="s">
        <v>2260</v>
      </c>
      <c r="M1841" t="s">
        <v>2677</v>
      </c>
      <c r="P1841" t="s">
        <v>3173</v>
      </c>
      <c r="Q1841" t="s">
        <v>3255</v>
      </c>
      <c r="R1841" t="s">
        <v>3259</v>
      </c>
      <c r="S1841" t="s">
        <v>3267</v>
      </c>
      <c r="T1841" t="s">
        <v>3294</v>
      </c>
      <c r="U1841" t="s">
        <v>3165</v>
      </c>
      <c r="X1841" t="s">
        <v>3354</v>
      </c>
      <c r="Y1841" t="s">
        <v>2678</v>
      </c>
      <c r="Z1841" t="s">
        <v>3359</v>
      </c>
      <c r="AA1841" t="s">
        <v>3406</v>
      </c>
      <c r="AB1841" t="s">
        <v>3415</v>
      </c>
      <c r="AC1841">
        <f>HYPERLINK("https://lsnyc.legalserver.org/matter/dynamic-profile/view/1845051","17-1845051")</f>
        <v>0</v>
      </c>
      <c r="AD1841" t="s">
        <v>3447</v>
      </c>
      <c r="AE1841" t="s">
        <v>3459</v>
      </c>
      <c r="AF1841" t="s">
        <v>4816</v>
      </c>
      <c r="AG1841" t="s">
        <v>3359</v>
      </c>
      <c r="AH1841" t="s">
        <v>4906</v>
      </c>
      <c r="AK1841" t="s">
        <v>4911</v>
      </c>
      <c r="AL1841" t="s">
        <v>2117</v>
      </c>
      <c r="AM1841" t="s">
        <v>3294</v>
      </c>
      <c r="AN1841" t="s">
        <v>3415</v>
      </c>
    </row>
    <row r="1842" spans="1:40">
      <c r="A1842" s="1" t="s">
        <v>1877</v>
      </c>
      <c r="B1842" t="s">
        <v>2009</v>
      </c>
      <c r="C1842" t="s">
        <v>2003</v>
      </c>
      <c r="D1842" t="s">
        <v>2067</v>
      </c>
      <c r="E1842" t="s">
        <v>2112</v>
      </c>
      <c r="F1842" t="s">
        <v>2120</v>
      </c>
      <c r="G1842" t="s">
        <v>2211</v>
      </c>
      <c r="H1842">
        <v>10035</v>
      </c>
      <c r="I1842" t="s">
        <v>2230</v>
      </c>
      <c r="J1842">
        <v>6</v>
      </c>
      <c r="K1842">
        <v>4</v>
      </c>
      <c r="L1842" t="s">
        <v>2649</v>
      </c>
      <c r="M1842" t="s">
        <v>2677</v>
      </c>
      <c r="P1842" t="s">
        <v>3173</v>
      </c>
      <c r="Q1842" t="s">
        <v>2113</v>
      </c>
      <c r="R1842" t="s">
        <v>3258</v>
      </c>
      <c r="S1842" t="s">
        <v>3286</v>
      </c>
      <c r="X1842" t="s">
        <v>3354</v>
      </c>
      <c r="Y1842" t="s">
        <v>2678</v>
      </c>
      <c r="Z1842" t="s">
        <v>3388</v>
      </c>
      <c r="AA1842" t="s">
        <v>3406</v>
      </c>
      <c r="AB1842" t="s">
        <v>3434</v>
      </c>
      <c r="AC1842">
        <f>HYPERLINK("https://lsnyc.legalserver.org/matter/dynamic-profile/view/1846186","17-1846186")</f>
        <v>0</v>
      </c>
      <c r="AD1842" t="s">
        <v>3443</v>
      </c>
      <c r="AE1842" t="s">
        <v>3450</v>
      </c>
      <c r="AF1842" t="s">
        <v>4817</v>
      </c>
      <c r="AG1842" t="s">
        <v>3388</v>
      </c>
      <c r="AH1842" t="s">
        <v>4904</v>
      </c>
      <c r="AK1842" t="s">
        <v>4911</v>
      </c>
      <c r="AL1842" t="s">
        <v>2120</v>
      </c>
      <c r="AN1842" t="s">
        <v>3434</v>
      </c>
    </row>
    <row r="1843" spans="1:40">
      <c r="A1843" s="1" t="s">
        <v>1878</v>
      </c>
      <c r="B1843" t="s">
        <v>2001</v>
      </c>
      <c r="C1843" t="s">
        <v>2012</v>
      </c>
      <c r="D1843" t="s">
        <v>2040</v>
      </c>
      <c r="E1843" t="s">
        <v>2111</v>
      </c>
      <c r="F1843" t="s">
        <v>2115</v>
      </c>
      <c r="G1843" t="s">
        <v>2211</v>
      </c>
      <c r="H1843">
        <v>11207</v>
      </c>
      <c r="I1843" t="s">
        <v>2229</v>
      </c>
      <c r="J1843">
        <v>3</v>
      </c>
      <c r="K1843">
        <v>2</v>
      </c>
      <c r="L1843" t="s">
        <v>2260</v>
      </c>
      <c r="M1843" t="s">
        <v>2677</v>
      </c>
      <c r="P1843" t="s">
        <v>3174</v>
      </c>
      <c r="Q1843" t="s">
        <v>2113</v>
      </c>
      <c r="R1843" t="s">
        <v>3259</v>
      </c>
      <c r="S1843" t="s">
        <v>3267</v>
      </c>
      <c r="T1843" t="s">
        <v>3294</v>
      </c>
      <c r="X1843" t="s">
        <v>3354</v>
      </c>
      <c r="Y1843" t="s">
        <v>2678</v>
      </c>
      <c r="Z1843" t="s">
        <v>3359</v>
      </c>
      <c r="AA1843" t="s">
        <v>3406</v>
      </c>
      <c r="AB1843" t="s">
        <v>3415</v>
      </c>
      <c r="AC1843">
        <f>HYPERLINK("https://lsnyc.legalserver.org/matter/dynamic-profile/view/1846134","17-1846134")</f>
        <v>0</v>
      </c>
      <c r="AD1843" t="s">
        <v>3446</v>
      </c>
      <c r="AE1843" t="s">
        <v>3481</v>
      </c>
      <c r="AF1843" t="s">
        <v>4584</v>
      </c>
      <c r="AG1843" t="s">
        <v>3359</v>
      </c>
      <c r="AH1843" t="s">
        <v>4906</v>
      </c>
      <c r="AK1843" t="s">
        <v>4911</v>
      </c>
      <c r="AL1843" t="s">
        <v>2115</v>
      </c>
      <c r="AM1843" t="s">
        <v>3294</v>
      </c>
      <c r="AN1843" t="s">
        <v>3415</v>
      </c>
    </row>
    <row r="1844" spans="1:40">
      <c r="A1844" s="1" t="s">
        <v>1879</v>
      </c>
      <c r="B1844" t="s">
        <v>2001</v>
      </c>
      <c r="C1844" t="s">
        <v>2002</v>
      </c>
      <c r="D1844" t="s">
        <v>2036</v>
      </c>
      <c r="E1844" t="s">
        <v>2111</v>
      </c>
      <c r="F1844" t="s">
        <v>2115</v>
      </c>
      <c r="G1844" t="s">
        <v>2214</v>
      </c>
      <c r="H1844">
        <v>11207</v>
      </c>
      <c r="I1844" t="s">
        <v>2229</v>
      </c>
      <c r="J1844">
        <v>3</v>
      </c>
      <c r="K1844">
        <v>2</v>
      </c>
      <c r="L1844" t="s">
        <v>2260</v>
      </c>
      <c r="M1844" t="s">
        <v>2677</v>
      </c>
      <c r="P1844" t="s">
        <v>3174</v>
      </c>
      <c r="Q1844" t="s">
        <v>2113</v>
      </c>
      <c r="R1844" t="s">
        <v>3259</v>
      </c>
      <c r="S1844" t="s">
        <v>3267</v>
      </c>
      <c r="T1844" t="s">
        <v>3294</v>
      </c>
      <c r="X1844" t="s">
        <v>3354</v>
      </c>
      <c r="Y1844" t="s">
        <v>2678</v>
      </c>
      <c r="Z1844" t="s">
        <v>3359</v>
      </c>
      <c r="AA1844" t="s">
        <v>3406</v>
      </c>
      <c r="AB1844" t="s">
        <v>3415</v>
      </c>
      <c r="AC1844">
        <f>HYPERLINK("https://lsnyc.legalserver.org/matter/dynamic-profile/view/1846135","17-1846135")</f>
        <v>0</v>
      </c>
      <c r="AD1844" t="s">
        <v>3446</v>
      </c>
      <c r="AE1844" t="s">
        <v>3481</v>
      </c>
      <c r="AF1844" t="s">
        <v>4585</v>
      </c>
      <c r="AG1844" t="s">
        <v>3359</v>
      </c>
      <c r="AH1844" t="s">
        <v>4906</v>
      </c>
      <c r="AK1844" t="s">
        <v>4911</v>
      </c>
      <c r="AL1844" t="s">
        <v>2115</v>
      </c>
      <c r="AM1844" t="s">
        <v>3294</v>
      </c>
      <c r="AN1844" t="s">
        <v>3415</v>
      </c>
    </row>
    <row r="1845" spans="1:40">
      <c r="A1845" s="1" t="s">
        <v>1880</v>
      </c>
      <c r="B1845" t="s">
        <v>2017</v>
      </c>
      <c r="C1845" t="s">
        <v>2009</v>
      </c>
      <c r="D1845" t="s">
        <v>2056</v>
      </c>
      <c r="E1845" t="s">
        <v>2112</v>
      </c>
      <c r="F1845" t="s">
        <v>2120</v>
      </c>
      <c r="G1845" t="s">
        <v>2214</v>
      </c>
      <c r="H1845">
        <v>11203</v>
      </c>
      <c r="I1845" t="s">
        <v>2230</v>
      </c>
      <c r="J1845">
        <v>3</v>
      </c>
      <c r="K1845">
        <v>2</v>
      </c>
      <c r="L1845" t="s">
        <v>2650</v>
      </c>
      <c r="M1845" t="s">
        <v>2677</v>
      </c>
      <c r="P1845" t="s">
        <v>3175</v>
      </c>
      <c r="Q1845" t="s">
        <v>2113</v>
      </c>
      <c r="R1845" t="s">
        <v>3259</v>
      </c>
      <c r="S1845" t="s">
        <v>3270</v>
      </c>
      <c r="X1845" t="s">
        <v>3354</v>
      </c>
      <c r="Y1845" t="s">
        <v>2677</v>
      </c>
      <c r="Z1845" t="s">
        <v>3362</v>
      </c>
      <c r="AA1845" t="s">
        <v>3406</v>
      </c>
      <c r="AB1845" t="s">
        <v>3418</v>
      </c>
      <c r="AC1845">
        <f>HYPERLINK("https://lsnyc.legalserver.org/matter/dynamic-profile/view/1845877","17-1845877")</f>
        <v>0</v>
      </c>
      <c r="AD1845" t="s">
        <v>3443</v>
      </c>
      <c r="AE1845" t="s">
        <v>3477</v>
      </c>
      <c r="AF1845" t="s">
        <v>4818</v>
      </c>
      <c r="AG1845" t="s">
        <v>3362</v>
      </c>
      <c r="AH1845" t="s">
        <v>4904</v>
      </c>
      <c r="AK1845" t="s">
        <v>4911</v>
      </c>
      <c r="AL1845" t="s">
        <v>2120</v>
      </c>
      <c r="AN1845" t="s">
        <v>3418</v>
      </c>
    </row>
    <row r="1846" spans="1:40">
      <c r="A1846" s="1" t="s">
        <v>1881</v>
      </c>
      <c r="B1846" t="s">
        <v>1998</v>
      </c>
      <c r="C1846" t="s">
        <v>2000</v>
      </c>
      <c r="D1846" t="s">
        <v>2044</v>
      </c>
      <c r="E1846" t="s">
        <v>2111</v>
      </c>
      <c r="F1846" t="s">
        <v>2122</v>
      </c>
      <c r="G1846" t="s">
        <v>2214</v>
      </c>
      <c r="H1846">
        <v>11207</v>
      </c>
      <c r="I1846" t="s">
        <v>2230</v>
      </c>
      <c r="J1846">
        <v>1</v>
      </c>
      <c r="K1846">
        <v>0</v>
      </c>
      <c r="L1846" t="s">
        <v>2260</v>
      </c>
      <c r="M1846" t="s">
        <v>2677</v>
      </c>
      <c r="P1846" t="s">
        <v>3176</v>
      </c>
      <c r="Q1846" t="s">
        <v>2113</v>
      </c>
      <c r="R1846" t="s">
        <v>3259</v>
      </c>
      <c r="S1846" t="s">
        <v>3268</v>
      </c>
      <c r="T1846" t="s">
        <v>3294</v>
      </c>
      <c r="U1846" t="s">
        <v>3134</v>
      </c>
      <c r="X1846" t="s">
        <v>3354</v>
      </c>
      <c r="Y1846" t="s">
        <v>2677</v>
      </c>
      <c r="Z1846" t="s">
        <v>3368</v>
      </c>
      <c r="AA1846" t="s">
        <v>3406</v>
      </c>
      <c r="AB1846" t="s">
        <v>3416</v>
      </c>
      <c r="AC1846">
        <f>HYPERLINK("https://lsnyc.legalserver.org/matter/dynamic-profile/view/1845702","17-1845702")</f>
        <v>0</v>
      </c>
      <c r="AD1846" t="s">
        <v>3446</v>
      </c>
      <c r="AE1846" t="s">
        <v>3456</v>
      </c>
      <c r="AF1846" t="s">
        <v>4819</v>
      </c>
      <c r="AG1846" t="s">
        <v>3368</v>
      </c>
      <c r="AH1846" t="s">
        <v>4904</v>
      </c>
      <c r="AK1846" t="s">
        <v>4911</v>
      </c>
      <c r="AL1846" t="s">
        <v>2122</v>
      </c>
      <c r="AM1846" t="s">
        <v>3294</v>
      </c>
      <c r="AN1846" t="s">
        <v>3416</v>
      </c>
    </row>
    <row r="1847" spans="1:40">
      <c r="A1847" s="1" t="s">
        <v>1882</v>
      </c>
      <c r="B1847" t="s">
        <v>2004</v>
      </c>
      <c r="C1847" t="s">
        <v>2017</v>
      </c>
      <c r="D1847" t="s">
        <v>2055</v>
      </c>
      <c r="E1847" t="s">
        <v>2111</v>
      </c>
      <c r="F1847" t="s">
        <v>2129</v>
      </c>
      <c r="G1847" t="s">
        <v>2214</v>
      </c>
      <c r="H1847">
        <v>11230</v>
      </c>
      <c r="I1847" t="s">
        <v>2232</v>
      </c>
      <c r="J1847">
        <v>2</v>
      </c>
      <c r="K1847">
        <v>0</v>
      </c>
      <c r="L1847" t="s">
        <v>2260</v>
      </c>
      <c r="M1847" t="s">
        <v>2677</v>
      </c>
      <c r="P1847" t="s">
        <v>3177</v>
      </c>
      <c r="Q1847" t="s">
        <v>2113</v>
      </c>
      <c r="R1847" t="s">
        <v>3259</v>
      </c>
      <c r="S1847" t="s">
        <v>3268</v>
      </c>
      <c r="T1847" t="s">
        <v>3294</v>
      </c>
      <c r="U1847" t="s">
        <v>3134</v>
      </c>
      <c r="X1847" t="s">
        <v>3354</v>
      </c>
      <c r="Y1847" t="s">
        <v>2677</v>
      </c>
      <c r="Z1847" t="s">
        <v>3368</v>
      </c>
      <c r="AA1847" t="s">
        <v>3406</v>
      </c>
      <c r="AB1847" t="s">
        <v>3416</v>
      </c>
      <c r="AC1847">
        <f>HYPERLINK("https://lsnyc.legalserver.org/matter/dynamic-profile/view/1845509","17-1845509")</f>
        <v>0</v>
      </c>
      <c r="AD1847" t="s">
        <v>3446</v>
      </c>
      <c r="AE1847" t="s">
        <v>3456</v>
      </c>
      <c r="AF1847" t="s">
        <v>4820</v>
      </c>
      <c r="AG1847" t="s">
        <v>3368</v>
      </c>
      <c r="AH1847" t="s">
        <v>4904</v>
      </c>
      <c r="AK1847" t="s">
        <v>4911</v>
      </c>
      <c r="AL1847" t="s">
        <v>2129</v>
      </c>
      <c r="AM1847" t="s">
        <v>3294</v>
      </c>
      <c r="AN1847" t="s">
        <v>3416</v>
      </c>
    </row>
    <row r="1848" spans="1:40">
      <c r="A1848" s="1" t="s">
        <v>1883</v>
      </c>
      <c r="B1848" t="s">
        <v>2016</v>
      </c>
      <c r="C1848" t="s">
        <v>1998</v>
      </c>
      <c r="D1848" t="s">
        <v>2033</v>
      </c>
      <c r="E1848" t="s">
        <v>2112</v>
      </c>
      <c r="F1848" t="s">
        <v>2117</v>
      </c>
      <c r="G1848" t="s">
        <v>2213</v>
      </c>
      <c r="H1848">
        <v>10457</v>
      </c>
      <c r="I1848" t="s">
        <v>2229</v>
      </c>
      <c r="J1848">
        <v>2</v>
      </c>
      <c r="K1848">
        <v>0</v>
      </c>
      <c r="L1848" t="s">
        <v>2651</v>
      </c>
      <c r="M1848" t="s">
        <v>2677</v>
      </c>
      <c r="P1848" t="s">
        <v>3177</v>
      </c>
      <c r="Q1848" t="s">
        <v>2113</v>
      </c>
      <c r="R1848" t="s">
        <v>3258</v>
      </c>
      <c r="S1848" t="s">
        <v>3271</v>
      </c>
      <c r="X1848" t="s">
        <v>3354</v>
      </c>
      <c r="Y1848" t="s">
        <v>2677</v>
      </c>
      <c r="Z1848" t="s">
        <v>3362</v>
      </c>
      <c r="AA1848" t="s">
        <v>3406</v>
      </c>
      <c r="AB1848" t="s">
        <v>3419</v>
      </c>
      <c r="AC1848">
        <f>HYPERLINK("https://lsnyc.legalserver.org/matter/dynamic-profile/view/1845558","17-1845558")</f>
        <v>0</v>
      </c>
      <c r="AD1848" t="s">
        <v>3443</v>
      </c>
      <c r="AE1848" t="s">
        <v>3477</v>
      </c>
      <c r="AF1848" t="s">
        <v>4821</v>
      </c>
      <c r="AG1848" t="s">
        <v>3362</v>
      </c>
      <c r="AH1848" t="s">
        <v>4904</v>
      </c>
      <c r="AK1848" t="s">
        <v>4911</v>
      </c>
      <c r="AL1848" t="s">
        <v>2117</v>
      </c>
      <c r="AN1848" t="s">
        <v>3419</v>
      </c>
    </row>
    <row r="1849" spans="1:40">
      <c r="A1849" s="1" t="s">
        <v>1884</v>
      </c>
      <c r="B1849" t="s">
        <v>2000</v>
      </c>
      <c r="C1849" t="s">
        <v>1998</v>
      </c>
      <c r="D1849" t="s">
        <v>2078</v>
      </c>
      <c r="E1849" t="s">
        <v>2112</v>
      </c>
      <c r="F1849" t="s">
        <v>2160</v>
      </c>
      <c r="G1849" t="s">
        <v>2216</v>
      </c>
      <c r="H1849">
        <v>10301</v>
      </c>
      <c r="I1849" t="s">
        <v>2230</v>
      </c>
      <c r="J1849">
        <v>4</v>
      </c>
      <c r="K1849">
        <v>2</v>
      </c>
      <c r="L1849" t="s">
        <v>2275</v>
      </c>
      <c r="M1849" t="s">
        <v>2677</v>
      </c>
      <c r="P1849" t="s">
        <v>2804</v>
      </c>
      <c r="Q1849" t="s">
        <v>2113</v>
      </c>
      <c r="R1849" t="s">
        <v>3259</v>
      </c>
      <c r="S1849" t="s">
        <v>3270</v>
      </c>
      <c r="T1849" t="s">
        <v>3294</v>
      </c>
      <c r="U1849" t="s">
        <v>2804</v>
      </c>
      <c r="X1849" t="s">
        <v>3354</v>
      </c>
      <c r="Y1849" t="s">
        <v>2677</v>
      </c>
      <c r="Z1849" t="s">
        <v>3362</v>
      </c>
      <c r="AA1849" t="s">
        <v>3406</v>
      </c>
      <c r="AB1849" t="s">
        <v>3418</v>
      </c>
      <c r="AC1849">
        <f>HYPERLINK("https://lsnyc.legalserver.org/matter/dynamic-profile/view/1845322","17-1845322")</f>
        <v>0</v>
      </c>
      <c r="AD1849" t="s">
        <v>3443</v>
      </c>
      <c r="AE1849" t="s">
        <v>3449</v>
      </c>
      <c r="AF1849" t="s">
        <v>4822</v>
      </c>
      <c r="AG1849" t="s">
        <v>3362</v>
      </c>
      <c r="AH1849" t="s">
        <v>4904</v>
      </c>
      <c r="AL1849" t="s">
        <v>2160</v>
      </c>
      <c r="AM1849" t="s">
        <v>3294</v>
      </c>
      <c r="AN1849" t="s">
        <v>3418</v>
      </c>
    </row>
    <row r="1850" spans="1:40">
      <c r="A1850" s="1" t="s">
        <v>1885</v>
      </c>
      <c r="B1850" t="s">
        <v>2017</v>
      </c>
      <c r="C1850" t="s">
        <v>2001</v>
      </c>
      <c r="D1850" t="s">
        <v>2096</v>
      </c>
      <c r="E1850" t="s">
        <v>2111</v>
      </c>
      <c r="F1850" t="s">
        <v>2176</v>
      </c>
      <c r="G1850" t="s">
        <v>2211</v>
      </c>
      <c r="H1850">
        <v>10040</v>
      </c>
      <c r="I1850" t="s">
        <v>2230</v>
      </c>
      <c r="J1850">
        <v>1</v>
      </c>
      <c r="K1850">
        <v>0</v>
      </c>
      <c r="L1850" t="s">
        <v>2281</v>
      </c>
      <c r="M1850" t="s">
        <v>2677</v>
      </c>
      <c r="P1850" t="s">
        <v>3178</v>
      </c>
      <c r="Q1850" t="s">
        <v>2113</v>
      </c>
      <c r="R1850" t="s">
        <v>3259</v>
      </c>
      <c r="S1850" t="s">
        <v>3270</v>
      </c>
      <c r="X1850" t="s">
        <v>3354</v>
      </c>
      <c r="Y1850" t="s">
        <v>2677</v>
      </c>
      <c r="Z1850" t="s">
        <v>3362</v>
      </c>
      <c r="AA1850" t="s">
        <v>3406</v>
      </c>
      <c r="AB1850" t="s">
        <v>3418</v>
      </c>
      <c r="AC1850">
        <f>HYPERLINK("https://lsnyc.legalserver.org/matter/dynamic-profile/view/1845156","17-1845156")</f>
        <v>0</v>
      </c>
      <c r="AD1850" t="s">
        <v>3445</v>
      </c>
      <c r="AE1850" t="s">
        <v>3455</v>
      </c>
      <c r="AF1850" t="s">
        <v>4823</v>
      </c>
      <c r="AG1850" t="s">
        <v>3362</v>
      </c>
      <c r="AH1850" t="s">
        <v>4904</v>
      </c>
      <c r="AK1850" t="s">
        <v>4911</v>
      </c>
      <c r="AL1850" t="s">
        <v>2176</v>
      </c>
      <c r="AN1850" t="s">
        <v>3418</v>
      </c>
    </row>
    <row r="1851" spans="1:40">
      <c r="A1851" s="1" t="s">
        <v>1886</v>
      </c>
      <c r="B1851" t="s">
        <v>2000</v>
      </c>
      <c r="C1851" t="s">
        <v>2000</v>
      </c>
      <c r="D1851" t="s">
        <v>2047</v>
      </c>
      <c r="E1851" t="s">
        <v>2111</v>
      </c>
      <c r="F1851" t="s">
        <v>2183</v>
      </c>
      <c r="G1851" t="s">
        <v>2216</v>
      </c>
      <c r="H1851">
        <v>10304</v>
      </c>
      <c r="I1851" t="s">
        <v>2230</v>
      </c>
      <c r="J1851">
        <v>6</v>
      </c>
      <c r="K1851">
        <v>2</v>
      </c>
      <c r="L1851" t="s">
        <v>2652</v>
      </c>
      <c r="M1851" t="s">
        <v>2678</v>
      </c>
      <c r="P1851" t="s">
        <v>3179</v>
      </c>
      <c r="Q1851" t="s">
        <v>2113</v>
      </c>
      <c r="R1851" t="s">
        <v>3259</v>
      </c>
      <c r="S1851" t="s">
        <v>3270</v>
      </c>
      <c r="T1851" t="s">
        <v>3298</v>
      </c>
      <c r="X1851" t="s">
        <v>3354</v>
      </c>
      <c r="Y1851" t="s">
        <v>2678</v>
      </c>
      <c r="Z1851" t="s">
        <v>3359</v>
      </c>
      <c r="AA1851" t="s">
        <v>3406</v>
      </c>
      <c r="AB1851" t="s">
        <v>3418</v>
      </c>
      <c r="AC1851">
        <f>HYPERLINK("https://lsnyc.legalserver.org/matter/dynamic-profile/view/1845017","17-1845017")</f>
        <v>0</v>
      </c>
      <c r="AD1851" t="s">
        <v>3446</v>
      </c>
      <c r="AE1851" t="s">
        <v>3481</v>
      </c>
      <c r="AF1851" t="s">
        <v>4824</v>
      </c>
      <c r="AG1851" t="s">
        <v>3359</v>
      </c>
      <c r="AH1851" t="s">
        <v>4906</v>
      </c>
      <c r="AJ1851" t="s">
        <v>4910</v>
      </c>
      <c r="AL1851" t="s">
        <v>2183</v>
      </c>
      <c r="AM1851" t="s">
        <v>3298</v>
      </c>
      <c r="AN1851" t="s">
        <v>3418</v>
      </c>
    </row>
    <row r="1852" spans="1:40">
      <c r="A1852" s="1" t="s">
        <v>1887</v>
      </c>
      <c r="B1852" t="s">
        <v>1998</v>
      </c>
      <c r="C1852" t="s">
        <v>2003</v>
      </c>
      <c r="D1852" t="s">
        <v>2064</v>
      </c>
      <c r="E1852" t="s">
        <v>2111</v>
      </c>
      <c r="F1852" t="s">
        <v>2117</v>
      </c>
      <c r="G1852" t="s">
        <v>2216</v>
      </c>
      <c r="H1852">
        <v>10305</v>
      </c>
      <c r="I1852" t="s">
        <v>2229</v>
      </c>
      <c r="J1852">
        <v>10</v>
      </c>
      <c r="K1852">
        <v>5</v>
      </c>
      <c r="L1852" t="s">
        <v>2260</v>
      </c>
      <c r="M1852" t="s">
        <v>2677</v>
      </c>
      <c r="P1852" t="s">
        <v>3179</v>
      </c>
      <c r="Q1852" t="s">
        <v>2113</v>
      </c>
      <c r="R1852" t="s">
        <v>3259</v>
      </c>
      <c r="S1852" t="s">
        <v>3272</v>
      </c>
      <c r="T1852" t="s">
        <v>3300</v>
      </c>
      <c r="U1852" t="s">
        <v>3121</v>
      </c>
      <c r="X1852" t="s">
        <v>3354</v>
      </c>
      <c r="Y1852" t="s">
        <v>2678</v>
      </c>
      <c r="Z1852" t="s">
        <v>3383</v>
      </c>
      <c r="AA1852" t="s">
        <v>3406</v>
      </c>
      <c r="AB1852" t="s">
        <v>3420</v>
      </c>
      <c r="AC1852">
        <f>HYPERLINK("https://lsnyc.legalserver.org/matter/dynamic-profile/view/1845531","17-1845531")</f>
        <v>0</v>
      </c>
      <c r="AD1852" t="s">
        <v>3447</v>
      </c>
      <c r="AE1852" t="s">
        <v>3463</v>
      </c>
      <c r="AF1852" t="s">
        <v>4711</v>
      </c>
      <c r="AG1852" t="s">
        <v>3383</v>
      </c>
      <c r="AH1852" t="s">
        <v>4905</v>
      </c>
      <c r="AK1852" t="s">
        <v>4911</v>
      </c>
      <c r="AL1852" t="s">
        <v>2117</v>
      </c>
      <c r="AM1852" t="s">
        <v>3300</v>
      </c>
      <c r="AN1852" t="s">
        <v>3420</v>
      </c>
    </row>
    <row r="1853" spans="1:40">
      <c r="A1853" s="1" t="s">
        <v>1888</v>
      </c>
      <c r="B1853" t="s">
        <v>2008</v>
      </c>
      <c r="C1853" t="s">
        <v>2016</v>
      </c>
      <c r="D1853" t="s">
        <v>2072</v>
      </c>
      <c r="E1853" t="s">
        <v>2111</v>
      </c>
      <c r="F1853" t="s">
        <v>2144</v>
      </c>
      <c r="G1853" t="s">
        <v>2216</v>
      </c>
      <c r="H1853">
        <v>10302</v>
      </c>
      <c r="I1853" t="s">
        <v>2230</v>
      </c>
      <c r="J1853">
        <v>1</v>
      </c>
      <c r="K1853">
        <v>0</v>
      </c>
      <c r="L1853" t="s">
        <v>2260</v>
      </c>
      <c r="M1853" t="s">
        <v>2677</v>
      </c>
      <c r="P1853" t="s">
        <v>3180</v>
      </c>
      <c r="Q1853" t="s">
        <v>3255</v>
      </c>
      <c r="R1853" t="s">
        <v>3259</v>
      </c>
      <c r="S1853" t="s">
        <v>3272</v>
      </c>
      <c r="T1853" t="s">
        <v>3294</v>
      </c>
      <c r="U1853" t="s">
        <v>3330</v>
      </c>
      <c r="X1853" t="s">
        <v>3354</v>
      </c>
      <c r="Y1853" t="s">
        <v>2678</v>
      </c>
      <c r="Z1853" t="s">
        <v>3364</v>
      </c>
      <c r="AA1853" t="s">
        <v>3406</v>
      </c>
      <c r="AB1853" t="s">
        <v>3420</v>
      </c>
      <c r="AC1853">
        <f>HYPERLINK("https://lsnyc.legalserver.org/matter/dynamic-profile/view/1844898","17-1844898")</f>
        <v>0</v>
      </c>
      <c r="AD1853" t="s">
        <v>3447</v>
      </c>
      <c r="AE1853" t="s">
        <v>3459</v>
      </c>
      <c r="AF1853" t="s">
        <v>4801</v>
      </c>
      <c r="AG1853" t="s">
        <v>3364</v>
      </c>
      <c r="AH1853" t="s">
        <v>4904</v>
      </c>
      <c r="AK1853" t="s">
        <v>4911</v>
      </c>
      <c r="AL1853" t="s">
        <v>2144</v>
      </c>
      <c r="AM1853" t="s">
        <v>3294</v>
      </c>
      <c r="AN1853" t="s">
        <v>3420</v>
      </c>
    </row>
    <row r="1854" spans="1:40">
      <c r="A1854" s="1" t="s">
        <v>1889</v>
      </c>
      <c r="B1854" t="s">
        <v>1998</v>
      </c>
      <c r="C1854" t="s">
        <v>2016</v>
      </c>
      <c r="D1854" t="s">
        <v>2086</v>
      </c>
      <c r="E1854" t="s">
        <v>2112</v>
      </c>
      <c r="F1854" t="s">
        <v>2123</v>
      </c>
      <c r="G1854" t="s">
        <v>2213</v>
      </c>
      <c r="H1854">
        <v>10456</v>
      </c>
      <c r="I1854" t="s">
        <v>2229</v>
      </c>
      <c r="J1854">
        <v>1</v>
      </c>
      <c r="K1854">
        <v>0</v>
      </c>
      <c r="L1854" t="s">
        <v>2299</v>
      </c>
      <c r="M1854" t="s">
        <v>2677</v>
      </c>
      <c r="P1854" t="s">
        <v>3181</v>
      </c>
      <c r="Q1854" t="s">
        <v>2113</v>
      </c>
      <c r="R1854" t="s">
        <v>3259</v>
      </c>
      <c r="S1854" t="s">
        <v>3270</v>
      </c>
      <c r="X1854" t="s">
        <v>3354</v>
      </c>
      <c r="Y1854" t="s">
        <v>2677</v>
      </c>
      <c r="Z1854" t="s">
        <v>3362</v>
      </c>
      <c r="AA1854" t="s">
        <v>3406</v>
      </c>
      <c r="AB1854" t="s">
        <v>3418</v>
      </c>
      <c r="AC1854">
        <f>HYPERLINK("https://lsnyc.legalserver.org/matter/dynamic-profile/view/1844510","17-1844510")</f>
        <v>0</v>
      </c>
      <c r="AD1854" t="s">
        <v>3445</v>
      </c>
      <c r="AE1854" t="s">
        <v>3455</v>
      </c>
      <c r="AF1854" t="s">
        <v>4628</v>
      </c>
      <c r="AG1854" t="s">
        <v>3362</v>
      </c>
      <c r="AH1854" t="s">
        <v>4904</v>
      </c>
      <c r="AK1854" t="s">
        <v>4911</v>
      </c>
      <c r="AL1854" t="s">
        <v>2123</v>
      </c>
      <c r="AN1854" t="s">
        <v>3418</v>
      </c>
    </row>
    <row r="1855" spans="1:40">
      <c r="A1855" s="1" t="s">
        <v>1890</v>
      </c>
      <c r="B1855" t="s">
        <v>2001</v>
      </c>
      <c r="C1855" t="s">
        <v>2001</v>
      </c>
      <c r="D1855" t="s">
        <v>2090</v>
      </c>
      <c r="E1855" t="s">
        <v>2112</v>
      </c>
      <c r="F1855" t="s">
        <v>2115</v>
      </c>
      <c r="G1855" t="s">
        <v>2214</v>
      </c>
      <c r="H1855">
        <v>11219</v>
      </c>
      <c r="I1855" t="s">
        <v>2229</v>
      </c>
      <c r="J1855">
        <v>3</v>
      </c>
      <c r="K1855">
        <v>0</v>
      </c>
      <c r="L1855" t="s">
        <v>2653</v>
      </c>
      <c r="M1855" t="s">
        <v>2677</v>
      </c>
      <c r="P1855" t="s">
        <v>3182</v>
      </c>
      <c r="Q1855" t="s">
        <v>2113</v>
      </c>
      <c r="R1855" t="s">
        <v>3258</v>
      </c>
      <c r="S1855" t="s">
        <v>3271</v>
      </c>
      <c r="T1855" t="s">
        <v>3294</v>
      </c>
      <c r="U1855" t="s">
        <v>3331</v>
      </c>
      <c r="X1855" t="s">
        <v>3354</v>
      </c>
      <c r="Y1855" t="s">
        <v>2677</v>
      </c>
      <c r="Z1855" t="s">
        <v>3362</v>
      </c>
      <c r="AA1855" t="s">
        <v>3406</v>
      </c>
      <c r="AB1855" t="s">
        <v>3419</v>
      </c>
      <c r="AC1855">
        <f>HYPERLINK("https://lsnyc.legalserver.org/matter/dynamic-profile/view/1844486","17-1844486")</f>
        <v>0</v>
      </c>
      <c r="AD1855" t="s">
        <v>3446</v>
      </c>
      <c r="AE1855" t="s">
        <v>3456</v>
      </c>
      <c r="AF1855" t="s">
        <v>4825</v>
      </c>
      <c r="AG1855" t="s">
        <v>3362</v>
      </c>
      <c r="AH1855" t="s">
        <v>4904</v>
      </c>
      <c r="AK1855" t="s">
        <v>4911</v>
      </c>
      <c r="AL1855" t="s">
        <v>2115</v>
      </c>
      <c r="AM1855" t="s">
        <v>3294</v>
      </c>
      <c r="AN1855" t="s">
        <v>3419</v>
      </c>
    </row>
    <row r="1856" spans="1:40">
      <c r="A1856" s="1" t="s">
        <v>1891</v>
      </c>
      <c r="B1856" t="s">
        <v>1998</v>
      </c>
      <c r="C1856" t="s">
        <v>2016</v>
      </c>
      <c r="D1856" t="s">
        <v>2063</v>
      </c>
      <c r="E1856" t="s">
        <v>2111</v>
      </c>
      <c r="F1856" t="s">
        <v>2123</v>
      </c>
      <c r="G1856" t="s">
        <v>2213</v>
      </c>
      <c r="H1856">
        <v>10457</v>
      </c>
      <c r="I1856" t="s">
        <v>2230</v>
      </c>
      <c r="J1856">
        <v>5</v>
      </c>
      <c r="K1856">
        <v>1</v>
      </c>
      <c r="L1856" t="s">
        <v>2298</v>
      </c>
      <c r="M1856" t="s">
        <v>2677</v>
      </c>
      <c r="P1856" t="s">
        <v>3183</v>
      </c>
      <c r="Q1856" t="s">
        <v>2113</v>
      </c>
      <c r="R1856" t="s">
        <v>3258</v>
      </c>
      <c r="S1856" t="s">
        <v>3271</v>
      </c>
      <c r="X1856" t="s">
        <v>3354</v>
      </c>
      <c r="Y1856" t="s">
        <v>2677</v>
      </c>
      <c r="Z1856" t="s">
        <v>3362</v>
      </c>
      <c r="AA1856" t="s">
        <v>3406</v>
      </c>
      <c r="AB1856" t="s">
        <v>3419</v>
      </c>
      <c r="AC1856">
        <f>HYPERLINK("https://lsnyc.legalserver.org/matter/dynamic-profile/view/1844163","17-1844163")</f>
        <v>0</v>
      </c>
      <c r="AD1856" t="s">
        <v>3445</v>
      </c>
      <c r="AE1856" t="s">
        <v>3455</v>
      </c>
      <c r="AF1856" t="s">
        <v>4826</v>
      </c>
      <c r="AG1856" t="s">
        <v>3362</v>
      </c>
      <c r="AH1856" t="s">
        <v>4904</v>
      </c>
      <c r="AK1856" t="s">
        <v>4911</v>
      </c>
      <c r="AL1856" t="s">
        <v>2123</v>
      </c>
      <c r="AN1856" t="s">
        <v>3419</v>
      </c>
    </row>
    <row r="1857" spans="1:40">
      <c r="A1857" s="1" t="s">
        <v>1892</v>
      </c>
      <c r="B1857" t="s">
        <v>2002</v>
      </c>
      <c r="C1857" t="s">
        <v>1998</v>
      </c>
      <c r="D1857" t="s">
        <v>2046</v>
      </c>
      <c r="E1857" t="s">
        <v>2111</v>
      </c>
      <c r="F1857" t="s">
        <v>2123</v>
      </c>
      <c r="G1857" t="s">
        <v>2211</v>
      </c>
      <c r="H1857">
        <v>10025</v>
      </c>
      <c r="I1857" t="s">
        <v>2229</v>
      </c>
      <c r="J1857">
        <v>1</v>
      </c>
      <c r="K1857">
        <v>0</v>
      </c>
      <c r="L1857" t="s">
        <v>2401</v>
      </c>
      <c r="M1857" t="s">
        <v>2677</v>
      </c>
      <c r="P1857" t="s">
        <v>3004</v>
      </c>
      <c r="Q1857" t="s">
        <v>2113</v>
      </c>
      <c r="R1857" t="s">
        <v>3258</v>
      </c>
      <c r="S1857" t="s">
        <v>3271</v>
      </c>
      <c r="T1857" t="s">
        <v>3294</v>
      </c>
      <c r="U1857" t="s">
        <v>2907</v>
      </c>
      <c r="X1857" t="s">
        <v>3354</v>
      </c>
      <c r="Y1857" t="s">
        <v>2677</v>
      </c>
      <c r="Z1857" t="s">
        <v>3362</v>
      </c>
      <c r="AA1857" t="s">
        <v>3406</v>
      </c>
      <c r="AB1857" t="s">
        <v>3419</v>
      </c>
      <c r="AC1857">
        <f>HYPERLINK("https://lsnyc.legalserver.org/matter/dynamic-profile/view/1843218","17-1843218")</f>
        <v>0</v>
      </c>
      <c r="AD1857" t="s">
        <v>3445</v>
      </c>
      <c r="AE1857" t="s">
        <v>3452</v>
      </c>
      <c r="AF1857" t="s">
        <v>4827</v>
      </c>
      <c r="AG1857" t="s">
        <v>3362</v>
      </c>
      <c r="AH1857" t="s">
        <v>4904</v>
      </c>
      <c r="AK1857" t="s">
        <v>4911</v>
      </c>
      <c r="AL1857" t="s">
        <v>2123</v>
      </c>
      <c r="AM1857" t="s">
        <v>3294</v>
      </c>
      <c r="AN1857" t="s">
        <v>3419</v>
      </c>
    </row>
    <row r="1858" spans="1:40">
      <c r="A1858" s="1" t="s">
        <v>1893</v>
      </c>
      <c r="B1858" t="s">
        <v>1998</v>
      </c>
      <c r="C1858" t="s">
        <v>2003</v>
      </c>
      <c r="D1858" t="s">
        <v>2051</v>
      </c>
      <c r="E1858" t="s">
        <v>2112</v>
      </c>
      <c r="F1858" t="s">
        <v>2117</v>
      </c>
      <c r="G1858" t="s">
        <v>2213</v>
      </c>
      <c r="H1858">
        <v>10472</v>
      </c>
      <c r="I1858" t="s">
        <v>2229</v>
      </c>
      <c r="J1858">
        <v>3</v>
      </c>
      <c r="K1858">
        <v>1</v>
      </c>
      <c r="L1858" t="s">
        <v>2654</v>
      </c>
      <c r="M1858" t="s">
        <v>2677</v>
      </c>
      <c r="P1858" t="s">
        <v>3184</v>
      </c>
      <c r="Q1858" t="s">
        <v>3255</v>
      </c>
      <c r="R1858" t="s">
        <v>3258</v>
      </c>
      <c r="S1858" t="s">
        <v>3271</v>
      </c>
      <c r="X1858" t="s">
        <v>3354</v>
      </c>
      <c r="Y1858" t="s">
        <v>2677</v>
      </c>
      <c r="Z1858" t="s">
        <v>3362</v>
      </c>
      <c r="AA1858" t="s">
        <v>3406</v>
      </c>
      <c r="AB1858" t="s">
        <v>3419</v>
      </c>
      <c r="AC1858">
        <f>HYPERLINK("https://lsnyc.legalserver.org/matter/dynamic-profile/view/1843235","17-1843235")</f>
        <v>0</v>
      </c>
      <c r="AD1858" t="s">
        <v>3445</v>
      </c>
      <c r="AE1858" t="s">
        <v>3455</v>
      </c>
      <c r="AF1858" t="s">
        <v>4828</v>
      </c>
      <c r="AG1858" t="s">
        <v>3362</v>
      </c>
      <c r="AH1858" t="s">
        <v>4904</v>
      </c>
      <c r="AK1858" t="s">
        <v>4911</v>
      </c>
      <c r="AL1858" t="s">
        <v>2117</v>
      </c>
      <c r="AN1858" t="s">
        <v>3419</v>
      </c>
    </row>
    <row r="1859" spans="1:40">
      <c r="A1859" s="1" t="s">
        <v>1894</v>
      </c>
      <c r="B1859" t="s">
        <v>2001</v>
      </c>
      <c r="C1859" t="s">
        <v>2002</v>
      </c>
      <c r="D1859" t="s">
        <v>2039</v>
      </c>
      <c r="E1859" t="s">
        <v>2112</v>
      </c>
      <c r="F1859" t="s">
        <v>2135</v>
      </c>
      <c r="G1859" t="s">
        <v>2211</v>
      </c>
      <c r="H1859">
        <v>10032</v>
      </c>
      <c r="I1859" t="s">
        <v>2229</v>
      </c>
      <c r="J1859">
        <v>4</v>
      </c>
      <c r="K1859">
        <v>2</v>
      </c>
      <c r="L1859" t="s">
        <v>2598</v>
      </c>
      <c r="M1859" t="s">
        <v>2677</v>
      </c>
      <c r="P1859" t="s">
        <v>3185</v>
      </c>
      <c r="Q1859" t="s">
        <v>2113</v>
      </c>
      <c r="R1859" t="s">
        <v>3258</v>
      </c>
      <c r="S1859" t="s">
        <v>3271</v>
      </c>
      <c r="X1859" t="s">
        <v>3354</v>
      </c>
      <c r="Y1859" t="s">
        <v>2677</v>
      </c>
      <c r="Z1859" t="s">
        <v>3362</v>
      </c>
      <c r="AA1859" t="s">
        <v>3406</v>
      </c>
      <c r="AB1859" t="s">
        <v>3419</v>
      </c>
      <c r="AC1859">
        <f>HYPERLINK("https://lsnyc.legalserver.org/matter/dynamic-profile/view/1842737","17-1842737")</f>
        <v>0</v>
      </c>
      <c r="AD1859" t="s">
        <v>3445</v>
      </c>
      <c r="AE1859" t="s">
        <v>3455</v>
      </c>
      <c r="AF1859" t="s">
        <v>4655</v>
      </c>
      <c r="AG1859" t="s">
        <v>3362</v>
      </c>
      <c r="AH1859" t="s">
        <v>4904</v>
      </c>
      <c r="AK1859" t="s">
        <v>4911</v>
      </c>
      <c r="AL1859" t="s">
        <v>2135</v>
      </c>
      <c r="AN1859" t="s">
        <v>3419</v>
      </c>
    </row>
    <row r="1860" spans="1:40">
      <c r="A1860" s="1" t="s">
        <v>1895</v>
      </c>
      <c r="B1860" t="s">
        <v>2001</v>
      </c>
      <c r="C1860" t="s">
        <v>2000</v>
      </c>
      <c r="D1860" t="s">
        <v>2062</v>
      </c>
      <c r="E1860" t="s">
        <v>2111</v>
      </c>
      <c r="F1860" t="s">
        <v>2135</v>
      </c>
      <c r="G1860" t="s">
        <v>2211</v>
      </c>
      <c r="H1860">
        <v>10032</v>
      </c>
      <c r="I1860" t="s">
        <v>2229</v>
      </c>
      <c r="J1860">
        <v>4</v>
      </c>
      <c r="K1860">
        <v>2</v>
      </c>
      <c r="L1860" t="s">
        <v>2598</v>
      </c>
      <c r="M1860" t="s">
        <v>2677</v>
      </c>
      <c r="P1860" t="s">
        <v>3185</v>
      </c>
      <c r="Q1860" t="s">
        <v>2113</v>
      </c>
      <c r="R1860" t="s">
        <v>3258</v>
      </c>
      <c r="S1860" t="s">
        <v>3271</v>
      </c>
      <c r="X1860" t="s">
        <v>3354</v>
      </c>
      <c r="Y1860" t="s">
        <v>2677</v>
      </c>
      <c r="Z1860" t="s">
        <v>3362</v>
      </c>
      <c r="AA1860" t="s">
        <v>3406</v>
      </c>
      <c r="AB1860" t="s">
        <v>3419</v>
      </c>
      <c r="AC1860">
        <f>HYPERLINK("https://lsnyc.legalserver.org/matter/dynamic-profile/view/1842744","17-1842744")</f>
        <v>0</v>
      </c>
      <c r="AD1860" t="s">
        <v>3445</v>
      </c>
      <c r="AE1860" t="s">
        <v>3455</v>
      </c>
      <c r="AF1860" t="s">
        <v>4654</v>
      </c>
      <c r="AG1860" t="s">
        <v>3362</v>
      </c>
      <c r="AH1860" t="s">
        <v>4904</v>
      </c>
      <c r="AK1860" t="s">
        <v>4911</v>
      </c>
      <c r="AL1860" t="s">
        <v>2135</v>
      </c>
      <c r="AN1860" t="s">
        <v>3419</v>
      </c>
    </row>
    <row r="1861" spans="1:40">
      <c r="A1861" s="1" t="s">
        <v>1896</v>
      </c>
      <c r="B1861" t="s">
        <v>2000</v>
      </c>
      <c r="C1861" t="s">
        <v>2016</v>
      </c>
      <c r="D1861" t="s">
        <v>2047</v>
      </c>
      <c r="E1861" t="s">
        <v>2111</v>
      </c>
      <c r="F1861" t="s">
        <v>2123</v>
      </c>
      <c r="G1861" t="s">
        <v>2213</v>
      </c>
      <c r="H1861">
        <v>10462</v>
      </c>
      <c r="I1861" t="s">
        <v>2229</v>
      </c>
      <c r="J1861">
        <v>1</v>
      </c>
      <c r="K1861">
        <v>0</v>
      </c>
      <c r="L1861" t="s">
        <v>2314</v>
      </c>
      <c r="M1861" t="s">
        <v>2677</v>
      </c>
      <c r="P1861" t="s">
        <v>2982</v>
      </c>
      <c r="Q1861" t="s">
        <v>2113</v>
      </c>
      <c r="R1861" t="s">
        <v>3259</v>
      </c>
      <c r="S1861" t="s">
        <v>3270</v>
      </c>
      <c r="T1861" t="s">
        <v>3294</v>
      </c>
      <c r="U1861" t="s">
        <v>2801</v>
      </c>
      <c r="X1861" t="s">
        <v>3354</v>
      </c>
      <c r="Y1861" t="s">
        <v>2677</v>
      </c>
      <c r="Z1861" t="s">
        <v>3362</v>
      </c>
      <c r="AA1861" t="s">
        <v>3406</v>
      </c>
      <c r="AB1861" t="s">
        <v>3418</v>
      </c>
      <c r="AC1861">
        <f>HYPERLINK("https://lsnyc.legalserver.org/matter/dynamic-profile/view/1842579","17-1842579")</f>
        <v>0</v>
      </c>
      <c r="AD1861" t="s">
        <v>3445</v>
      </c>
      <c r="AE1861" t="s">
        <v>3452</v>
      </c>
      <c r="AF1861" t="s">
        <v>4829</v>
      </c>
      <c r="AG1861" t="s">
        <v>3362</v>
      </c>
      <c r="AH1861" t="s">
        <v>4904</v>
      </c>
      <c r="AK1861" t="s">
        <v>4911</v>
      </c>
      <c r="AL1861" t="s">
        <v>2123</v>
      </c>
      <c r="AM1861" t="s">
        <v>3294</v>
      </c>
      <c r="AN1861" t="s">
        <v>3418</v>
      </c>
    </row>
    <row r="1862" spans="1:40">
      <c r="A1862" s="1" t="s">
        <v>1897</v>
      </c>
      <c r="B1862" t="s">
        <v>2016</v>
      </c>
      <c r="C1862" t="s">
        <v>2011</v>
      </c>
      <c r="D1862" t="s">
        <v>2044</v>
      </c>
      <c r="E1862" t="s">
        <v>2112</v>
      </c>
      <c r="F1862" t="s">
        <v>2155</v>
      </c>
      <c r="G1862" t="s">
        <v>2214</v>
      </c>
      <c r="H1862">
        <v>11216</v>
      </c>
      <c r="I1862" t="s">
        <v>2230</v>
      </c>
      <c r="J1862">
        <v>1</v>
      </c>
      <c r="K1862">
        <v>0</v>
      </c>
      <c r="L1862" t="s">
        <v>2260</v>
      </c>
      <c r="M1862" t="s">
        <v>2677</v>
      </c>
      <c r="P1862" t="s">
        <v>3186</v>
      </c>
      <c r="Q1862" t="s">
        <v>2113</v>
      </c>
      <c r="R1862" t="s">
        <v>3259</v>
      </c>
      <c r="S1862" t="s">
        <v>3268</v>
      </c>
      <c r="T1862" t="s">
        <v>3294</v>
      </c>
      <c r="U1862" t="s">
        <v>3166</v>
      </c>
      <c r="X1862" t="s">
        <v>3354</v>
      </c>
      <c r="Y1862" t="s">
        <v>2678</v>
      </c>
      <c r="Z1862" t="s">
        <v>3368</v>
      </c>
      <c r="AA1862" t="s">
        <v>3406</v>
      </c>
      <c r="AB1862" t="s">
        <v>3416</v>
      </c>
      <c r="AC1862">
        <f>HYPERLINK("https://lsnyc.legalserver.org/matter/dynamic-profile/view/1842600","17-1842600")</f>
        <v>0</v>
      </c>
      <c r="AD1862" t="s">
        <v>3447</v>
      </c>
      <c r="AE1862" t="s">
        <v>3463</v>
      </c>
      <c r="AF1862" t="s">
        <v>4830</v>
      </c>
      <c r="AG1862" t="s">
        <v>3368</v>
      </c>
      <c r="AH1862" t="s">
        <v>4904</v>
      </c>
      <c r="AK1862" t="s">
        <v>4911</v>
      </c>
      <c r="AL1862" t="s">
        <v>2155</v>
      </c>
      <c r="AM1862" t="s">
        <v>3294</v>
      </c>
      <c r="AN1862" t="s">
        <v>3416</v>
      </c>
    </row>
    <row r="1863" spans="1:40">
      <c r="A1863" s="1" t="s">
        <v>1898</v>
      </c>
      <c r="B1863" t="s">
        <v>2014</v>
      </c>
      <c r="C1863" t="s">
        <v>1998</v>
      </c>
      <c r="D1863" t="s">
        <v>2060</v>
      </c>
      <c r="E1863" t="s">
        <v>2111</v>
      </c>
      <c r="F1863" t="s">
        <v>2156</v>
      </c>
      <c r="G1863" t="s">
        <v>2216</v>
      </c>
      <c r="H1863">
        <v>10304</v>
      </c>
      <c r="I1863" t="s">
        <v>2230</v>
      </c>
      <c r="J1863">
        <v>1</v>
      </c>
      <c r="K1863">
        <v>0</v>
      </c>
      <c r="L1863" t="s">
        <v>2333</v>
      </c>
      <c r="M1863" t="s">
        <v>2677</v>
      </c>
      <c r="P1863" t="s">
        <v>3186</v>
      </c>
      <c r="Q1863" t="s">
        <v>2113</v>
      </c>
      <c r="R1863" t="s">
        <v>3258</v>
      </c>
      <c r="S1863" t="s">
        <v>3271</v>
      </c>
      <c r="X1863" t="s">
        <v>3354</v>
      </c>
      <c r="Y1863" t="s">
        <v>2677</v>
      </c>
      <c r="Z1863" t="s">
        <v>3362</v>
      </c>
      <c r="AA1863" t="s">
        <v>3406</v>
      </c>
      <c r="AB1863" t="s">
        <v>3419</v>
      </c>
      <c r="AC1863">
        <f>HYPERLINK("https://lsnyc.legalserver.org/matter/dynamic-profile/view/1842631","17-1842631")</f>
        <v>0</v>
      </c>
      <c r="AD1863" t="s">
        <v>3443</v>
      </c>
      <c r="AE1863" t="s">
        <v>3477</v>
      </c>
      <c r="AF1863" t="s">
        <v>4831</v>
      </c>
      <c r="AG1863" t="s">
        <v>3362</v>
      </c>
      <c r="AH1863" t="s">
        <v>4904</v>
      </c>
      <c r="AK1863" t="s">
        <v>4911</v>
      </c>
      <c r="AL1863" t="s">
        <v>2156</v>
      </c>
      <c r="AN1863" t="s">
        <v>3419</v>
      </c>
    </row>
    <row r="1864" spans="1:40">
      <c r="A1864" s="1" t="s">
        <v>1899</v>
      </c>
      <c r="B1864" t="s">
        <v>2004</v>
      </c>
      <c r="C1864" t="s">
        <v>1998</v>
      </c>
      <c r="D1864" t="s">
        <v>2038</v>
      </c>
      <c r="E1864" t="s">
        <v>2112</v>
      </c>
      <c r="F1864" t="s">
        <v>2135</v>
      </c>
      <c r="G1864" t="s">
        <v>2214</v>
      </c>
      <c r="H1864">
        <v>11216</v>
      </c>
      <c r="I1864" t="s">
        <v>2229</v>
      </c>
      <c r="J1864">
        <v>2</v>
      </c>
      <c r="K1864">
        <v>1</v>
      </c>
      <c r="L1864" t="s">
        <v>2285</v>
      </c>
      <c r="M1864" t="s">
        <v>2677</v>
      </c>
      <c r="P1864" t="s">
        <v>3186</v>
      </c>
      <c r="Q1864" t="s">
        <v>2113</v>
      </c>
      <c r="R1864" t="s">
        <v>3259</v>
      </c>
      <c r="S1864" t="s">
        <v>3267</v>
      </c>
      <c r="X1864" t="s">
        <v>3354</v>
      </c>
      <c r="Y1864" t="s">
        <v>2678</v>
      </c>
      <c r="Z1864" t="s">
        <v>3359</v>
      </c>
      <c r="AA1864" t="s">
        <v>3406</v>
      </c>
      <c r="AB1864" t="s">
        <v>3415</v>
      </c>
      <c r="AC1864">
        <f>HYPERLINK("https://lsnyc.legalserver.org/matter/dynamic-profile/view/1842643","17-1842643")</f>
        <v>0</v>
      </c>
      <c r="AD1864" t="s">
        <v>3446</v>
      </c>
      <c r="AE1864" t="s">
        <v>3481</v>
      </c>
      <c r="AF1864" t="s">
        <v>4832</v>
      </c>
      <c r="AG1864" t="s">
        <v>3359</v>
      </c>
      <c r="AH1864" t="s">
        <v>4906</v>
      </c>
      <c r="AK1864" t="s">
        <v>4911</v>
      </c>
      <c r="AL1864" t="s">
        <v>2135</v>
      </c>
      <c r="AN1864" t="s">
        <v>3415</v>
      </c>
    </row>
    <row r="1865" spans="1:40">
      <c r="A1865" s="1" t="s">
        <v>1900</v>
      </c>
      <c r="B1865" t="s">
        <v>2021</v>
      </c>
      <c r="C1865" t="s">
        <v>2001</v>
      </c>
      <c r="D1865" t="s">
        <v>2057</v>
      </c>
      <c r="E1865" t="s">
        <v>2112</v>
      </c>
      <c r="F1865" t="s">
        <v>2179</v>
      </c>
      <c r="G1865" t="s">
        <v>2214</v>
      </c>
      <c r="H1865">
        <v>11203</v>
      </c>
      <c r="I1865" t="s">
        <v>2230</v>
      </c>
      <c r="J1865">
        <v>2</v>
      </c>
      <c r="K1865">
        <v>0</v>
      </c>
      <c r="L1865" t="s">
        <v>2447</v>
      </c>
      <c r="M1865" t="s">
        <v>2677</v>
      </c>
      <c r="P1865" t="s">
        <v>3187</v>
      </c>
      <c r="Q1865" t="s">
        <v>2113</v>
      </c>
      <c r="R1865" t="s">
        <v>3259</v>
      </c>
      <c r="S1865" t="s">
        <v>3267</v>
      </c>
      <c r="X1865" t="s">
        <v>3354</v>
      </c>
      <c r="Y1865" t="s">
        <v>2678</v>
      </c>
      <c r="Z1865" t="s">
        <v>3359</v>
      </c>
      <c r="AA1865" t="s">
        <v>3406</v>
      </c>
      <c r="AB1865" t="s">
        <v>3415</v>
      </c>
      <c r="AC1865">
        <f>HYPERLINK("https://lsnyc.legalserver.org/matter/dynamic-profile/view/1856260","17-1856260")</f>
        <v>0</v>
      </c>
      <c r="AD1865" t="s">
        <v>3446</v>
      </c>
      <c r="AE1865" t="s">
        <v>3481</v>
      </c>
      <c r="AF1865" t="s">
        <v>4833</v>
      </c>
      <c r="AG1865" t="s">
        <v>3359</v>
      </c>
      <c r="AH1865" t="s">
        <v>4906</v>
      </c>
      <c r="AK1865" t="s">
        <v>4911</v>
      </c>
      <c r="AL1865" t="s">
        <v>2179</v>
      </c>
      <c r="AN1865" t="s">
        <v>3415</v>
      </c>
    </row>
    <row r="1866" spans="1:40">
      <c r="A1866" s="1" t="s">
        <v>1901</v>
      </c>
      <c r="B1866" t="s">
        <v>2001</v>
      </c>
      <c r="C1866" t="s">
        <v>2016</v>
      </c>
      <c r="D1866" t="s">
        <v>2080</v>
      </c>
      <c r="E1866" t="s">
        <v>2111</v>
      </c>
      <c r="F1866" t="s">
        <v>2123</v>
      </c>
      <c r="G1866" t="s">
        <v>2211</v>
      </c>
      <c r="H1866">
        <v>10035</v>
      </c>
      <c r="I1866" t="s">
        <v>2229</v>
      </c>
      <c r="J1866">
        <v>2</v>
      </c>
      <c r="K1866">
        <v>0</v>
      </c>
      <c r="L1866" t="s">
        <v>2258</v>
      </c>
      <c r="M1866" t="s">
        <v>2677</v>
      </c>
      <c r="P1866" t="s">
        <v>3188</v>
      </c>
      <c r="Q1866" t="s">
        <v>2113</v>
      </c>
      <c r="R1866" t="s">
        <v>3259</v>
      </c>
      <c r="S1866" t="s">
        <v>3270</v>
      </c>
      <c r="X1866" t="s">
        <v>3354</v>
      </c>
      <c r="Y1866" t="s">
        <v>2677</v>
      </c>
      <c r="Z1866" t="s">
        <v>3362</v>
      </c>
      <c r="AA1866" t="s">
        <v>3406</v>
      </c>
      <c r="AB1866" t="s">
        <v>3418</v>
      </c>
      <c r="AC1866">
        <f>HYPERLINK("https://lsnyc.legalserver.org/matter/dynamic-profile/view/1841309","17-1841309")</f>
        <v>0</v>
      </c>
      <c r="AD1866" t="s">
        <v>3443</v>
      </c>
      <c r="AE1866" t="s">
        <v>3477</v>
      </c>
      <c r="AF1866" t="s">
        <v>4834</v>
      </c>
      <c r="AG1866" t="s">
        <v>3362</v>
      </c>
      <c r="AH1866" t="s">
        <v>4904</v>
      </c>
      <c r="AK1866" t="s">
        <v>4911</v>
      </c>
      <c r="AL1866" t="s">
        <v>2123</v>
      </c>
      <c r="AN1866" t="s">
        <v>3418</v>
      </c>
    </row>
    <row r="1867" spans="1:40">
      <c r="A1867" s="1" t="s">
        <v>1902</v>
      </c>
      <c r="B1867" t="s">
        <v>1998</v>
      </c>
      <c r="C1867" t="s">
        <v>2009</v>
      </c>
      <c r="D1867" t="s">
        <v>2086</v>
      </c>
      <c r="E1867" t="s">
        <v>2112</v>
      </c>
      <c r="F1867" t="s">
        <v>2114</v>
      </c>
      <c r="G1867" t="s">
        <v>2211</v>
      </c>
      <c r="H1867">
        <v>10033</v>
      </c>
      <c r="I1867" t="s">
        <v>2229</v>
      </c>
      <c r="J1867">
        <v>1</v>
      </c>
      <c r="K1867">
        <v>0</v>
      </c>
      <c r="L1867" t="s">
        <v>2285</v>
      </c>
      <c r="M1867" t="s">
        <v>2677</v>
      </c>
      <c r="P1867" t="s">
        <v>3189</v>
      </c>
      <c r="Q1867" t="s">
        <v>2113</v>
      </c>
      <c r="R1867" t="s">
        <v>3258</v>
      </c>
      <c r="S1867" t="s">
        <v>3271</v>
      </c>
      <c r="X1867" t="s">
        <v>3354</v>
      </c>
      <c r="Y1867" t="s">
        <v>2677</v>
      </c>
      <c r="Z1867" t="s">
        <v>3362</v>
      </c>
      <c r="AA1867" t="s">
        <v>3406</v>
      </c>
      <c r="AB1867" t="s">
        <v>3419</v>
      </c>
      <c r="AC1867">
        <f>HYPERLINK("https://lsnyc.legalserver.org/matter/dynamic-profile/view/1840689","17-1840689")</f>
        <v>0</v>
      </c>
      <c r="AD1867" t="s">
        <v>3443</v>
      </c>
      <c r="AE1867" t="s">
        <v>3477</v>
      </c>
      <c r="AF1867" t="s">
        <v>4835</v>
      </c>
      <c r="AG1867" t="s">
        <v>3362</v>
      </c>
      <c r="AH1867" t="s">
        <v>4904</v>
      </c>
      <c r="AK1867" t="s">
        <v>4911</v>
      </c>
      <c r="AL1867" t="s">
        <v>2114</v>
      </c>
      <c r="AN1867" t="s">
        <v>3419</v>
      </c>
    </row>
    <row r="1868" spans="1:40">
      <c r="A1868" s="1" t="s">
        <v>1903</v>
      </c>
      <c r="B1868" t="s">
        <v>2001</v>
      </c>
      <c r="C1868" t="s">
        <v>2009</v>
      </c>
      <c r="D1868" t="s">
        <v>2056</v>
      </c>
      <c r="E1868" t="s">
        <v>2112</v>
      </c>
      <c r="F1868" t="s">
        <v>2116</v>
      </c>
      <c r="G1868" t="s">
        <v>2216</v>
      </c>
      <c r="H1868">
        <v>10308</v>
      </c>
      <c r="I1868" t="s">
        <v>2229</v>
      </c>
      <c r="J1868">
        <v>3</v>
      </c>
      <c r="K1868">
        <v>0</v>
      </c>
      <c r="L1868" t="s">
        <v>2655</v>
      </c>
      <c r="M1868" t="s">
        <v>2677</v>
      </c>
      <c r="P1868" t="s">
        <v>3190</v>
      </c>
      <c r="Q1868" t="s">
        <v>3255</v>
      </c>
      <c r="R1868" t="s">
        <v>3259</v>
      </c>
      <c r="S1868" t="s">
        <v>3264</v>
      </c>
      <c r="T1868" t="s">
        <v>3294</v>
      </c>
      <c r="U1868" t="s">
        <v>3130</v>
      </c>
      <c r="X1868" t="s">
        <v>3354</v>
      </c>
      <c r="Y1868" t="s">
        <v>2678</v>
      </c>
      <c r="Z1868" t="s">
        <v>3357</v>
      </c>
      <c r="AA1868" t="s">
        <v>3406</v>
      </c>
      <c r="AB1868" t="s">
        <v>3412</v>
      </c>
      <c r="AC1868">
        <f>HYPERLINK("https://lsnyc.legalserver.org/matter/dynamic-profile/view/1839168","17-1839168")</f>
        <v>0</v>
      </c>
      <c r="AD1868" t="s">
        <v>3447</v>
      </c>
      <c r="AE1868" t="s">
        <v>3462</v>
      </c>
      <c r="AF1868" t="s">
        <v>4836</v>
      </c>
      <c r="AG1868" t="s">
        <v>3357</v>
      </c>
      <c r="AH1868" t="s">
        <v>4904</v>
      </c>
      <c r="AK1868" t="s">
        <v>4911</v>
      </c>
      <c r="AL1868" t="s">
        <v>2116</v>
      </c>
      <c r="AM1868" t="s">
        <v>3294</v>
      </c>
      <c r="AN1868" t="s">
        <v>3412</v>
      </c>
    </row>
    <row r="1869" spans="1:40">
      <c r="A1869" s="1" t="s">
        <v>1904</v>
      </c>
      <c r="B1869" t="s">
        <v>2000</v>
      </c>
      <c r="C1869" t="s">
        <v>2003</v>
      </c>
      <c r="D1869" t="s">
        <v>2047</v>
      </c>
      <c r="E1869" t="s">
        <v>2112</v>
      </c>
      <c r="F1869" t="s">
        <v>2123</v>
      </c>
      <c r="G1869" t="s">
        <v>2214</v>
      </c>
      <c r="H1869">
        <v>11231</v>
      </c>
      <c r="I1869" t="s">
        <v>2229</v>
      </c>
      <c r="J1869">
        <v>2</v>
      </c>
      <c r="K1869">
        <v>0</v>
      </c>
      <c r="L1869" t="s">
        <v>2275</v>
      </c>
      <c r="M1869" t="s">
        <v>2677</v>
      </c>
      <c r="P1869" t="s">
        <v>3191</v>
      </c>
      <c r="Q1869" t="s">
        <v>2113</v>
      </c>
      <c r="R1869" t="s">
        <v>3258</v>
      </c>
      <c r="S1869" t="s">
        <v>3271</v>
      </c>
      <c r="X1869" t="s">
        <v>3354</v>
      </c>
      <c r="Y1869" t="s">
        <v>2677</v>
      </c>
      <c r="Z1869" t="s">
        <v>3362</v>
      </c>
      <c r="AA1869" t="s">
        <v>3406</v>
      </c>
      <c r="AB1869" t="s">
        <v>3419</v>
      </c>
      <c r="AC1869">
        <f>HYPERLINK("https://lsnyc.legalserver.org/matter/dynamic-profile/view/1840274","17-1840274")</f>
        <v>0</v>
      </c>
      <c r="AD1869" t="s">
        <v>3445</v>
      </c>
      <c r="AE1869" t="s">
        <v>3455</v>
      </c>
      <c r="AF1869" t="s">
        <v>4837</v>
      </c>
      <c r="AG1869" t="s">
        <v>3362</v>
      </c>
      <c r="AH1869" t="s">
        <v>4904</v>
      </c>
      <c r="AK1869" t="s">
        <v>4911</v>
      </c>
      <c r="AL1869" t="s">
        <v>2123</v>
      </c>
      <c r="AN1869" t="s">
        <v>3419</v>
      </c>
    </row>
    <row r="1870" spans="1:40">
      <c r="A1870" s="1" t="s">
        <v>1905</v>
      </c>
      <c r="B1870" t="s">
        <v>2002</v>
      </c>
      <c r="C1870" t="s">
        <v>2001</v>
      </c>
      <c r="D1870" t="s">
        <v>2074</v>
      </c>
      <c r="E1870" t="s">
        <v>2111</v>
      </c>
      <c r="F1870" t="s">
        <v>2116</v>
      </c>
      <c r="G1870" t="s">
        <v>2213</v>
      </c>
      <c r="H1870">
        <v>10473</v>
      </c>
      <c r="I1870" t="s">
        <v>2229</v>
      </c>
      <c r="J1870">
        <v>2</v>
      </c>
      <c r="K1870">
        <v>0</v>
      </c>
      <c r="L1870" t="s">
        <v>2656</v>
      </c>
      <c r="M1870" t="s">
        <v>2677</v>
      </c>
      <c r="P1870" t="s">
        <v>3192</v>
      </c>
      <c r="Q1870" t="s">
        <v>2113</v>
      </c>
      <c r="R1870" t="s">
        <v>3258</v>
      </c>
      <c r="S1870" t="s">
        <v>3271</v>
      </c>
      <c r="X1870" t="s">
        <v>3354</v>
      </c>
      <c r="Y1870" t="s">
        <v>2677</v>
      </c>
      <c r="Z1870" t="s">
        <v>3362</v>
      </c>
      <c r="AA1870" t="s">
        <v>3406</v>
      </c>
      <c r="AB1870" t="s">
        <v>3419</v>
      </c>
      <c r="AC1870">
        <f>HYPERLINK("https://lsnyc.legalserver.org/matter/dynamic-profile/view/1839963","17-1839963")</f>
        <v>0</v>
      </c>
      <c r="AD1870" t="s">
        <v>3445</v>
      </c>
      <c r="AE1870" t="s">
        <v>3455</v>
      </c>
      <c r="AF1870" t="s">
        <v>4838</v>
      </c>
      <c r="AG1870" t="s">
        <v>3362</v>
      </c>
      <c r="AH1870" t="s">
        <v>4904</v>
      </c>
      <c r="AK1870" t="s">
        <v>4911</v>
      </c>
      <c r="AL1870" t="s">
        <v>2116</v>
      </c>
      <c r="AN1870" t="s">
        <v>3419</v>
      </c>
    </row>
    <row r="1871" spans="1:40">
      <c r="A1871" s="1" t="s">
        <v>1906</v>
      </c>
      <c r="B1871" t="s">
        <v>2000</v>
      </c>
      <c r="C1871" t="s">
        <v>2016</v>
      </c>
      <c r="D1871" t="s">
        <v>2031</v>
      </c>
      <c r="E1871" t="s">
        <v>2112</v>
      </c>
      <c r="F1871" t="s">
        <v>2116</v>
      </c>
      <c r="G1871" t="s">
        <v>2213</v>
      </c>
      <c r="H1871">
        <v>10467</v>
      </c>
      <c r="I1871" t="s">
        <v>2229</v>
      </c>
      <c r="J1871">
        <v>4</v>
      </c>
      <c r="K1871">
        <v>2</v>
      </c>
      <c r="L1871" t="s">
        <v>2657</v>
      </c>
      <c r="M1871" t="s">
        <v>2677</v>
      </c>
      <c r="P1871" t="s">
        <v>3192</v>
      </c>
      <c r="Q1871" t="s">
        <v>2113</v>
      </c>
      <c r="R1871" t="s">
        <v>3259</v>
      </c>
      <c r="S1871" t="s">
        <v>3264</v>
      </c>
      <c r="X1871" t="s">
        <v>3354</v>
      </c>
      <c r="Y1871" t="s">
        <v>2678</v>
      </c>
      <c r="Z1871" t="s">
        <v>3357</v>
      </c>
      <c r="AA1871" t="s">
        <v>3406</v>
      </c>
      <c r="AB1871" t="s">
        <v>3412</v>
      </c>
      <c r="AC1871">
        <f>HYPERLINK("https://lsnyc.legalserver.org/matter/dynamic-profile/view/1839996","17-1839996")</f>
        <v>0</v>
      </c>
      <c r="AD1871" t="s">
        <v>3444</v>
      </c>
      <c r="AE1871" t="s">
        <v>3464</v>
      </c>
      <c r="AF1871" t="s">
        <v>4839</v>
      </c>
      <c r="AG1871" t="s">
        <v>3357</v>
      </c>
      <c r="AH1871" t="s">
        <v>4904</v>
      </c>
      <c r="AK1871" t="s">
        <v>4911</v>
      </c>
      <c r="AL1871" t="s">
        <v>2116</v>
      </c>
      <c r="AN1871" t="s">
        <v>3412</v>
      </c>
    </row>
    <row r="1872" spans="1:40">
      <c r="A1872" s="1" t="s">
        <v>1907</v>
      </c>
      <c r="B1872" t="s">
        <v>1998</v>
      </c>
      <c r="C1872" t="s">
        <v>2000</v>
      </c>
      <c r="D1872" t="s">
        <v>2062</v>
      </c>
      <c r="E1872" t="s">
        <v>2111</v>
      </c>
      <c r="F1872" t="s">
        <v>2122</v>
      </c>
      <c r="G1872" t="s">
        <v>2212</v>
      </c>
      <c r="H1872">
        <v>11418</v>
      </c>
      <c r="I1872" t="s">
        <v>2230</v>
      </c>
      <c r="J1872">
        <v>4</v>
      </c>
      <c r="K1872">
        <v>2</v>
      </c>
      <c r="L1872" t="s">
        <v>2301</v>
      </c>
      <c r="M1872" t="s">
        <v>2677</v>
      </c>
      <c r="P1872" t="s">
        <v>2988</v>
      </c>
      <c r="Q1872" t="s">
        <v>2113</v>
      </c>
      <c r="R1872" t="s">
        <v>3258</v>
      </c>
      <c r="S1872" t="s">
        <v>3271</v>
      </c>
      <c r="T1872" t="s">
        <v>3294</v>
      </c>
      <c r="U1872" t="s">
        <v>3306</v>
      </c>
      <c r="X1872" t="s">
        <v>3354</v>
      </c>
      <c r="Y1872" t="s">
        <v>2677</v>
      </c>
      <c r="Z1872" t="s">
        <v>3362</v>
      </c>
      <c r="AA1872" t="s">
        <v>3406</v>
      </c>
      <c r="AB1872" t="s">
        <v>3419</v>
      </c>
      <c r="AC1872">
        <f>HYPERLINK("https://lsnyc.legalserver.org/matter/dynamic-profile/view/1840039","17-1840039")</f>
        <v>0</v>
      </c>
      <c r="AD1872" t="s">
        <v>3445</v>
      </c>
      <c r="AE1872" t="s">
        <v>3452</v>
      </c>
      <c r="AF1872" t="s">
        <v>4323</v>
      </c>
      <c r="AG1872" t="s">
        <v>3362</v>
      </c>
      <c r="AH1872" t="s">
        <v>4904</v>
      </c>
      <c r="AK1872" t="s">
        <v>4911</v>
      </c>
      <c r="AL1872" t="s">
        <v>2122</v>
      </c>
      <c r="AM1872" t="s">
        <v>3294</v>
      </c>
      <c r="AN1872" t="s">
        <v>3419</v>
      </c>
    </row>
    <row r="1873" spans="1:41">
      <c r="A1873" s="1" t="s">
        <v>1908</v>
      </c>
      <c r="B1873" t="s">
        <v>1998</v>
      </c>
      <c r="C1873" t="s">
        <v>2005</v>
      </c>
      <c r="D1873" t="s">
        <v>2104</v>
      </c>
      <c r="E1873" t="s">
        <v>2112</v>
      </c>
      <c r="F1873" t="s">
        <v>2150</v>
      </c>
      <c r="G1873" t="s">
        <v>2214</v>
      </c>
      <c r="H1873">
        <v>11233</v>
      </c>
      <c r="I1873" t="s">
        <v>2229</v>
      </c>
      <c r="J1873">
        <v>2</v>
      </c>
      <c r="K1873">
        <v>0</v>
      </c>
      <c r="L1873" t="s">
        <v>2275</v>
      </c>
      <c r="M1873" t="s">
        <v>2677</v>
      </c>
      <c r="P1873" t="s">
        <v>3193</v>
      </c>
      <c r="Q1873" t="s">
        <v>2113</v>
      </c>
      <c r="R1873" t="s">
        <v>3258</v>
      </c>
      <c r="S1873" t="s">
        <v>3271</v>
      </c>
      <c r="X1873" t="s">
        <v>3354</v>
      </c>
      <c r="Y1873" t="s">
        <v>2677</v>
      </c>
      <c r="Z1873" t="s">
        <v>3362</v>
      </c>
      <c r="AA1873" t="s">
        <v>3406</v>
      </c>
      <c r="AB1873" t="s">
        <v>3419</v>
      </c>
      <c r="AC1873">
        <f>HYPERLINK("https://lsnyc.legalserver.org/matter/dynamic-profile/view/1839621","17-1839621")</f>
        <v>0</v>
      </c>
      <c r="AD1873" t="s">
        <v>3443</v>
      </c>
      <c r="AE1873" t="s">
        <v>3477</v>
      </c>
      <c r="AF1873" t="s">
        <v>4840</v>
      </c>
      <c r="AG1873" t="s">
        <v>3362</v>
      </c>
      <c r="AH1873" t="s">
        <v>4904</v>
      </c>
      <c r="AK1873" t="s">
        <v>4911</v>
      </c>
      <c r="AL1873" t="s">
        <v>2150</v>
      </c>
      <c r="AN1873" t="s">
        <v>3419</v>
      </c>
    </row>
    <row r="1874" spans="1:41">
      <c r="A1874" s="1" t="s">
        <v>1909</v>
      </c>
      <c r="B1874" t="s">
        <v>2016</v>
      </c>
      <c r="C1874" t="s">
        <v>2016</v>
      </c>
      <c r="D1874" t="s">
        <v>2062</v>
      </c>
      <c r="E1874" t="s">
        <v>2112</v>
      </c>
      <c r="F1874" t="s">
        <v>2183</v>
      </c>
      <c r="G1874" t="s">
        <v>2214</v>
      </c>
      <c r="H1874">
        <v>11212</v>
      </c>
      <c r="I1874" t="s">
        <v>2230</v>
      </c>
      <c r="J1874">
        <v>1</v>
      </c>
      <c r="K1874">
        <v>0</v>
      </c>
      <c r="L1874" t="s">
        <v>2658</v>
      </c>
      <c r="M1874" t="s">
        <v>2677</v>
      </c>
      <c r="P1874" t="s">
        <v>3194</v>
      </c>
      <c r="Q1874" t="s">
        <v>2113</v>
      </c>
      <c r="R1874" t="s">
        <v>3258</v>
      </c>
      <c r="S1874" t="s">
        <v>3271</v>
      </c>
      <c r="X1874" t="s">
        <v>3354</v>
      </c>
      <c r="Y1874" t="s">
        <v>2677</v>
      </c>
      <c r="Z1874" t="s">
        <v>3362</v>
      </c>
      <c r="AA1874" t="s">
        <v>3406</v>
      </c>
      <c r="AB1874" t="s">
        <v>3419</v>
      </c>
      <c r="AC1874">
        <f>HYPERLINK("https://lsnyc.legalserver.org/matter/dynamic-profile/view/1839379","17-1839379")</f>
        <v>0</v>
      </c>
      <c r="AD1874" t="s">
        <v>3445</v>
      </c>
      <c r="AE1874" t="s">
        <v>3455</v>
      </c>
      <c r="AF1874" t="s">
        <v>4841</v>
      </c>
      <c r="AG1874" t="s">
        <v>3362</v>
      </c>
      <c r="AH1874" t="s">
        <v>4904</v>
      </c>
      <c r="AL1874" t="s">
        <v>2183</v>
      </c>
      <c r="AN1874" t="s">
        <v>3419</v>
      </c>
    </row>
    <row r="1875" spans="1:41">
      <c r="A1875" s="1" t="s">
        <v>1910</v>
      </c>
      <c r="B1875" t="s">
        <v>2001</v>
      </c>
      <c r="C1875" t="s">
        <v>1998</v>
      </c>
      <c r="D1875" t="s">
        <v>2049</v>
      </c>
      <c r="E1875" t="s">
        <v>2112</v>
      </c>
      <c r="F1875" t="s">
        <v>2121</v>
      </c>
      <c r="G1875" t="s">
        <v>2212</v>
      </c>
      <c r="H1875">
        <v>11420</v>
      </c>
      <c r="I1875" t="s">
        <v>2230</v>
      </c>
      <c r="J1875">
        <v>4</v>
      </c>
      <c r="K1875">
        <v>2</v>
      </c>
      <c r="L1875" t="s">
        <v>2260</v>
      </c>
      <c r="M1875" t="s">
        <v>2677</v>
      </c>
      <c r="P1875" t="s">
        <v>2746</v>
      </c>
      <c r="Q1875" t="s">
        <v>2113</v>
      </c>
      <c r="R1875" t="s">
        <v>3258</v>
      </c>
      <c r="S1875" t="s">
        <v>3273</v>
      </c>
      <c r="T1875" t="s">
        <v>3294</v>
      </c>
      <c r="U1875" t="s">
        <v>3106</v>
      </c>
      <c r="V1875" t="s">
        <v>3352</v>
      </c>
      <c r="X1875" t="s">
        <v>3354</v>
      </c>
      <c r="Y1875" t="s">
        <v>2678</v>
      </c>
      <c r="Z1875" t="s">
        <v>3365</v>
      </c>
      <c r="AA1875" t="s">
        <v>3406</v>
      </c>
      <c r="AB1875" t="s">
        <v>3421</v>
      </c>
      <c r="AC1875">
        <f>HYPERLINK("https://lsnyc.legalserver.org/matter/dynamic-profile/view/1839286","17-1839286")</f>
        <v>0</v>
      </c>
      <c r="AD1875" t="s">
        <v>3443</v>
      </c>
      <c r="AE1875" t="s">
        <v>3450</v>
      </c>
      <c r="AF1875" t="s">
        <v>4727</v>
      </c>
      <c r="AG1875" t="s">
        <v>3365</v>
      </c>
      <c r="AH1875" t="s">
        <v>4904</v>
      </c>
      <c r="AL1875" t="s">
        <v>2121</v>
      </c>
      <c r="AM1875" t="s">
        <v>3294</v>
      </c>
      <c r="AN1875" t="s">
        <v>3421</v>
      </c>
      <c r="AO1875" t="s">
        <v>3352</v>
      </c>
    </row>
    <row r="1876" spans="1:41">
      <c r="A1876" s="1" t="s">
        <v>1911</v>
      </c>
      <c r="B1876" t="s">
        <v>2000</v>
      </c>
      <c r="C1876" t="s">
        <v>2001</v>
      </c>
      <c r="D1876" t="s">
        <v>2046</v>
      </c>
      <c r="E1876" t="s">
        <v>2111</v>
      </c>
      <c r="F1876" t="s">
        <v>2122</v>
      </c>
      <c r="G1876" t="s">
        <v>2214</v>
      </c>
      <c r="H1876">
        <v>11216</v>
      </c>
      <c r="I1876" t="s">
        <v>2230</v>
      </c>
      <c r="J1876">
        <v>1</v>
      </c>
      <c r="K1876">
        <v>0</v>
      </c>
      <c r="L1876" t="s">
        <v>2659</v>
      </c>
      <c r="M1876" t="s">
        <v>2677</v>
      </c>
      <c r="P1876" t="s">
        <v>3195</v>
      </c>
      <c r="Q1876" t="s">
        <v>3255</v>
      </c>
      <c r="R1876" t="s">
        <v>3258</v>
      </c>
      <c r="S1876" t="s">
        <v>3271</v>
      </c>
      <c r="X1876" t="s">
        <v>3354</v>
      </c>
      <c r="Y1876" t="s">
        <v>2677</v>
      </c>
      <c r="Z1876" t="s">
        <v>3362</v>
      </c>
      <c r="AA1876" t="s">
        <v>3406</v>
      </c>
      <c r="AB1876" t="s">
        <v>3419</v>
      </c>
      <c r="AC1876">
        <f>HYPERLINK("https://lsnyc.legalserver.org/matter/dynamic-profile/view/1838717","17-1838717")</f>
        <v>0</v>
      </c>
      <c r="AD1876" t="s">
        <v>3443</v>
      </c>
      <c r="AE1876" t="s">
        <v>3477</v>
      </c>
      <c r="AF1876" t="s">
        <v>4842</v>
      </c>
      <c r="AG1876" t="s">
        <v>3362</v>
      </c>
      <c r="AH1876" t="s">
        <v>4904</v>
      </c>
      <c r="AK1876" t="s">
        <v>4911</v>
      </c>
      <c r="AL1876" t="s">
        <v>2122</v>
      </c>
      <c r="AN1876" t="s">
        <v>3419</v>
      </c>
    </row>
    <row r="1877" spans="1:41">
      <c r="A1877" s="1" t="s">
        <v>1912</v>
      </c>
      <c r="B1877" t="s">
        <v>2000</v>
      </c>
      <c r="C1877" t="s">
        <v>2000</v>
      </c>
      <c r="D1877" t="s">
        <v>2079</v>
      </c>
      <c r="E1877" t="s">
        <v>2111</v>
      </c>
      <c r="F1877" t="s">
        <v>2123</v>
      </c>
      <c r="G1877" t="s">
        <v>2212</v>
      </c>
      <c r="H1877">
        <v>11421</v>
      </c>
      <c r="I1877" t="s">
        <v>2229</v>
      </c>
      <c r="J1877">
        <v>9</v>
      </c>
      <c r="K1877">
        <v>2</v>
      </c>
      <c r="L1877" t="s">
        <v>2258</v>
      </c>
      <c r="M1877" t="s">
        <v>2677</v>
      </c>
      <c r="P1877" t="s">
        <v>3195</v>
      </c>
      <c r="Q1877" t="s">
        <v>2113</v>
      </c>
      <c r="R1877" t="s">
        <v>3258</v>
      </c>
      <c r="S1877" t="s">
        <v>3271</v>
      </c>
      <c r="X1877" t="s">
        <v>3354</v>
      </c>
      <c r="Y1877" t="s">
        <v>2677</v>
      </c>
      <c r="Z1877" t="s">
        <v>3362</v>
      </c>
      <c r="AA1877" t="s">
        <v>3406</v>
      </c>
      <c r="AB1877" t="s">
        <v>3419</v>
      </c>
      <c r="AC1877">
        <f>HYPERLINK("https://lsnyc.legalserver.org/matter/dynamic-profile/view/1838730","17-1838730")</f>
        <v>0</v>
      </c>
      <c r="AD1877" t="s">
        <v>3445</v>
      </c>
      <c r="AE1877" t="s">
        <v>3455</v>
      </c>
      <c r="AF1877" t="s">
        <v>4843</v>
      </c>
      <c r="AG1877" t="s">
        <v>3362</v>
      </c>
      <c r="AH1877" t="s">
        <v>4904</v>
      </c>
      <c r="AK1877" t="s">
        <v>4911</v>
      </c>
      <c r="AL1877" t="s">
        <v>2123</v>
      </c>
      <c r="AN1877" t="s">
        <v>3419</v>
      </c>
    </row>
    <row r="1878" spans="1:41">
      <c r="A1878" s="1" t="s">
        <v>1913</v>
      </c>
      <c r="B1878" t="s">
        <v>2000</v>
      </c>
      <c r="C1878" t="s">
        <v>2001</v>
      </c>
      <c r="D1878" t="s">
        <v>2087</v>
      </c>
      <c r="E1878" t="s">
        <v>2112</v>
      </c>
      <c r="F1878" t="s">
        <v>2115</v>
      </c>
      <c r="G1878" t="s">
        <v>2212</v>
      </c>
      <c r="H1878">
        <v>11435</v>
      </c>
      <c r="J1878">
        <v>1</v>
      </c>
      <c r="K1878">
        <v>0</v>
      </c>
      <c r="L1878" t="s">
        <v>2660</v>
      </c>
      <c r="M1878" t="s">
        <v>2677</v>
      </c>
      <c r="P1878" t="s">
        <v>3196</v>
      </c>
      <c r="Q1878" t="s">
        <v>2113</v>
      </c>
      <c r="R1878" t="s">
        <v>3258</v>
      </c>
      <c r="S1878" t="s">
        <v>3271</v>
      </c>
      <c r="T1878" t="s">
        <v>3294</v>
      </c>
      <c r="X1878" t="s">
        <v>3354</v>
      </c>
      <c r="Y1878" t="s">
        <v>2678</v>
      </c>
      <c r="Z1878" t="s">
        <v>3362</v>
      </c>
      <c r="AA1878" t="s">
        <v>3406</v>
      </c>
      <c r="AB1878" t="s">
        <v>3419</v>
      </c>
      <c r="AC1878">
        <f>HYPERLINK("https://lsnyc.legalserver.org/matter/dynamic-profile/view/1837882","17-1837882")</f>
        <v>0</v>
      </c>
      <c r="AD1878" t="s">
        <v>3443</v>
      </c>
      <c r="AE1878" t="s">
        <v>3477</v>
      </c>
      <c r="AF1878" t="s">
        <v>4844</v>
      </c>
      <c r="AG1878" t="s">
        <v>3362</v>
      </c>
      <c r="AH1878" t="s">
        <v>4904</v>
      </c>
      <c r="AK1878" t="s">
        <v>4911</v>
      </c>
      <c r="AL1878" t="s">
        <v>2115</v>
      </c>
      <c r="AM1878" t="s">
        <v>3294</v>
      </c>
      <c r="AN1878" t="s">
        <v>3419</v>
      </c>
    </row>
    <row r="1879" spans="1:41">
      <c r="A1879" s="1" t="s">
        <v>1914</v>
      </c>
      <c r="B1879" t="s">
        <v>2016</v>
      </c>
      <c r="C1879" t="s">
        <v>1998</v>
      </c>
      <c r="D1879" t="s">
        <v>2046</v>
      </c>
      <c r="E1879" t="s">
        <v>2112</v>
      </c>
      <c r="F1879" t="s">
        <v>2206</v>
      </c>
      <c r="G1879" t="s">
        <v>2212</v>
      </c>
      <c r="H1879">
        <v>11368</v>
      </c>
      <c r="I1879" t="s">
        <v>2113</v>
      </c>
      <c r="J1879">
        <v>1</v>
      </c>
      <c r="K1879">
        <v>0</v>
      </c>
      <c r="L1879" t="s">
        <v>2260</v>
      </c>
      <c r="M1879" t="s">
        <v>2677</v>
      </c>
      <c r="P1879" t="s">
        <v>3197</v>
      </c>
      <c r="Q1879" t="s">
        <v>2113</v>
      </c>
      <c r="R1879" t="s">
        <v>3259</v>
      </c>
      <c r="S1879" t="s">
        <v>3267</v>
      </c>
      <c r="X1879" t="s">
        <v>3354</v>
      </c>
      <c r="Y1879" t="s">
        <v>2678</v>
      </c>
      <c r="Z1879" t="s">
        <v>3359</v>
      </c>
      <c r="AA1879" t="s">
        <v>3406</v>
      </c>
      <c r="AB1879" t="s">
        <v>3415</v>
      </c>
      <c r="AC1879">
        <f>HYPERLINK("https://lsnyc.legalserver.org/matter/dynamic-profile/view/1837667","17-1837667")</f>
        <v>0</v>
      </c>
      <c r="AD1879" t="s">
        <v>3446</v>
      </c>
      <c r="AE1879" t="s">
        <v>3481</v>
      </c>
      <c r="AF1879" t="s">
        <v>4845</v>
      </c>
      <c r="AG1879" t="s">
        <v>3359</v>
      </c>
      <c r="AH1879" t="s">
        <v>4906</v>
      </c>
      <c r="AK1879" t="s">
        <v>4911</v>
      </c>
      <c r="AL1879" t="s">
        <v>2206</v>
      </c>
      <c r="AN1879" t="s">
        <v>3415</v>
      </c>
    </row>
    <row r="1880" spans="1:41">
      <c r="A1880" s="1" t="s">
        <v>1915</v>
      </c>
      <c r="B1880" t="s">
        <v>2016</v>
      </c>
      <c r="C1880" t="s">
        <v>1998</v>
      </c>
      <c r="D1880" t="s">
        <v>2029</v>
      </c>
      <c r="E1880" t="s">
        <v>2112</v>
      </c>
      <c r="F1880" t="s">
        <v>2207</v>
      </c>
      <c r="G1880" t="s">
        <v>2213</v>
      </c>
      <c r="H1880">
        <v>10459</v>
      </c>
      <c r="I1880" t="s">
        <v>2254</v>
      </c>
      <c r="J1880">
        <v>2</v>
      </c>
      <c r="K1880">
        <v>1</v>
      </c>
      <c r="L1880" t="s">
        <v>2661</v>
      </c>
      <c r="M1880" t="s">
        <v>2677</v>
      </c>
      <c r="P1880" t="s">
        <v>3198</v>
      </c>
      <c r="Q1880" t="s">
        <v>3255</v>
      </c>
      <c r="R1880" t="s">
        <v>3258</v>
      </c>
      <c r="S1880" t="s">
        <v>3271</v>
      </c>
      <c r="T1880" t="s">
        <v>3294</v>
      </c>
      <c r="U1880" t="s">
        <v>3332</v>
      </c>
      <c r="X1880" t="s">
        <v>3354</v>
      </c>
      <c r="Y1880" t="s">
        <v>2677</v>
      </c>
      <c r="Z1880" t="s">
        <v>3362</v>
      </c>
      <c r="AA1880" t="s">
        <v>3406</v>
      </c>
      <c r="AB1880" t="s">
        <v>3419</v>
      </c>
      <c r="AC1880">
        <f>HYPERLINK("https://lsnyc.legalserver.org/matter/dynamic-profile/view/1837504","17-1837504")</f>
        <v>0</v>
      </c>
      <c r="AD1880" t="s">
        <v>3444</v>
      </c>
      <c r="AE1880" t="s">
        <v>3494</v>
      </c>
      <c r="AF1880" t="s">
        <v>4846</v>
      </c>
      <c r="AG1880" t="s">
        <v>3362</v>
      </c>
      <c r="AH1880" t="s">
        <v>4904</v>
      </c>
      <c r="AK1880" t="s">
        <v>4911</v>
      </c>
      <c r="AL1880" t="s">
        <v>2207</v>
      </c>
      <c r="AM1880" t="s">
        <v>3294</v>
      </c>
      <c r="AN1880" t="s">
        <v>3419</v>
      </c>
    </row>
    <row r="1881" spans="1:41">
      <c r="A1881" s="1" t="s">
        <v>1916</v>
      </c>
      <c r="B1881" t="s">
        <v>2007</v>
      </c>
      <c r="C1881" t="s">
        <v>2002</v>
      </c>
      <c r="D1881" t="s">
        <v>2094</v>
      </c>
      <c r="E1881" t="s">
        <v>2111</v>
      </c>
      <c r="F1881" t="s">
        <v>2208</v>
      </c>
      <c r="G1881" t="s">
        <v>2214</v>
      </c>
      <c r="H1881">
        <v>11237</v>
      </c>
      <c r="I1881" t="s">
        <v>2230</v>
      </c>
      <c r="J1881">
        <v>1</v>
      </c>
      <c r="K1881">
        <v>0</v>
      </c>
      <c r="L1881" t="s">
        <v>2260</v>
      </c>
      <c r="M1881" t="s">
        <v>2677</v>
      </c>
      <c r="P1881" t="s">
        <v>3198</v>
      </c>
      <c r="Q1881" t="s">
        <v>2113</v>
      </c>
      <c r="R1881" t="s">
        <v>3259</v>
      </c>
      <c r="S1881" t="s">
        <v>3268</v>
      </c>
      <c r="T1881" t="s">
        <v>3294</v>
      </c>
      <c r="U1881" t="s">
        <v>3185</v>
      </c>
      <c r="X1881" t="s">
        <v>3354</v>
      </c>
      <c r="Y1881" t="s">
        <v>2677</v>
      </c>
      <c r="Z1881" t="s">
        <v>3368</v>
      </c>
      <c r="AA1881" t="s">
        <v>3406</v>
      </c>
      <c r="AB1881" t="s">
        <v>3416</v>
      </c>
      <c r="AC1881">
        <f>HYPERLINK("https://lsnyc.legalserver.org/matter/dynamic-profile/view/1837539","17-1837539")</f>
        <v>0</v>
      </c>
      <c r="AD1881" t="s">
        <v>3446</v>
      </c>
      <c r="AE1881" t="s">
        <v>3456</v>
      </c>
      <c r="AF1881" t="s">
        <v>4847</v>
      </c>
      <c r="AG1881" t="s">
        <v>3368</v>
      </c>
      <c r="AH1881" t="s">
        <v>4904</v>
      </c>
      <c r="AK1881" t="s">
        <v>4911</v>
      </c>
      <c r="AL1881" t="s">
        <v>2208</v>
      </c>
      <c r="AM1881" t="s">
        <v>3294</v>
      </c>
      <c r="AN1881" t="s">
        <v>3416</v>
      </c>
    </row>
    <row r="1882" spans="1:41">
      <c r="A1882" s="1" t="s">
        <v>1917</v>
      </c>
      <c r="B1882" t="s">
        <v>2000</v>
      </c>
      <c r="C1882" t="s">
        <v>2000</v>
      </c>
      <c r="D1882" t="s">
        <v>2048</v>
      </c>
      <c r="E1882" t="s">
        <v>2112</v>
      </c>
      <c r="F1882" t="s">
        <v>2123</v>
      </c>
      <c r="G1882" t="s">
        <v>2213</v>
      </c>
      <c r="H1882">
        <v>10459</v>
      </c>
      <c r="I1882" t="s">
        <v>2229</v>
      </c>
      <c r="J1882">
        <v>3</v>
      </c>
      <c r="K1882">
        <v>0</v>
      </c>
      <c r="L1882" t="s">
        <v>2266</v>
      </c>
      <c r="M1882" t="s">
        <v>2677</v>
      </c>
      <c r="P1882" t="s">
        <v>3199</v>
      </c>
      <c r="Q1882" t="s">
        <v>2113</v>
      </c>
      <c r="R1882" t="s">
        <v>3258</v>
      </c>
      <c r="S1882" t="s">
        <v>3278</v>
      </c>
      <c r="T1882" t="s">
        <v>3294</v>
      </c>
      <c r="U1882" t="s">
        <v>2954</v>
      </c>
      <c r="X1882" t="s">
        <v>3354</v>
      </c>
      <c r="Y1882" t="s">
        <v>2678</v>
      </c>
      <c r="Z1882" t="s">
        <v>3376</v>
      </c>
      <c r="AA1882" t="s">
        <v>3406</v>
      </c>
      <c r="AB1882" t="s">
        <v>3426</v>
      </c>
      <c r="AC1882">
        <f>HYPERLINK("https://lsnyc.legalserver.org/matter/dynamic-profile/view/1837006","17-1837006")</f>
        <v>0</v>
      </c>
      <c r="AD1882" t="s">
        <v>3444</v>
      </c>
      <c r="AE1882" t="s">
        <v>3468</v>
      </c>
      <c r="AF1882" t="s">
        <v>4848</v>
      </c>
      <c r="AG1882" t="s">
        <v>3376</v>
      </c>
      <c r="AH1882" t="s">
        <v>4904</v>
      </c>
      <c r="AK1882" t="s">
        <v>4911</v>
      </c>
      <c r="AL1882" t="s">
        <v>2123</v>
      </c>
      <c r="AM1882" t="s">
        <v>3294</v>
      </c>
      <c r="AN1882" t="s">
        <v>3426</v>
      </c>
    </row>
    <row r="1883" spans="1:41">
      <c r="A1883" s="1" t="s">
        <v>1918</v>
      </c>
      <c r="B1883" t="s">
        <v>2001</v>
      </c>
      <c r="C1883" t="s">
        <v>2012</v>
      </c>
      <c r="D1883" t="s">
        <v>2046</v>
      </c>
      <c r="E1883" t="s">
        <v>2112</v>
      </c>
      <c r="F1883" t="s">
        <v>2209</v>
      </c>
      <c r="G1883" t="s">
        <v>2212</v>
      </c>
      <c r="H1883">
        <v>11373</v>
      </c>
      <c r="I1883" t="s">
        <v>2229</v>
      </c>
      <c r="J1883">
        <v>1</v>
      </c>
      <c r="K1883">
        <v>0</v>
      </c>
      <c r="L1883" t="s">
        <v>2275</v>
      </c>
      <c r="M1883" t="s">
        <v>2677</v>
      </c>
      <c r="P1883" t="s">
        <v>3200</v>
      </c>
      <c r="Q1883" t="s">
        <v>2113</v>
      </c>
      <c r="R1883" t="s">
        <v>3258</v>
      </c>
      <c r="S1883" t="s">
        <v>3271</v>
      </c>
      <c r="X1883" t="s">
        <v>3354</v>
      </c>
      <c r="Y1883" t="s">
        <v>2677</v>
      </c>
      <c r="Z1883" t="s">
        <v>3362</v>
      </c>
      <c r="AA1883" t="s">
        <v>3406</v>
      </c>
      <c r="AB1883" t="s">
        <v>3419</v>
      </c>
      <c r="AC1883">
        <f>HYPERLINK("https://lsnyc.legalserver.org/matter/dynamic-profile/view/1836689","17-1836689")</f>
        <v>0</v>
      </c>
      <c r="AD1883" t="s">
        <v>3443</v>
      </c>
      <c r="AE1883" t="s">
        <v>3450</v>
      </c>
      <c r="AF1883" t="s">
        <v>4849</v>
      </c>
      <c r="AG1883" t="s">
        <v>3362</v>
      </c>
      <c r="AH1883" t="s">
        <v>4904</v>
      </c>
      <c r="AK1883" t="s">
        <v>4911</v>
      </c>
      <c r="AL1883" t="s">
        <v>2209</v>
      </c>
      <c r="AN1883" t="s">
        <v>3419</v>
      </c>
    </row>
    <row r="1884" spans="1:41">
      <c r="A1884" s="1" t="s">
        <v>1919</v>
      </c>
      <c r="B1884" t="s">
        <v>2000</v>
      </c>
      <c r="C1884" t="s">
        <v>2016</v>
      </c>
      <c r="D1884" t="s">
        <v>2032</v>
      </c>
      <c r="E1884" t="s">
        <v>2111</v>
      </c>
      <c r="F1884" t="s">
        <v>2131</v>
      </c>
      <c r="G1884" t="s">
        <v>2216</v>
      </c>
      <c r="H1884">
        <v>10303</v>
      </c>
      <c r="I1884" t="s">
        <v>2229</v>
      </c>
      <c r="J1884">
        <v>2</v>
      </c>
      <c r="K1884">
        <v>0</v>
      </c>
      <c r="L1884" t="s">
        <v>2260</v>
      </c>
      <c r="M1884" t="s">
        <v>2677</v>
      </c>
      <c r="P1884" t="s">
        <v>3201</v>
      </c>
      <c r="Q1884" t="s">
        <v>3255</v>
      </c>
      <c r="R1884" t="s">
        <v>3259</v>
      </c>
      <c r="S1884" t="s">
        <v>3268</v>
      </c>
      <c r="T1884" t="s">
        <v>3294</v>
      </c>
      <c r="U1884" t="s">
        <v>3333</v>
      </c>
      <c r="X1884" t="s">
        <v>3354</v>
      </c>
      <c r="Y1884" t="s">
        <v>2678</v>
      </c>
      <c r="Z1884" t="s">
        <v>3368</v>
      </c>
      <c r="AA1884" t="s">
        <v>3406</v>
      </c>
      <c r="AB1884" t="s">
        <v>3416</v>
      </c>
      <c r="AC1884">
        <f>HYPERLINK("https://lsnyc.legalserver.org/matter/dynamic-profile/view/1836339","17-1836339")</f>
        <v>0</v>
      </c>
      <c r="AD1884" t="s">
        <v>3447</v>
      </c>
      <c r="AE1884" t="s">
        <v>3459</v>
      </c>
      <c r="AF1884" t="s">
        <v>4850</v>
      </c>
      <c r="AG1884" t="s">
        <v>3368</v>
      </c>
      <c r="AH1884" t="s">
        <v>4904</v>
      </c>
      <c r="AK1884" t="s">
        <v>4911</v>
      </c>
      <c r="AL1884" t="s">
        <v>2131</v>
      </c>
      <c r="AM1884" t="s">
        <v>3294</v>
      </c>
      <c r="AN1884" t="s">
        <v>3416</v>
      </c>
    </row>
    <row r="1885" spans="1:41">
      <c r="A1885" s="1" t="s">
        <v>1920</v>
      </c>
      <c r="B1885" t="s">
        <v>2016</v>
      </c>
      <c r="C1885" t="s">
        <v>2009</v>
      </c>
      <c r="D1885" t="s">
        <v>2094</v>
      </c>
      <c r="E1885" t="s">
        <v>2112</v>
      </c>
      <c r="F1885" t="s">
        <v>2115</v>
      </c>
      <c r="G1885" t="s">
        <v>2216</v>
      </c>
      <c r="H1885">
        <v>10304</v>
      </c>
      <c r="I1885" t="s">
        <v>2229</v>
      </c>
      <c r="J1885">
        <v>2</v>
      </c>
      <c r="K1885">
        <v>0</v>
      </c>
      <c r="L1885" t="s">
        <v>2392</v>
      </c>
      <c r="M1885" t="s">
        <v>2677</v>
      </c>
      <c r="P1885" t="s">
        <v>3202</v>
      </c>
      <c r="Q1885" t="s">
        <v>2113</v>
      </c>
      <c r="R1885" t="s">
        <v>3259</v>
      </c>
      <c r="S1885" t="s">
        <v>3267</v>
      </c>
      <c r="T1885" t="s">
        <v>3294</v>
      </c>
      <c r="U1885" t="s">
        <v>3180</v>
      </c>
      <c r="X1885" t="s">
        <v>3354</v>
      </c>
      <c r="Y1885" t="s">
        <v>2678</v>
      </c>
      <c r="Z1885" t="s">
        <v>3380</v>
      </c>
      <c r="AA1885" t="s">
        <v>3406</v>
      </c>
      <c r="AB1885" t="s">
        <v>3415</v>
      </c>
      <c r="AC1885">
        <f>HYPERLINK("https://lsnyc.legalserver.org/matter/dynamic-profile/view/1834992","17-1834992")</f>
        <v>0</v>
      </c>
      <c r="AD1885" t="s">
        <v>3447</v>
      </c>
      <c r="AE1885" t="s">
        <v>3478</v>
      </c>
      <c r="AF1885" t="s">
        <v>4851</v>
      </c>
      <c r="AG1885" t="s">
        <v>3380</v>
      </c>
      <c r="AH1885" t="s">
        <v>4906</v>
      </c>
      <c r="AK1885" t="s">
        <v>4911</v>
      </c>
      <c r="AL1885" t="s">
        <v>2115</v>
      </c>
      <c r="AM1885" t="s">
        <v>3294</v>
      </c>
      <c r="AN1885" t="s">
        <v>3415</v>
      </c>
    </row>
    <row r="1886" spans="1:41">
      <c r="A1886" s="1" t="s">
        <v>1921</v>
      </c>
      <c r="B1886" t="s">
        <v>1998</v>
      </c>
      <c r="C1886" t="s">
        <v>1998</v>
      </c>
      <c r="D1886" t="s">
        <v>2080</v>
      </c>
      <c r="E1886" t="s">
        <v>2111</v>
      </c>
      <c r="F1886" t="s">
        <v>2134</v>
      </c>
      <c r="G1886" t="s">
        <v>2214</v>
      </c>
      <c r="H1886">
        <v>11235</v>
      </c>
      <c r="I1886" t="s">
        <v>2232</v>
      </c>
      <c r="J1886">
        <v>1</v>
      </c>
      <c r="K1886">
        <v>0</v>
      </c>
      <c r="L1886" t="s">
        <v>2260</v>
      </c>
      <c r="M1886" t="s">
        <v>2677</v>
      </c>
      <c r="P1886" t="s">
        <v>3203</v>
      </c>
      <c r="Q1886" t="s">
        <v>2113</v>
      </c>
      <c r="R1886" t="s">
        <v>3259</v>
      </c>
      <c r="S1886" t="s">
        <v>3268</v>
      </c>
      <c r="X1886" t="s">
        <v>3354</v>
      </c>
      <c r="Y1886" t="s">
        <v>2678</v>
      </c>
      <c r="Z1886" t="s">
        <v>3368</v>
      </c>
      <c r="AA1886" t="s">
        <v>3406</v>
      </c>
      <c r="AB1886" t="s">
        <v>3416</v>
      </c>
      <c r="AC1886">
        <f>HYPERLINK("https://lsnyc.legalserver.org/matter/dynamic-profile/view/1835752","17-1835752")</f>
        <v>0</v>
      </c>
      <c r="AD1886" t="s">
        <v>3446</v>
      </c>
      <c r="AE1886" t="s">
        <v>3456</v>
      </c>
      <c r="AF1886" t="s">
        <v>4852</v>
      </c>
      <c r="AG1886" t="s">
        <v>3368</v>
      </c>
      <c r="AH1886" t="s">
        <v>4904</v>
      </c>
      <c r="AK1886" t="s">
        <v>4911</v>
      </c>
      <c r="AL1886" t="s">
        <v>2134</v>
      </c>
      <c r="AN1886" t="s">
        <v>3416</v>
      </c>
    </row>
    <row r="1887" spans="1:41">
      <c r="A1887" s="1" t="s">
        <v>1922</v>
      </c>
      <c r="B1887" t="s">
        <v>2002</v>
      </c>
      <c r="C1887" t="s">
        <v>2001</v>
      </c>
      <c r="D1887" t="s">
        <v>2057</v>
      </c>
      <c r="E1887" t="s">
        <v>2112</v>
      </c>
      <c r="F1887" t="s">
        <v>2129</v>
      </c>
      <c r="G1887" t="s">
        <v>2214</v>
      </c>
      <c r="H1887">
        <v>11235</v>
      </c>
      <c r="I1887" t="s">
        <v>2230</v>
      </c>
      <c r="J1887">
        <v>2</v>
      </c>
      <c r="K1887">
        <v>1</v>
      </c>
      <c r="L1887" t="s">
        <v>2315</v>
      </c>
      <c r="M1887" t="s">
        <v>2677</v>
      </c>
      <c r="P1887" t="s">
        <v>2921</v>
      </c>
      <c r="Q1887" t="s">
        <v>2113</v>
      </c>
      <c r="R1887" t="s">
        <v>3258</v>
      </c>
      <c r="S1887" t="s">
        <v>3271</v>
      </c>
      <c r="T1887" t="s">
        <v>3294</v>
      </c>
      <c r="U1887" t="s">
        <v>2781</v>
      </c>
      <c r="X1887" t="s">
        <v>3354</v>
      </c>
      <c r="Y1887" t="s">
        <v>2677</v>
      </c>
      <c r="Z1887" t="s">
        <v>3362</v>
      </c>
      <c r="AA1887" t="s">
        <v>3406</v>
      </c>
      <c r="AB1887" t="s">
        <v>3419</v>
      </c>
      <c r="AC1887">
        <f>HYPERLINK("https://lsnyc.legalserver.org/matter/dynamic-profile/view/1835785","17-1835785")</f>
        <v>0</v>
      </c>
      <c r="AD1887" t="s">
        <v>3445</v>
      </c>
      <c r="AE1887" t="s">
        <v>3452</v>
      </c>
      <c r="AF1887" t="s">
        <v>3981</v>
      </c>
      <c r="AG1887" t="s">
        <v>3362</v>
      </c>
      <c r="AH1887" t="s">
        <v>4904</v>
      </c>
      <c r="AK1887" t="s">
        <v>4911</v>
      </c>
      <c r="AL1887" t="s">
        <v>2129</v>
      </c>
      <c r="AM1887" t="s">
        <v>3294</v>
      </c>
      <c r="AN1887" t="s">
        <v>3419</v>
      </c>
    </row>
    <row r="1888" spans="1:41">
      <c r="A1888" s="1" t="s">
        <v>1923</v>
      </c>
      <c r="B1888" t="s">
        <v>2001</v>
      </c>
      <c r="C1888" t="s">
        <v>2016</v>
      </c>
      <c r="D1888" t="s">
        <v>2054</v>
      </c>
      <c r="E1888" t="s">
        <v>2112</v>
      </c>
      <c r="F1888" t="s">
        <v>2115</v>
      </c>
      <c r="G1888" t="s">
        <v>2212</v>
      </c>
      <c r="H1888">
        <v>11412</v>
      </c>
      <c r="I1888" t="s">
        <v>2229</v>
      </c>
      <c r="J1888">
        <v>1</v>
      </c>
      <c r="K1888">
        <v>0</v>
      </c>
      <c r="L1888" t="s">
        <v>2256</v>
      </c>
      <c r="M1888" t="s">
        <v>2677</v>
      </c>
      <c r="P1888" t="s">
        <v>3204</v>
      </c>
      <c r="Q1888" t="s">
        <v>3255</v>
      </c>
      <c r="R1888" t="s">
        <v>3259</v>
      </c>
      <c r="S1888" t="s">
        <v>3267</v>
      </c>
      <c r="X1888" t="s">
        <v>3354</v>
      </c>
      <c r="Y1888" t="s">
        <v>2678</v>
      </c>
      <c r="Z1888" t="s">
        <v>3359</v>
      </c>
      <c r="AA1888" t="s">
        <v>3406</v>
      </c>
      <c r="AB1888" t="s">
        <v>3415</v>
      </c>
      <c r="AC1888">
        <f>HYPERLINK("https://lsnyc.legalserver.org/matter/dynamic-profile/view/1835445","17-1835445")</f>
        <v>0</v>
      </c>
      <c r="AD1888" t="s">
        <v>3443</v>
      </c>
      <c r="AE1888" t="s">
        <v>3467</v>
      </c>
      <c r="AF1888" t="s">
        <v>3972</v>
      </c>
      <c r="AG1888" t="s">
        <v>3359</v>
      </c>
      <c r="AH1888" t="s">
        <v>4906</v>
      </c>
      <c r="AK1888" t="s">
        <v>4911</v>
      </c>
      <c r="AL1888" t="s">
        <v>2115</v>
      </c>
      <c r="AN1888" t="s">
        <v>3415</v>
      </c>
    </row>
    <row r="1889" spans="1:41">
      <c r="A1889" s="1" t="s">
        <v>1924</v>
      </c>
      <c r="B1889" t="s">
        <v>2004</v>
      </c>
      <c r="C1889" t="s">
        <v>1998</v>
      </c>
      <c r="D1889" t="s">
        <v>2057</v>
      </c>
      <c r="E1889" t="s">
        <v>2111</v>
      </c>
      <c r="F1889" t="s">
        <v>2129</v>
      </c>
      <c r="G1889" t="s">
        <v>2214</v>
      </c>
      <c r="H1889">
        <v>11235</v>
      </c>
      <c r="I1889" t="s">
        <v>2232</v>
      </c>
      <c r="J1889">
        <v>2</v>
      </c>
      <c r="K1889">
        <v>0</v>
      </c>
      <c r="L1889" t="s">
        <v>2294</v>
      </c>
      <c r="M1889" t="s">
        <v>2678</v>
      </c>
      <c r="N1889" t="s">
        <v>2679</v>
      </c>
      <c r="O1889" t="s">
        <v>2685</v>
      </c>
      <c r="P1889" t="s">
        <v>3204</v>
      </c>
      <c r="Q1889" t="s">
        <v>2113</v>
      </c>
      <c r="R1889" t="s">
        <v>3259</v>
      </c>
      <c r="S1889" t="s">
        <v>3268</v>
      </c>
      <c r="T1889" t="s">
        <v>3294</v>
      </c>
      <c r="U1889" t="s">
        <v>3334</v>
      </c>
      <c r="X1889" t="s">
        <v>3354</v>
      </c>
      <c r="Y1889" t="s">
        <v>2677</v>
      </c>
      <c r="Z1889" t="s">
        <v>3368</v>
      </c>
      <c r="AA1889" t="s">
        <v>3406</v>
      </c>
      <c r="AB1889" t="s">
        <v>3416</v>
      </c>
      <c r="AC1889">
        <f>HYPERLINK("https://lsnyc.legalserver.org/matter/dynamic-profile/view/1835510","17-1835510")</f>
        <v>0</v>
      </c>
      <c r="AD1889" t="s">
        <v>3446</v>
      </c>
      <c r="AE1889" t="s">
        <v>3456</v>
      </c>
      <c r="AF1889" t="s">
        <v>4853</v>
      </c>
      <c r="AG1889" t="s">
        <v>3368</v>
      </c>
      <c r="AH1889" t="s">
        <v>4904</v>
      </c>
      <c r="AK1889" t="s">
        <v>4911</v>
      </c>
      <c r="AL1889" t="s">
        <v>2129</v>
      </c>
      <c r="AM1889" t="s">
        <v>3294</v>
      </c>
      <c r="AN1889" t="s">
        <v>3416</v>
      </c>
    </row>
    <row r="1890" spans="1:41">
      <c r="A1890" s="1" t="s">
        <v>1925</v>
      </c>
      <c r="B1890" t="s">
        <v>2000</v>
      </c>
      <c r="C1890" t="s">
        <v>1998</v>
      </c>
      <c r="D1890" t="s">
        <v>2028</v>
      </c>
      <c r="E1890" t="s">
        <v>2112</v>
      </c>
      <c r="F1890" t="s">
        <v>2179</v>
      </c>
      <c r="G1890" t="s">
        <v>2214</v>
      </c>
      <c r="H1890">
        <v>11233</v>
      </c>
      <c r="I1890" t="s">
        <v>2230</v>
      </c>
      <c r="J1890">
        <v>1</v>
      </c>
      <c r="K1890">
        <v>0</v>
      </c>
      <c r="L1890" t="s">
        <v>2283</v>
      </c>
      <c r="M1890" t="s">
        <v>2677</v>
      </c>
      <c r="P1890" t="s">
        <v>3204</v>
      </c>
      <c r="Q1890" t="s">
        <v>2113</v>
      </c>
      <c r="R1890" t="s">
        <v>3258</v>
      </c>
      <c r="S1890" t="s">
        <v>3273</v>
      </c>
      <c r="T1890" t="s">
        <v>3294</v>
      </c>
      <c r="X1890" t="s">
        <v>3354</v>
      </c>
      <c r="Y1890" t="s">
        <v>2678</v>
      </c>
      <c r="Z1890" t="s">
        <v>3365</v>
      </c>
      <c r="AA1890" t="s">
        <v>3406</v>
      </c>
      <c r="AB1890" t="s">
        <v>3421</v>
      </c>
      <c r="AC1890">
        <f>HYPERLINK("https://lsnyc.legalserver.org/matter/dynamic-profile/view/1835521","17-1835521")</f>
        <v>0</v>
      </c>
      <c r="AD1890" t="s">
        <v>3446</v>
      </c>
      <c r="AE1890" t="s">
        <v>3481</v>
      </c>
      <c r="AF1890" t="s">
        <v>4586</v>
      </c>
      <c r="AG1890" t="s">
        <v>3365</v>
      </c>
      <c r="AH1890" t="s">
        <v>4904</v>
      </c>
      <c r="AK1890" t="s">
        <v>4911</v>
      </c>
      <c r="AL1890" t="s">
        <v>2179</v>
      </c>
      <c r="AM1890" t="s">
        <v>3294</v>
      </c>
      <c r="AN1890" t="s">
        <v>3421</v>
      </c>
    </row>
    <row r="1891" spans="1:41">
      <c r="A1891" s="1" t="s">
        <v>1926</v>
      </c>
      <c r="B1891" t="s">
        <v>2006</v>
      </c>
      <c r="C1891" t="s">
        <v>2012</v>
      </c>
      <c r="D1891" t="s">
        <v>2032</v>
      </c>
      <c r="E1891" t="s">
        <v>2112</v>
      </c>
      <c r="F1891" t="s">
        <v>2122</v>
      </c>
      <c r="G1891" t="s">
        <v>2214</v>
      </c>
      <c r="H1891">
        <v>11208</v>
      </c>
      <c r="I1891" t="s">
        <v>2230</v>
      </c>
      <c r="J1891">
        <v>1</v>
      </c>
      <c r="K1891">
        <v>0</v>
      </c>
      <c r="L1891" t="s">
        <v>2266</v>
      </c>
      <c r="M1891" t="s">
        <v>2677</v>
      </c>
      <c r="P1891" t="s">
        <v>3205</v>
      </c>
      <c r="Q1891" t="s">
        <v>2113</v>
      </c>
      <c r="R1891" t="s">
        <v>3258</v>
      </c>
      <c r="S1891" t="s">
        <v>3271</v>
      </c>
      <c r="T1891" t="s">
        <v>3294</v>
      </c>
      <c r="U1891" t="s">
        <v>2805</v>
      </c>
      <c r="V1891" t="s">
        <v>3352</v>
      </c>
      <c r="X1891" t="s">
        <v>3354</v>
      </c>
      <c r="Y1891" t="s">
        <v>2677</v>
      </c>
      <c r="Z1891" t="s">
        <v>3362</v>
      </c>
      <c r="AA1891" t="s">
        <v>3406</v>
      </c>
      <c r="AB1891" t="s">
        <v>3419</v>
      </c>
      <c r="AC1891">
        <f>HYPERLINK("https://lsnyc.legalserver.org/matter/dynamic-profile/view/1835315","17-1835315")</f>
        <v>0</v>
      </c>
      <c r="AD1891" t="s">
        <v>3445</v>
      </c>
      <c r="AE1891" t="s">
        <v>3452</v>
      </c>
      <c r="AF1891" t="s">
        <v>3512</v>
      </c>
      <c r="AG1891" t="s">
        <v>3362</v>
      </c>
      <c r="AH1891" t="s">
        <v>4904</v>
      </c>
      <c r="AK1891" t="s">
        <v>4911</v>
      </c>
      <c r="AL1891" t="s">
        <v>2122</v>
      </c>
      <c r="AM1891" t="s">
        <v>3294</v>
      </c>
      <c r="AN1891" t="s">
        <v>3419</v>
      </c>
      <c r="AO1891" t="s">
        <v>3352</v>
      </c>
    </row>
    <row r="1892" spans="1:41">
      <c r="A1892" s="1" t="s">
        <v>1927</v>
      </c>
      <c r="B1892" t="s">
        <v>1998</v>
      </c>
      <c r="C1892" t="s">
        <v>2012</v>
      </c>
      <c r="D1892" t="s">
        <v>2034</v>
      </c>
      <c r="E1892" t="s">
        <v>2112</v>
      </c>
      <c r="F1892" t="s">
        <v>2165</v>
      </c>
      <c r="G1892" t="s">
        <v>2213</v>
      </c>
      <c r="H1892">
        <v>10466</v>
      </c>
      <c r="I1892" t="s">
        <v>2230</v>
      </c>
      <c r="J1892">
        <v>3</v>
      </c>
      <c r="K1892">
        <v>1</v>
      </c>
      <c r="L1892" t="s">
        <v>2306</v>
      </c>
      <c r="M1892" t="s">
        <v>2677</v>
      </c>
      <c r="P1892" t="s">
        <v>3206</v>
      </c>
      <c r="Q1892" t="s">
        <v>2113</v>
      </c>
      <c r="R1892" t="s">
        <v>3258</v>
      </c>
      <c r="S1892" t="s">
        <v>3271</v>
      </c>
      <c r="X1892" t="s">
        <v>3354</v>
      </c>
      <c r="Y1892" t="s">
        <v>2677</v>
      </c>
      <c r="Z1892" t="s">
        <v>3369</v>
      </c>
      <c r="AA1892" t="s">
        <v>3406</v>
      </c>
      <c r="AB1892" t="s">
        <v>3419</v>
      </c>
      <c r="AC1892">
        <f>HYPERLINK("https://lsnyc.legalserver.org/matter/dynamic-profile/view/1834807","17-1834807")</f>
        <v>0</v>
      </c>
      <c r="AD1892" t="s">
        <v>3445</v>
      </c>
      <c r="AE1892" t="s">
        <v>3455</v>
      </c>
      <c r="AF1892" t="s">
        <v>4664</v>
      </c>
      <c r="AG1892" t="s">
        <v>3369</v>
      </c>
      <c r="AH1892" t="s">
        <v>4904</v>
      </c>
      <c r="AK1892" t="s">
        <v>4911</v>
      </c>
      <c r="AL1892" t="s">
        <v>2165</v>
      </c>
      <c r="AN1892" t="s">
        <v>3419</v>
      </c>
    </row>
    <row r="1893" spans="1:41">
      <c r="A1893" s="1" t="s">
        <v>1928</v>
      </c>
      <c r="B1893" t="s">
        <v>2000</v>
      </c>
      <c r="C1893" t="s">
        <v>2002</v>
      </c>
      <c r="D1893" t="s">
        <v>2099</v>
      </c>
      <c r="E1893" t="s">
        <v>2112</v>
      </c>
      <c r="G1893" t="s">
        <v>2213</v>
      </c>
      <c r="H1893">
        <v>10468</v>
      </c>
      <c r="I1893" t="s">
        <v>2229</v>
      </c>
      <c r="J1893">
        <v>4</v>
      </c>
      <c r="K1893">
        <v>0</v>
      </c>
      <c r="L1893" t="s">
        <v>2662</v>
      </c>
      <c r="M1893" t="s">
        <v>2678</v>
      </c>
      <c r="P1893" t="s">
        <v>3207</v>
      </c>
      <c r="Q1893" t="s">
        <v>3255</v>
      </c>
      <c r="X1893" t="s">
        <v>3354</v>
      </c>
      <c r="Y1893" t="s">
        <v>2677</v>
      </c>
      <c r="Z1893" t="s">
        <v>3362</v>
      </c>
      <c r="AA1893" t="s">
        <v>3407</v>
      </c>
      <c r="AB1893" t="s">
        <v>3407</v>
      </c>
      <c r="AC1893">
        <f>HYPERLINK("https://lsnyc.legalserver.org/matter/dynamic-profile/view/1834727","17-1834727")</f>
        <v>0</v>
      </c>
      <c r="AD1893" t="s">
        <v>3445</v>
      </c>
      <c r="AE1893" t="s">
        <v>3490</v>
      </c>
      <c r="AF1893" t="s">
        <v>4854</v>
      </c>
      <c r="AG1893" t="s">
        <v>3362</v>
      </c>
      <c r="AH1893" t="s">
        <v>3407</v>
      </c>
      <c r="AJ1893" t="s">
        <v>4910</v>
      </c>
      <c r="AN1893" t="s">
        <v>3407</v>
      </c>
    </row>
    <row r="1894" spans="1:41">
      <c r="A1894" s="1" t="s">
        <v>1929</v>
      </c>
      <c r="B1894" t="s">
        <v>2001</v>
      </c>
      <c r="C1894" t="s">
        <v>2000</v>
      </c>
      <c r="D1894" t="s">
        <v>2028</v>
      </c>
      <c r="E1894" t="s">
        <v>2112</v>
      </c>
      <c r="F1894" t="s">
        <v>2115</v>
      </c>
      <c r="G1894" t="s">
        <v>2212</v>
      </c>
      <c r="H1894">
        <v>11432</v>
      </c>
      <c r="I1894" t="s">
        <v>2230</v>
      </c>
      <c r="J1894">
        <v>3</v>
      </c>
      <c r="K1894">
        <v>0</v>
      </c>
      <c r="L1894" t="s">
        <v>2306</v>
      </c>
      <c r="M1894" t="s">
        <v>2677</v>
      </c>
      <c r="P1894" t="s">
        <v>3207</v>
      </c>
      <c r="Q1894" t="s">
        <v>3255</v>
      </c>
      <c r="R1894" t="s">
        <v>3258</v>
      </c>
      <c r="S1894" t="s">
        <v>3271</v>
      </c>
      <c r="X1894" t="s">
        <v>3354</v>
      </c>
      <c r="Y1894" t="s">
        <v>2677</v>
      </c>
      <c r="Z1894" t="s">
        <v>3362</v>
      </c>
      <c r="AA1894" t="s">
        <v>3406</v>
      </c>
      <c r="AB1894" t="s">
        <v>3419</v>
      </c>
      <c r="AC1894">
        <f>HYPERLINK("https://lsnyc.legalserver.org/matter/dynamic-profile/view/1834775","17-1834775")</f>
        <v>0</v>
      </c>
      <c r="AD1894" t="s">
        <v>3443</v>
      </c>
      <c r="AE1894" t="s">
        <v>3490</v>
      </c>
      <c r="AF1894" t="s">
        <v>4855</v>
      </c>
      <c r="AG1894" t="s">
        <v>3362</v>
      </c>
      <c r="AH1894" t="s">
        <v>4904</v>
      </c>
      <c r="AL1894" t="s">
        <v>2115</v>
      </c>
      <c r="AN1894" t="s">
        <v>3419</v>
      </c>
    </row>
    <row r="1895" spans="1:41">
      <c r="A1895" s="1" t="s">
        <v>1930</v>
      </c>
      <c r="B1895" t="s">
        <v>1998</v>
      </c>
      <c r="C1895" t="s">
        <v>2001</v>
      </c>
      <c r="D1895" t="s">
        <v>2048</v>
      </c>
      <c r="E1895" t="s">
        <v>2111</v>
      </c>
      <c r="F1895" t="s">
        <v>2129</v>
      </c>
      <c r="G1895" t="s">
        <v>2214</v>
      </c>
      <c r="H1895">
        <v>11209</v>
      </c>
      <c r="I1895" t="s">
        <v>2232</v>
      </c>
      <c r="J1895">
        <v>1</v>
      </c>
      <c r="K1895">
        <v>0</v>
      </c>
      <c r="L1895" t="s">
        <v>2260</v>
      </c>
      <c r="M1895" t="s">
        <v>2677</v>
      </c>
      <c r="P1895" t="s">
        <v>3208</v>
      </c>
      <c r="Q1895" t="s">
        <v>2113</v>
      </c>
      <c r="R1895" t="s">
        <v>3259</v>
      </c>
      <c r="S1895" t="s">
        <v>3268</v>
      </c>
      <c r="X1895" t="s">
        <v>3354</v>
      </c>
      <c r="Y1895" t="s">
        <v>2677</v>
      </c>
      <c r="Z1895" t="s">
        <v>3368</v>
      </c>
      <c r="AA1895" t="s">
        <v>3406</v>
      </c>
      <c r="AB1895" t="s">
        <v>3416</v>
      </c>
      <c r="AC1895">
        <f>HYPERLINK("https://lsnyc.legalserver.org/matter/dynamic-profile/view/1834651","17-1834651")</f>
        <v>0</v>
      </c>
      <c r="AD1895" t="s">
        <v>3446</v>
      </c>
      <c r="AE1895" t="s">
        <v>3456</v>
      </c>
      <c r="AF1895" t="s">
        <v>4856</v>
      </c>
      <c r="AG1895" t="s">
        <v>3368</v>
      </c>
      <c r="AH1895" t="s">
        <v>4904</v>
      </c>
      <c r="AK1895" t="s">
        <v>4911</v>
      </c>
      <c r="AL1895" t="s">
        <v>2129</v>
      </c>
      <c r="AN1895" t="s">
        <v>3416</v>
      </c>
    </row>
    <row r="1896" spans="1:41">
      <c r="A1896" s="1" t="s">
        <v>1931</v>
      </c>
      <c r="B1896" t="s">
        <v>2016</v>
      </c>
      <c r="C1896" t="s">
        <v>2015</v>
      </c>
      <c r="D1896" t="s">
        <v>2042</v>
      </c>
      <c r="E1896" t="s">
        <v>2112</v>
      </c>
      <c r="F1896" t="s">
        <v>2154</v>
      </c>
      <c r="G1896" t="s">
        <v>2212</v>
      </c>
      <c r="H1896">
        <v>11369</v>
      </c>
      <c r="I1896" t="s">
        <v>2241</v>
      </c>
      <c r="J1896">
        <v>1</v>
      </c>
      <c r="K1896">
        <v>0</v>
      </c>
      <c r="L1896" t="s">
        <v>2293</v>
      </c>
      <c r="M1896" t="s">
        <v>2677</v>
      </c>
      <c r="P1896" t="s">
        <v>3209</v>
      </c>
      <c r="Q1896" t="s">
        <v>2113</v>
      </c>
      <c r="R1896" t="s">
        <v>3258</v>
      </c>
      <c r="S1896" t="s">
        <v>3271</v>
      </c>
      <c r="X1896" t="s">
        <v>3354</v>
      </c>
      <c r="Y1896" t="s">
        <v>2678</v>
      </c>
      <c r="Z1896" t="s">
        <v>3362</v>
      </c>
      <c r="AA1896" t="s">
        <v>3406</v>
      </c>
      <c r="AB1896" t="s">
        <v>3419</v>
      </c>
      <c r="AC1896">
        <f>HYPERLINK("https://lsnyc.legalserver.org/matter/dynamic-profile/view/1833516","17-1833516")</f>
        <v>0</v>
      </c>
      <c r="AD1896" t="s">
        <v>3443</v>
      </c>
      <c r="AE1896" t="s">
        <v>3490</v>
      </c>
      <c r="AF1896" t="s">
        <v>4857</v>
      </c>
      <c r="AG1896" t="s">
        <v>3362</v>
      </c>
      <c r="AH1896" t="s">
        <v>4904</v>
      </c>
      <c r="AL1896" t="s">
        <v>2154</v>
      </c>
      <c r="AN1896" t="s">
        <v>3419</v>
      </c>
    </row>
    <row r="1897" spans="1:41">
      <c r="A1897" s="1" t="s">
        <v>1932</v>
      </c>
      <c r="B1897" t="s">
        <v>2002</v>
      </c>
      <c r="C1897" t="s">
        <v>2016</v>
      </c>
      <c r="D1897" t="s">
        <v>2076</v>
      </c>
      <c r="E1897" t="s">
        <v>2111</v>
      </c>
      <c r="F1897" t="s">
        <v>2129</v>
      </c>
      <c r="G1897" t="s">
        <v>2214</v>
      </c>
      <c r="H1897">
        <v>11210</v>
      </c>
      <c r="J1897">
        <v>1</v>
      </c>
      <c r="K1897">
        <v>0</v>
      </c>
      <c r="L1897" t="s">
        <v>2260</v>
      </c>
      <c r="M1897" t="s">
        <v>2677</v>
      </c>
      <c r="P1897" t="s">
        <v>3210</v>
      </c>
      <c r="Q1897" t="s">
        <v>2113</v>
      </c>
      <c r="R1897" t="s">
        <v>3259</v>
      </c>
      <c r="S1897" t="s">
        <v>3268</v>
      </c>
      <c r="X1897" t="s">
        <v>3354</v>
      </c>
      <c r="Y1897" t="s">
        <v>2677</v>
      </c>
      <c r="Z1897" t="s">
        <v>3368</v>
      </c>
      <c r="AA1897" t="s">
        <v>3406</v>
      </c>
      <c r="AB1897" t="s">
        <v>3416</v>
      </c>
      <c r="AC1897">
        <f>HYPERLINK("https://lsnyc.legalserver.org/matter/dynamic-profile/view/1833321","17-1833321")</f>
        <v>0</v>
      </c>
      <c r="AD1897" t="s">
        <v>3446</v>
      </c>
      <c r="AE1897" t="s">
        <v>3456</v>
      </c>
      <c r="AF1897" t="s">
        <v>4858</v>
      </c>
      <c r="AG1897" t="s">
        <v>3368</v>
      </c>
      <c r="AH1897" t="s">
        <v>4904</v>
      </c>
      <c r="AK1897" t="s">
        <v>4911</v>
      </c>
      <c r="AL1897" t="s">
        <v>2129</v>
      </c>
      <c r="AN1897" t="s">
        <v>3416</v>
      </c>
    </row>
    <row r="1898" spans="1:41">
      <c r="A1898" s="1" t="s">
        <v>1933</v>
      </c>
      <c r="B1898" t="s">
        <v>2012</v>
      </c>
      <c r="C1898" t="s">
        <v>2004</v>
      </c>
      <c r="D1898" t="s">
        <v>2032</v>
      </c>
      <c r="E1898" t="s">
        <v>2112</v>
      </c>
      <c r="F1898" t="s">
        <v>2166</v>
      </c>
      <c r="G1898" t="s">
        <v>2214</v>
      </c>
      <c r="H1898">
        <v>11213</v>
      </c>
      <c r="I1898" t="s">
        <v>2230</v>
      </c>
      <c r="J1898">
        <v>2</v>
      </c>
      <c r="K1898">
        <v>0</v>
      </c>
      <c r="L1898" t="s">
        <v>2599</v>
      </c>
      <c r="M1898" t="s">
        <v>2677</v>
      </c>
      <c r="P1898" t="s">
        <v>3211</v>
      </c>
      <c r="Q1898" t="s">
        <v>2113</v>
      </c>
      <c r="R1898" t="s">
        <v>3259</v>
      </c>
      <c r="S1898" t="s">
        <v>3270</v>
      </c>
      <c r="X1898" t="s">
        <v>3354</v>
      </c>
      <c r="Y1898" t="s">
        <v>2677</v>
      </c>
      <c r="Z1898" t="s">
        <v>3362</v>
      </c>
      <c r="AA1898" t="s">
        <v>3406</v>
      </c>
      <c r="AB1898" t="s">
        <v>3418</v>
      </c>
      <c r="AC1898">
        <f>HYPERLINK("https://lsnyc.legalserver.org/matter/dynamic-profile/view/0832847","17-0832847")</f>
        <v>0</v>
      </c>
      <c r="AD1898" t="s">
        <v>3445</v>
      </c>
      <c r="AE1898" t="s">
        <v>3455</v>
      </c>
      <c r="AF1898" t="s">
        <v>4656</v>
      </c>
      <c r="AG1898" t="s">
        <v>3362</v>
      </c>
      <c r="AH1898" t="s">
        <v>4904</v>
      </c>
      <c r="AK1898" t="s">
        <v>4911</v>
      </c>
      <c r="AL1898" t="s">
        <v>2166</v>
      </c>
      <c r="AN1898" t="s">
        <v>3418</v>
      </c>
    </row>
    <row r="1899" spans="1:41">
      <c r="A1899" s="1" t="s">
        <v>1934</v>
      </c>
      <c r="B1899" t="s">
        <v>2001</v>
      </c>
      <c r="C1899" t="s">
        <v>1998</v>
      </c>
      <c r="D1899" t="s">
        <v>2048</v>
      </c>
      <c r="E1899" t="s">
        <v>2111</v>
      </c>
      <c r="F1899" t="s">
        <v>2116</v>
      </c>
      <c r="G1899" t="s">
        <v>2216</v>
      </c>
      <c r="H1899">
        <v>10302</v>
      </c>
      <c r="I1899" t="s">
        <v>2229</v>
      </c>
      <c r="J1899">
        <v>4</v>
      </c>
      <c r="K1899">
        <v>2</v>
      </c>
      <c r="L1899" t="s">
        <v>2663</v>
      </c>
      <c r="M1899" t="s">
        <v>2677</v>
      </c>
      <c r="P1899" t="s">
        <v>3212</v>
      </c>
      <c r="Q1899" t="s">
        <v>2113</v>
      </c>
      <c r="R1899" t="s">
        <v>3259</v>
      </c>
      <c r="S1899" t="s">
        <v>3264</v>
      </c>
      <c r="T1899" t="s">
        <v>3294</v>
      </c>
      <c r="U1899" t="s">
        <v>3335</v>
      </c>
      <c r="X1899" t="s">
        <v>3354</v>
      </c>
      <c r="Y1899" t="s">
        <v>2678</v>
      </c>
      <c r="Z1899" t="s">
        <v>3357</v>
      </c>
      <c r="AA1899" t="s">
        <v>3406</v>
      </c>
      <c r="AB1899" t="s">
        <v>3412</v>
      </c>
      <c r="AC1899">
        <f>HYPERLINK("https://lsnyc.legalserver.org/matter/dynamic-profile/view/0831971","17-0831971")</f>
        <v>0</v>
      </c>
      <c r="AD1899" t="s">
        <v>3447</v>
      </c>
      <c r="AE1899" t="s">
        <v>3463</v>
      </c>
      <c r="AF1899" t="s">
        <v>4859</v>
      </c>
      <c r="AG1899" t="s">
        <v>3357</v>
      </c>
      <c r="AH1899" t="s">
        <v>4904</v>
      </c>
      <c r="AK1899" t="s">
        <v>4911</v>
      </c>
      <c r="AL1899" t="s">
        <v>2116</v>
      </c>
      <c r="AM1899" t="s">
        <v>3294</v>
      </c>
      <c r="AN1899" t="s">
        <v>3412</v>
      </c>
    </row>
    <row r="1900" spans="1:41">
      <c r="A1900" s="1" t="s">
        <v>1935</v>
      </c>
      <c r="B1900" t="s">
        <v>2001</v>
      </c>
      <c r="C1900" t="s">
        <v>2017</v>
      </c>
      <c r="D1900" t="s">
        <v>2065</v>
      </c>
      <c r="E1900" t="s">
        <v>2111</v>
      </c>
      <c r="F1900" t="s">
        <v>2117</v>
      </c>
      <c r="G1900" t="s">
        <v>2216</v>
      </c>
      <c r="H1900">
        <v>10305</v>
      </c>
      <c r="I1900" t="s">
        <v>2229</v>
      </c>
      <c r="J1900">
        <v>4</v>
      </c>
      <c r="K1900">
        <v>2</v>
      </c>
      <c r="L1900" t="s">
        <v>2260</v>
      </c>
      <c r="M1900" t="s">
        <v>2677</v>
      </c>
      <c r="P1900" t="s">
        <v>3213</v>
      </c>
      <c r="Q1900" t="s">
        <v>2113</v>
      </c>
      <c r="R1900" t="s">
        <v>3259</v>
      </c>
      <c r="S1900" t="s">
        <v>3268</v>
      </c>
      <c r="T1900" t="s">
        <v>3294</v>
      </c>
      <c r="U1900" t="s">
        <v>3336</v>
      </c>
      <c r="X1900" t="s">
        <v>3354</v>
      </c>
      <c r="Y1900" t="s">
        <v>2678</v>
      </c>
      <c r="Z1900" t="s">
        <v>3368</v>
      </c>
      <c r="AA1900" t="s">
        <v>3406</v>
      </c>
      <c r="AB1900" t="s">
        <v>3416</v>
      </c>
      <c r="AC1900">
        <f>HYPERLINK("https://lsnyc.legalserver.org/matter/dynamic-profile/view/0830473","17-0830473")</f>
        <v>0</v>
      </c>
      <c r="AD1900" t="s">
        <v>3447</v>
      </c>
      <c r="AE1900" t="s">
        <v>3463</v>
      </c>
      <c r="AF1900" t="s">
        <v>4860</v>
      </c>
      <c r="AG1900" t="s">
        <v>3368</v>
      </c>
      <c r="AH1900" t="s">
        <v>4904</v>
      </c>
      <c r="AK1900" t="s">
        <v>4911</v>
      </c>
      <c r="AL1900" t="s">
        <v>2117</v>
      </c>
      <c r="AM1900" t="s">
        <v>3294</v>
      </c>
      <c r="AN1900" t="s">
        <v>3416</v>
      </c>
    </row>
    <row r="1901" spans="1:41">
      <c r="A1901" s="1" t="s">
        <v>1936</v>
      </c>
      <c r="B1901" t="s">
        <v>2002</v>
      </c>
      <c r="C1901" t="s">
        <v>2004</v>
      </c>
      <c r="D1901" t="s">
        <v>2080</v>
      </c>
      <c r="E1901" t="s">
        <v>2112</v>
      </c>
      <c r="F1901" t="s">
        <v>2124</v>
      </c>
      <c r="G1901" t="s">
        <v>2214</v>
      </c>
      <c r="H1901">
        <v>11226</v>
      </c>
      <c r="I1901" t="s">
        <v>2230</v>
      </c>
      <c r="J1901">
        <v>2</v>
      </c>
      <c r="K1901">
        <v>1</v>
      </c>
      <c r="L1901" t="s">
        <v>2664</v>
      </c>
      <c r="M1901" t="s">
        <v>2677</v>
      </c>
      <c r="P1901" t="s">
        <v>3213</v>
      </c>
      <c r="Q1901" t="s">
        <v>2113</v>
      </c>
      <c r="R1901" t="s">
        <v>3258</v>
      </c>
      <c r="S1901" t="s">
        <v>3271</v>
      </c>
      <c r="X1901" t="s">
        <v>3354</v>
      </c>
      <c r="Y1901" t="s">
        <v>2677</v>
      </c>
      <c r="Z1901" t="s">
        <v>3362</v>
      </c>
      <c r="AA1901" t="s">
        <v>3406</v>
      </c>
      <c r="AB1901" t="s">
        <v>3419</v>
      </c>
      <c r="AC1901">
        <f>HYPERLINK("https://lsnyc.legalserver.org/matter/dynamic-profile/view/0831750","17-0831750")</f>
        <v>0</v>
      </c>
      <c r="AD1901" t="s">
        <v>3443</v>
      </c>
      <c r="AE1901" t="s">
        <v>3450</v>
      </c>
      <c r="AF1901" t="s">
        <v>4861</v>
      </c>
      <c r="AG1901" t="s">
        <v>3362</v>
      </c>
      <c r="AH1901" t="s">
        <v>4904</v>
      </c>
      <c r="AL1901" t="s">
        <v>2124</v>
      </c>
      <c r="AN1901" t="s">
        <v>3419</v>
      </c>
    </row>
    <row r="1902" spans="1:41">
      <c r="A1902" s="1" t="s">
        <v>1937</v>
      </c>
      <c r="B1902" t="s">
        <v>1998</v>
      </c>
      <c r="C1902" t="s">
        <v>2001</v>
      </c>
      <c r="D1902" t="s">
        <v>2091</v>
      </c>
      <c r="E1902" t="s">
        <v>2112</v>
      </c>
      <c r="F1902" t="s">
        <v>2117</v>
      </c>
      <c r="G1902" t="s">
        <v>2216</v>
      </c>
      <c r="H1902">
        <v>10305</v>
      </c>
      <c r="I1902" t="s">
        <v>2229</v>
      </c>
      <c r="J1902">
        <v>10</v>
      </c>
      <c r="K1902">
        <v>5</v>
      </c>
      <c r="L1902" t="s">
        <v>2260</v>
      </c>
      <c r="M1902" t="s">
        <v>2677</v>
      </c>
      <c r="P1902" t="s">
        <v>3214</v>
      </c>
      <c r="Q1902" t="s">
        <v>2113</v>
      </c>
      <c r="R1902" t="s">
        <v>3259</v>
      </c>
      <c r="S1902" t="s">
        <v>3272</v>
      </c>
      <c r="T1902" t="s">
        <v>3300</v>
      </c>
      <c r="U1902" t="s">
        <v>3121</v>
      </c>
      <c r="X1902" t="s">
        <v>3354</v>
      </c>
      <c r="Y1902" t="s">
        <v>2678</v>
      </c>
      <c r="Z1902" t="s">
        <v>3383</v>
      </c>
      <c r="AA1902" t="s">
        <v>3406</v>
      </c>
      <c r="AB1902" t="s">
        <v>3420</v>
      </c>
      <c r="AC1902">
        <f>HYPERLINK("https://lsnyc.legalserver.org/matter/dynamic-profile/view/0830466","17-0830466")</f>
        <v>0</v>
      </c>
      <c r="AD1902" t="s">
        <v>3447</v>
      </c>
      <c r="AE1902" t="s">
        <v>3463</v>
      </c>
      <c r="AF1902" t="s">
        <v>4712</v>
      </c>
      <c r="AG1902" t="s">
        <v>3383</v>
      </c>
      <c r="AH1902" t="s">
        <v>4905</v>
      </c>
      <c r="AK1902" t="s">
        <v>4911</v>
      </c>
      <c r="AL1902" t="s">
        <v>2117</v>
      </c>
      <c r="AM1902" t="s">
        <v>3300</v>
      </c>
      <c r="AN1902" t="s">
        <v>3420</v>
      </c>
    </row>
    <row r="1903" spans="1:41">
      <c r="A1903" s="1" t="s">
        <v>1938</v>
      </c>
      <c r="B1903" t="s">
        <v>1998</v>
      </c>
      <c r="C1903" t="s">
        <v>1998</v>
      </c>
      <c r="D1903" t="s">
        <v>2055</v>
      </c>
      <c r="E1903" t="s">
        <v>2112</v>
      </c>
      <c r="F1903" t="s">
        <v>2123</v>
      </c>
      <c r="G1903" t="s">
        <v>2211</v>
      </c>
      <c r="H1903">
        <v>10025</v>
      </c>
      <c r="I1903" t="s">
        <v>2230</v>
      </c>
      <c r="J1903">
        <v>1</v>
      </c>
      <c r="K1903">
        <v>0</v>
      </c>
      <c r="L1903" t="s">
        <v>2665</v>
      </c>
      <c r="M1903" t="s">
        <v>2677</v>
      </c>
      <c r="P1903" t="s">
        <v>3215</v>
      </c>
      <c r="Q1903" t="s">
        <v>2113</v>
      </c>
      <c r="R1903" t="s">
        <v>3259</v>
      </c>
      <c r="S1903" t="s">
        <v>3270</v>
      </c>
      <c r="X1903" t="s">
        <v>3354</v>
      </c>
      <c r="Y1903" t="s">
        <v>2677</v>
      </c>
      <c r="Z1903" t="s">
        <v>3362</v>
      </c>
      <c r="AA1903" t="s">
        <v>3406</v>
      </c>
      <c r="AB1903" t="s">
        <v>3418</v>
      </c>
      <c r="AC1903">
        <f>HYPERLINK("https://lsnyc.legalserver.org/matter/dynamic-profile/view/0831317","17-0831317")</f>
        <v>0</v>
      </c>
      <c r="AD1903" t="s">
        <v>3445</v>
      </c>
      <c r="AE1903" t="s">
        <v>3455</v>
      </c>
      <c r="AF1903" t="s">
        <v>4862</v>
      </c>
      <c r="AG1903" t="s">
        <v>3362</v>
      </c>
      <c r="AH1903" t="s">
        <v>4904</v>
      </c>
      <c r="AK1903" t="s">
        <v>4911</v>
      </c>
      <c r="AL1903" t="s">
        <v>2123</v>
      </c>
      <c r="AN1903" t="s">
        <v>3418</v>
      </c>
    </row>
    <row r="1904" spans="1:41">
      <c r="A1904" s="1" t="s">
        <v>1939</v>
      </c>
      <c r="B1904" t="s">
        <v>2012</v>
      </c>
      <c r="C1904" t="s">
        <v>2012</v>
      </c>
      <c r="D1904" t="s">
        <v>2096</v>
      </c>
      <c r="E1904" t="s">
        <v>2111</v>
      </c>
      <c r="F1904" t="s">
        <v>2116</v>
      </c>
      <c r="G1904" t="s">
        <v>2216</v>
      </c>
      <c r="H1904">
        <v>10314</v>
      </c>
      <c r="I1904" t="s">
        <v>2229</v>
      </c>
      <c r="J1904">
        <v>4</v>
      </c>
      <c r="K1904">
        <v>2</v>
      </c>
      <c r="L1904" t="s">
        <v>2666</v>
      </c>
      <c r="M1904" t="s">
        <v>2677</v>
      </c>
      <c r="P1904" t="s">
        <v>3216</v>
      </c>
      <c r="Q1904" t="s">
        <v>2113</v>
      </c>
      <c r="R1904" t="s">
        <v>3259</v>
      </c>
      <c r="S1904" t="s">
        <v>3270</v>
      </c>
      <c r="X1904" t="s">
        <v>3354</v>
      </c>
      <c r="Y1904" t="s">
        <v>2678</v>
      </c>
      <c r="Z1904" t="s">
        <v>3357</v>
      </c>
      <c r="AA1904" t="s">
        <v>3406</v>
      </c>
      <c r="AB1904" t="s">
        <v>3418</v>
      </c>
      <c r="AC1904">
        <f>HYPERLINK("https://lsnyc.legalserver.org/matter/dynamic-profile/view/0828965","17-0828965")</f>
        <v>0</v>
      </c>
      <c r="AD1904" t="s">
        <v>3447</v>
      </c>
      <c r="AE1904" t="s">
        <v>3478</v>
      </c>
      <c r="AF1904" t="s">
        <v>4863</v>
      </c>
      <c r="AG1904" t="s">
        <v>3357</v>
      </c>
      <c r="AH1904" t="s">
        <v>4904</v>
      </c>
      <c r="AL1904" t="s">
        <v>2116</v>
      </c>
      <c r="AN1904" t="s">
        <v>3418</v>
      </c>
    </row>
    <row r="1905" spans="1:41">
      <c r="A1905" s="1" t="s">
        <v>1940</v>
      </c>
      <c r="B1905" t="s">
        <v>2002</v>
      </c>
      <c r="C1905" t="s">
        <v>2009</v>
      </c>
      <c r="D1905" t="s">
        <v>2060</v>
      </c>
      <c r="E1905" t="s">
        <v>2112</v>
      </c>
      <c r="F1905" t="s">
        <v>2117</v>
      </c>
      <c r="G1905" t="s">
        <v>2213</v>
      </c>
      <c r="H1905">
        <v>10453</v>
      </c>
      <c r="I1905" t="s">
        <v>2229</v>
      </c>
      <c r="J1905">
        <v>2</v>
      </c>
      <c r="K1905">
        <v>1</v>
      </c>
      <c r="L1905" t="s">
        <v>2260</v>
      </c>
      <c r="M1905" t="s">
        <v>2677</v>
      </c>
      <c r="P1905" t="s">
        <v>3217</v>
      </c>
      <c r="Q1905" t="s">
        <v>2113</v>
      </c>
      <c r="R1905" t="s">
        <v>3259</v>
      </c>
      <c r="S1905" t="s">
        <v>3267</v>
      </c>
      <c r="T1905" t="s">
        <v>3294</v>
      </c>
      <c r="U1905" t="s">
        <v>3337</v>
      </c>
      <c r="X1905" t="s">
        <v>3354</v>
      </c>
      <c r="Y1905" t="s">
        <v>2678</v>
      </c>
      <c r="Z1905" t="s">
        <v>3380</v>
      </c>
      <c r="AA1905" t="s">
        <v>3406</v>
      </c>
      <c r="AB1905" t="s">
        <v>3415</v>
      </c>
      <c r="AC1905">
        <f>HYPERLINK("https://lsnyc.legalserver.org/matter/dynamic-profile/view/0830888","17-0830888")</f>
        <v>0</v>
      </c>
      <c r="AD1905" t="s">
        <v>3444</v>
      </c>
      <c r="AE1905" t="s">
        <v>3464</v>
      </c>
      <c r="AF1905" t="s">
        <v>4505</v>
      </c>
      <c r="AG1905" t="s">
        <v>3380</v>
      </c>
      <c r="AH1905" t="s">
        <v>4906</v>
      </c>
      <c r="AK1905" t="s">
        <v>4911</v>
      </c>
      <c r="AL1905" t="s">
        <v>2117</v>
      </c>
      <c r="AM1905" t="s">
        <v>3294</v>
      </c>
      <c r="AN1905" t="s">
        <v>3415</v>
      </c>
    </row>
    <row r="1906" spans="1:41">
      <c r="A1906" s="1" t="s">
        <v>1941</v>
      </c>
      <c r="B1906" t="s">
        <v>1998</v>
      </c>
      <c r="C1906" t="s">
        <v>2018</v>
      </c>
      <c r="D1906" t="s">
        <v>2058</v>
      </c>
      <c r="E1906" t="s">
        <v>2111</v>
      </c>
      <c r="F1906" t="s">
        <v>2117</v>
      </c>
      <c r="G1906" t="s">
        <v>2216</v>
      </c>
      <c r="H1906">
        <v>10314</v>
      </c>
      <c r="I1906" t="s">
        <v>2229</v>
      </c>
      <c r="J1906">
        <v>2</v>
      </c>
      <c r="K1906">
        <v>1</v>
      </c>
      <c r="L1906" t="s">
        <v>2392</v>
      </c>
      <c r="M1906" t="s">
        <v>2677</v>
      </c>
      <c r="P1906" t="s">
        <v>3218</v>
      </c>
      <c r="Q1906" t="s">
        <v>2113</v>
      </c>
      <c r="R1906" t="s">
        <v>3259</v>
      </c>
      <c r="S1906" t="s">
        <v>3272</v>
      </c>
      <c r="T1906" t="s">
        <v>3294</v>
      </c>
      <c r="U1906" t="s">
        <v>3121</v>
      </c>
      <c r="X1906" t="s">
        <v>3354</v>
      </c>
      <c r="Y1906" t="s">
        <v>2678</v>
      </c>
      <c r="Z1906" t="s">
        <v>3364</v>
      </c>
      <c r="AA1906" t="s">
        <v>3406</v>
      </c>
      <c r="AB1906" t="s">
        <v>3420</v>
      </c>
      <c r="AC1906">
        <f>HYPERLINK("https://lsnyc.legalserver.org/matter/dynamic-profile/view/0830460","17-0830460")</f>
        <v>0</v>
      </c>
      <c r="AD1906" t="s">
        <v>3447</v>
      </c>
      <c r="AE1906" t="s">
        <v>3463</v>
      </c>
      <c r="AF1906" t="s">
        <v>4406</v>
      </c>
      <c r="AG1906" t="s">
        <v>3364</v>
      </c>
      <c r="AH1906" t="s">
        <v>4904</v>
      </c>
      <c r="AK1906" t="s">
        <v>4911</v>
      </c>
      <c r="AL1906" t="s">
        <v>2117</v>
      </c>
      <c r="AM1906" t="s">
        <v>3294</v>
      </c>
      <c r="AN1906" t="s">
        <v>3420</v>
      </c>
    </row>
    <row r="1907" spans="1:41">
      <c r="A1907" s="1" t="s">
        <v>1942</v>
      </c>
      <c r="B1907" t="s">
        <v>2016</v>
      </c>
      <c r="C1907" t="s">
        <v>1998</v>
      </c>
      <c r="D1907" t="s">
        <v>2099</v>
      </c>
      <c r="E1907" t="s">
        <v>2111</v>
      </c>
      <c r="F1907" t="s">
        <v>2116</v>
      </c>
      <c r="G1907" t="s">
        <v>2213</v>
      </c>
      <c r="H1907">
        <v>10457</v>
      </c>
      <c r="I1907" t="s">
        <v>2229</v>
      </c>
      <c r="J1907">
        <v>1</v>
      </c>
      <c r="K1907">
        <v>0</v>
      </c>
      <c r="L1907" t="s">
        <v>2281</v>
      </c>
      <c r="M1907" t="s">
        <v>2677</v>
      </c>
      <c r="P1907" t="s">
        <v>3219</v>
      </c>
      <c r="Q1907" t="s">
        <v>3255</v>
      </c>
      <c r="R1907" t="s">
        <v>3258</v>
      </c>
      <c r="S1907" t="s">
        <v>3271</v>
      </c>
      <c r="X1907" t="s">
        <v>3354</v>
      </c>
      <c r="Y1907" t="s">
        <v>2677</v>
      </c>
      <c r="Z1907" t="s">
        <v>3362</v>
      </c>
      <c r="AA1907" t="s">
        <v>3406</v>
      </c>
      <c r="AB1907" t="s">
        <v>3419</v>
      </c>
      <c r="AC1907">
        <f>HYPERLINK("https://lsnyc.legalserver.org/matter/dynamic-profile/view/0829758","17-0829758")</f>
        <v>0</v>
      </c>
      <c r="AD1907" t="s">
        <v>3443</v>
      </c>
      <c r="AE1907" t="s">
        <v>3450</v>
      </c>
      <c r="AF1907" t="s">
        <v>4864</v>
      </c>
      <c r="AG1907" t="s">
        <v>3362</v>
      </c>
      <c r="AH1907" t="s">
        <v>4904</v>
      </c>
      <c r="AL1907" t="s">
        <v>2116</v>
      </c>
      <c r="AN1907" t="s">
        <v>3419</v>
      </c>
    </row>
    <row r="1908" spans="1:41">
      <c r="A1908" s="1" t="s">
        <v>1943</v>
      </c>
      <c r="B1908" t="s">
        <v>1998</v>
      </c>
      <c r="C1908" t="s">
        <v>2005</v>
      </c>
      <c r="D1908" t="s">
        <v>2072</v>
      </c>
      <c r="E1908" t="s">
        <v>2112</v>
      </c>
      <c r="F1908" t="s">
        <v>2115</v>
      </c>
      <c r="G1908" t="s">
        <v>2216</v>
      </c>
      <c r="H1908">
        <v>10304</v>
      </c>
      <c r="I1908" t="s">
        <v>2229</v>
      </c>
      <c r="J1908">
        <v>2</v>
      </c>
      <c r="K1908">
        <v>1</v>
      </c>
      <c r="L1908" t="s">
        <v>2260</v>
      </c>
      <c r="M1908" t="s">
        <v>2677</v>
      </c>
      <c r="P1908" t="s">
        <v>3220</v>
      </c>
      <c r="Q1908" t="s">
        <v>3255</v>
      </c>
      <c r="R1908" t="s">
        <v>3259</v>
      </c>
      <c r="S1908" t="s">
        <v>3267</v>
      </c>
      <c r="T1908" t="s">
        <v>3294</v>
      </c>
      <c r="U1908" t="s">
        <v>3204</v>
      </c>
      <c r="X1908" t="s">
        <v>3354</v>
      </c>
      <c r="Y1908" t="s">
        <v>2678</v>
      </c>
      <c r="Z1908" t="s">
        <v>3359</v>
      </c>
      <c r="AA1908" t="s">
        <v>3406</v>
      </c>
      <c r="AB1908" t="s">
        <v>3415</v>
      </c>
      <c r="AC1908">
        <f>HYPERLINK("https://lsnyc.legalserver.org/matter/dynamic-profile/view/0829100","17-0829100")</f>
        <v>0</v>
      </c>
      <c r="AD1908" t="s">
        <v>3447</v>
      </c>
      <c r="AE1908" t="s">
        <v>3478</v>
      </c>
      <c r="AF1908" t="s">
        <v>4865</v>
      </c>
      <c r="AG1908" t="s">
        <v>3359</v>
      </c>
      <c r="AH1908" t="s">
        <v>4906</v>
      </c>
      <c r="AK1908" t="s">
        <v>4911</v>
      </c>
      <c r="AL1908" t="s">
        <v>2115</v>
      </c>
      <c r="AM1908" t="s">
        <v>3294</v>
      </c>
      <c r="AN1908" t="s">
        <v>3415</v>
      </c>
    </row>
    <row r="1909" spans="1:41">
      <c r="A1909" s="1" t="s">
        <v>1944</v>
      </c>
      <c r="B1909" t="s">
        <v>1998</v>
      </c>
      <c r="C1909" t="s">
        <v>2002</v>
      </c>
      <c r="D1909" t="s">
        <v>2056</v>
      </c>
      <c r="E1909" t="s">
        <v>2111</v>
      </c>
      <c r="F1909" t="s">
        <v>2116</v>
      </c>
      <c r="G1909" t="s">
        <v>2213</v>
      </c>
      <c r="H1909">
        <v>10455</v>
      </c>
      <c r="I1909" t="s">
        <v>2229</v>
      </c>
      <c r="J1909">
        <v>3</v>
      </c>
      <c r="K1909">
        <v>0</v>
      </c>
      <c r="L1909" t="s">
        <v>2316</v>
      </c>
      <c r="M1909" t="s">
        <v>2677</v>
      </c>
      <c r="P1909" t="s">
        <v>3221</v>
      </c>
      <c r="Q1909" t="s">
        <v>3255</v>
      </c>
      <c r="R1909" t="s">
        <v>3259</v>
      </c>
      <c r="S1909" t="s">
        <v>3264</v>
      </c>
      <c r="V1909" t="s">
        <v>3352</v>
      </c>
      <c r="X1909" t="s">
        <v>3354</v>
      </c>
      <c r="Y1909" t="s">
        <v>2678</v>
      </c>
      <c r="Z1909" t="s">
        <v>3357</v>
      </c>
      <c r="AA1909" t="s">
        <v>3406</v>
      </c>
      <c r="AB1909" t="s">
        <v>3412</v>
      </c>
      <c r="AC1909">
        <f>HYPERLINK("https://lsnyc.legalserver.org/matter/dynamic-profile/view/0828115","17-0828115")</f>
        <v>0</v>
      </c>
      <c r="AD1909" t="s">
        <v>3444</v>
      </c>
      <c r="AE1909" t="s">
        <v>3466</v>
      </c>
      <c r="AF1909" t="s">
        <v>4866</v>
      </c>
      <c r="AG1909" t="s">
        <v>3357</v>
      </c>
      <c r="AH1909" t="s">
        <v>4904</v>
      </c>
      <c r="AL1909" t="s">
        <v>2116</v>
      </c>
      <c r="AN1909" t="s">
        <v>3412</v>
      </c>
      <c r="AO1909" t="s">
        <v>3352</v>
      </c>
    </row>
    <row r="1910" spans="1:41">
      <c r="A1910" s="1" t="s">
        <v>1945</v>
      </c>
      <c r="B1910" t="s">
        <v>2000</v>
      </c>
      <c r="C1910" t="s">
        <v>2009</v>
      </c>
      <c r="D1910" t="s">
        <v>2083</v>
      </c>
      <c r="E1910" t="s">
        <v>2112</v>
      </c>
      <c r="F1910" t="s">
        <v>2116</v>
      </c>
      <c r="G1910" t="s">
        <v>2212</v>
      </c>
      <c r="H1910">
        <v>11368</v>
      </c>
      <c r="I1910" t="s">
        <v>2229</v>
      </c>
      <c r="J1910">
        <v>4</v>
      </c>
      <c r="K1910">
        <v>3</v>
      </c>
      <c r="L1910" t="s">
        <v>2260</v>
      </c>
      <c r="M1910" t="s">
        <v>2677</v>
      </c>
      <c r="P1910" t="s">
        <v>3222</v>
      </c>
      <c r="Q1910" t="s">
        <v>2113</v>
      </c>
      <c r="R1910" t="s">
        <v>3259</v>
      </c>
      <c r="S1910" t="s">
        <v>3264</v>
      </c>
      <c r="X1910" t="s">
        <v>3354</v>
      </c>
      <c r="Y1910" t="s">
        <v>2677</v>
      </c>
      <c r="Z1910" t="s">
        <v>3357</v>
      </c>
      <c r="AA1910" t="s">
        <v>3406</v>
      </c>
      <c r="AB1910" t="s">
        <v>3412</v>
      </c>
      <c r="AC1910">
        <f>HYPERLINK("https://lsnyc.legalserver.org/matter/dynamic-profile/view/0827997","17-0827997")</f>
        <v>0</v>
      </c>
      <c r="AD1910" t="s">
        <v>3445</v>
      </c>
      <c r="AE1910" t="s">
        <v>3455</v>
      </c>
      <c r="AF1910" t="s">
        <v>4667</v>
      </c>
      <c r="AG1910" t="s">
        <v>3357</v>
      </c>
      <c r="AH1910" t="s">
        <v>4904</v>
      </c>
      <c r="AK1910" t="s">
        <v>4911</v>
      </c>
      <c r="AL1910" t="s">
        <v>2116</v>
      </c>
      <c r="AN1910" t="s">
        <v>3412</v>
      </c>
    </row>
    <row r="1911" spans="1:41">
      <c r="A1911" s="1" t="s">
        <v>1946</v>
      </c>
      <c r="B1911" t="s">
        <v>1998</v>
      </c>
      <c r="C1911" t="s">
        <v>1998</v>
      </c>
      <c r="D1911" t="s">
        <v>2042</v>
      </c>
      <c r="E1911" t="s">
        <v>2112</v>
      </c>
      <c r="G1911" t="s">
        <v>2214</v>
      </c>
      <c r="H1911">
        <v>11213</v>
      </c>
      <c r="I1911" t="s">
        <v>2229</v>
      </c>
      <c r="J1911">
        <v>2</v>
      </c>
      <c r="K1911">
        <v>0</v>
      </c>
      <c r="L1911" t="s">
        <v>2595</v>
      </c>
      <c r="M1911" t="s">
        <v>2677</v>
      </c>
      <c r="P1911" t="s">
        <v>3222</v>
      </c>
      <c r="Q1911" t="s">
        <v>3255</v>
      </c>
      <c r="R1911" t="s">
        <v>3258</v>
      </c>
      <c r="S1911" t="s">
        <v>3271</v>
      </c>
      <c r="X1911" t="s">
        <v>3354</v>
      </c>
      <c r="Y1911" t="s">
        <v>2677</v>
      </c>
      <c r="Z1911" t="s">
        <v>3362</v>
      </c>
      <c r="AB1911" t="s">
        <v>3419</v>
      </c>
      <c r="AC1911">
        <f>HYPERLINK("https://lsnyc.legalserver.org/matter/dynamic-profile/view/0828074","17-0828074")</f>
        <v>0</v>
      </c>
      <c r="AD1911" t="s">
        <v>3443</v>
      </c>
      <c r="AE1911" t="s">
        <v>3450</v>
      </c>
      <c r="AF1911" t="s">
        <v>4867</v>
      </c>
      <c r="AG1911" t="s">
        <v>3362</v>
      </c>
      <c r="AN1911" t="s">
        <v>3419</v>
      </c>
    </row>
    <row r="1912" spans="1:41">
      <c r="A1912" s="1" t="s">
        <v>1947</v>
      </c>
      <c r="B1912" t="s">
        <v>2007</v>
      </c>
      <c r="C1912" t="s">
        <v>2000</v>
      </c>
      <c r="D1912" t="s">
        <v>2084</v>
      </c>
      <c r="E1912" t="s">
        <v>2112</v>
      </c>
      <c r="F1912" t="s">
        <v>2116</v>
      </c>
      <c r="G1912" t="s">
        <v>2212</v>
      </c>
      <c r="H1912">
        <v>7047</v>
      </c>
      <c r="I1912" t="s">
        <v>2229</v>
      </c>
      <c r="J1912">
        <v>5</v>
      </c>
      <c r="K1912">
        <v>3</v>
      </c>
      <c r="L1912" t="s">
        <v>2294</v>
      </c>
      <c r="M1912" t="s">
        <v>2677</v>
      </c>
      <c r="P1912" t="s">
        <v>3223</v>
      </c>
      <c r="Q1912" t="s">
        <v>2113</v>
      </c>
      <c r="R1912" t="s">
        <v>3259</v>
      </c>
      <c r="S1912" t="s">
        <v>3264</v>
      </c>
      <c r="X1912" t="s">
        <v>3354</v>
      </c>
      <c r="Y1912" t="s">
        <v>2677</v>
      </c>
      <c r="Z1912" t="s">
        <v>3357</v>
      </c>
      <c r="AA1912" t="s">
        <v>3406</v>
      </c>
      <c r="AB1912" t="s">
        <v>3412</v>
      </c>
      <c r="AC1912">
        <f>HYPERLINK("https://lsnyc.legalserver.org/matter/dynamic-profile/view/0827203","17-0827203")</f>
        <v>0</v>
      </c>
      <c r="AD1912" t="s">
        <v>3445</v>
      </c>
      <c r="AE1912" t="s">
        <v>3455</v>
      </c>
      <c r="AF1912" t="s">
        <v>4606</v>
      </c>
      <c r="AG1912" t="s">
        <v>3357</v>
      </c>
      <c r="AH1912" t="s">
        <v>4904</v>
      </c>
      <c r="AL1912" t="s">
        <v>2116</v>
      </c>
      <c r="AN1912" t="s">
        <v>3412</v>
      </c>
    </row>
    <row r="1913" spans="1:41">
      <c r="A1913" s="1" t="s">
        <v>1948</v>
      </c>
      <c r="B1913" t="s">
        <v>2016</v>
      </c>
      <c r="C1913" t="s">
        <v>2001</v>
      </c>
      <c r="D1913" t="s">
        <v>2092</v>
      </c>
      <c r="E1913" t="s">
        <v>2111</v>
      </c>
      <c r="F1913" t="s">
        <v>2116</v>
      </c>
      <c r="G1913" t="s">
        <v>2214</v>
      </c>
      <c r="H1913">
        <v>11215</v>
      </c>
      <c r="I1913" t="s">
        <v>2229</v>
      </c>
      <c r="J1913">
        <v>4</v>
      </c>
      <c r="K1913">
        <v>1</v>
      </c>
      <c r="L1913" t="s">
        <v>2280</v>
      </c>
      <c r="M1913" t="s">
        <v>2677</v>
      </c>
      <c r="P1913" t="s">
        <v>3004</v>
      </c>
      <c r="Q1913" t="s">
        <v>2113</v>
      </c>
      <c r="R1913" t="s">
        <v>3259</v>
      </c>
      <c r="S1913" t="s">
        <v>3270</v>
      </c>
      <c r="X1913" t="s">
        <v>3354</v>
      </c>
      <c r="Y1913" t="s">
        <v>2677</v>
      </c>
      <c r="Z1913" t="s">
        <v>3362</v>
      </c>
      <c r="AA1913" t="s">
        <v>3406</v>
      </c>
      <c r="AB1913" t="s">
        <v>3418</v>
      </c>
      <c r="AC1913">
        <f>HYPERLINK("https://lsnyc.legalserver.org/matter/dynamic-profile/view/0826134","17-0826134")</f>
        <v>0</v>
      </c>
      <c r="AD1913" t="s">
        <v>3445</v>
      </c>
      <c r="AE1913" t="s">
        <v>3452</v>
      </c>
      <c r="AF1913" t="s">
        <v>3952</v>
      </c>
      <c r="AG1913" t="s">
        <v>3362</v>
      </c>
      <c r="AH1913" t="s">
        <v>4904</v>
      </c>
      <c r="AK1913" t="s">
        <v>4911</v>
      </c>
      <c r="AL1913" t="s">
        <v>2116</v>
      </c>
      <c r="AN1913" t="s">
        <v>3418</v>
      </c>
    </row>
    <row r="1914" spans="1:41">
      <c r="A1914" s="1" t="s">
        <v>1949</v>
      </c>
      <c r="B1914" t="s">
        <v>2018</v>
      </c>
      <c r="C1914" t="s">
        <v>2002</v>
      </c>
      <c r="D1914" t="s">
        <v>2055</v>
      </c>
      <c r="E1914" t="s">
        <v>2112</v>
      </c>
      <c r="F1914" t="s">
        <v>2117</v>
      </c>
      <c r="G1914" t="s">
        <v>2214</v>
      </c>
      <c r="H1914">
        <v>11209</v>
      </c>
      <c r="I1914" t="s">
        <v>2229</v>
      </c>
      <c r="J1914">
        <v>6</v>
      </c>
      <c r="K1914">
        <v>3</v>
      </c>
      <c r="L1914" t="s">
        <v>2294</v>
      </c>
      <c r="M1914" t="s">
        <v>2677</v>
      </c>
      <c r="P1914" t="s">
        <v>3224</v>
      </c>
      <c r="Q1914" t="s">
        <v>2113</v>
      </c>
      <c r="R1914" t="s">
        <v>3259</v>
      </c>
      <c r="S1914" t="s">
        <v>3267</v>
      </c>
      <c r="X1914" t="s">
        <v>3354</v>
      </c>
      <c r="Y1914" t="s">
        <v>2678</v>
      </c>
      <c r="Z1914" t="s">
        <v>3380</v>
      </c>
      <c r="AA1914" t="s">
        <v>3406</v>
      </c>
      <c r="AB1914" t="s">
        <v>3415</v>
      </c>
      <c r="AC1914">
        <f>HYPERLINK("https://lsnyc.legalserver.org/matter/dynamic-profile/view/0825325","17-0825325")</f>
        <v>0</v>
      </c>
      <c r="AD1914" t="s">
        <v>3446</v>
      </c>
      <c r="AE1914" t="s">
        <v>3481</v>
      </c>
      <c r="AF1914" t="s">
        <v>4868</v>
      </c>
      <c r="AG1914" t="s">
        <v>3380</v>
      </c>
      <c r="AH1914" t="s">
        <v>4906</v>
      </c>
      <c r="AK1914" t="s">
        <v>4911</v>
      </c>
      <c r="AL1914" t="s">
        <v>2117</v>
      </c>
      <c r="AN1914" t="s">
        <v>3415</v>
      </c>
    </row>
    <row r="1915" spans="1:41">
      <c r="A1915" s="1" t="s">
        <v>1950</v>
      </c>
      <c r="B1915" t="s">
        <v>2018</v>
      </c>
      <c r="C1915" t="s">
        <v>1998</v>
      </c>
      <c r="D1915" t="s">
        <v>2044</v>
      </c>
      <c r="E1915" t="s">
        <v>2111</v>
      </c>
      <c r="F1915" t="s">
        <v>2129</v>
      </c>
      <c r="G1915" t="s">
        <v>2214</v>
      </c>
      <c r="H1915">
        <v>11209</v>
      </c>
      <c r="I1915" t="s">
        <v>2232</v>
      </c>
      <c r="J1915">
        <v>1</v>
      </c>
      <c r="K1915">
        <v>0</v>
      </c>
      <c r="L1915" t="s">
        <v>2541</v>
      </c>
      <c r="M1915" t="s">
        <v>2677</v>
      </c>
      <c r="P1915" t="s">
        <v>3225</v>
      </c>
      <c r="Q1915" t="s">
        <v>2113</v>
      </c>
      <c r="R1915" t="s">
        <v>3259</v>
      </c>
      <c r="S1915" t="s">
        <v>3268</v>
      </c>
      <c r="X1915" t="s">
        <v>3354</v>
      </c>
      <c r="Y1915" t="s">
        <v>2677</v>
      </c>
      <c r="Z1915" t="s">
        <v>3368</v>
      </c>
      <c r="AA1915" t="s">
        <v>3406</v>
      </c>
      <c r="AB1915" t="s">
        <v>3416</v>
      </c>
      <c r="AC1915">
        <f>HYPERLINK("https://lsnyc.legalserver.org/matter/dynamic-profile/view/0824742","17-0824742")</f>
        <v>0</v>
      </c>
      <c r="AD1915" t="s">
        <v>3446</v>
      </c>
      <c r="AE1915" t="s">
        <v>3456</v>
      </c>
      <c r="AF1915" t="s">
        <v>4869</v>
      </c>
      <c r="AG1915" t="s">
        <v>3368</v>
      </c>
      <c r="AH1915" t="s">
        <v>4904</v>
      </c>
      <c r="AK1915" t="s">
        <v>4911</v>
      </c>
      <c r="AL1915" t="s">
        <v>2129</v>
      </c>
      <c r="AN1915" t="s">
        <v>3416</v>
      </c>
    </row>
    <row r="1916" spans="1:41">
      <c r="A1916" s="1" t="s">
        <v>1951</v>
      </c>
      <c r="B1916" t="s">
        <v>1998</v>
      </c>
      <c r="C1916" t="s">
        <v>2000</v>
      </c>
      <c r="D1916" t="s">
        <v>2029</v>
      </c>
      <c r="E1916" t="s">
        <v>2112</v>
      </c>
      <c r="G1916" t="s">
        <v>2213</v>
      </c>
      <c r="H1916">
        <v>10460</v>
      </c>
      <c r="I1916" t="s">
        <v>2229</v>
      </c>
      <c r="J1916">
        <v>2</v>
      </c>
      <c r="K1916">
        <v>1</v>
      </c>
      <c r="L1916" t="s">
        <v>2259</v>
      </c>
      <c r="M1916" t="s">
        <v>2677</v>
      </c>
      <c r="P1916" t="s">
        <v>3226</v>
      </c>
      <c r="Q1916" t="s">
        <v>3255</v>
      </c>
      <c r="R1916" t="s">
        <v>3259</v>
      </c>
      <c r="S1916" t="s">
        <v>3267</v>
      </c>
      <c r="T1916" t="s">
        <v>3294</v>
      </c>
      <c r="U1916" t="s">
        <v>3338</v>
      </c>
      <c r="V1916" t="s">
        <v>3353</v>
      </c>
      <c r="X1916" t="s">
        <v>3354</v>
      </c>
      <c r="Y1916" t="s">
        <v>2678</v>
      </c>
      <c r="Z1916" t="s">
        <v>3359</v>
      </c>
      <c r="AA1916" t="s">
        <v>3406</v>
      </c>
      <c r="AB1916" t="s">
        <v>3415</v>
      </c>
      <c r="AC1916">
        <f>HYPERLINK("https://lsnyc.legalserver.org/matter/dynamic-profile/view/0824366","17-0824366")</f>
        <v>0</v>
      </c>
      <c r="AD1916" t="s">
        <v>3444</v>
      </c>
      <c r="AE1916" t="s">
        <v>3468</v>
      </c>
      <c r="AF1916" t="s">
        <v>3709</v>
      </c>
      <c r="AG1916" t="s">
        <v>3359</v>
      </c>
      <c r="AH1916" t="s">
        <v>4906</v>
      </c>
      <c r="AM1916" t="s">
        <v>3294</v>
      </c>
      <c r="AN1916" t="s">
        <v>3415</v>
      </c>
      <c r="AO1916" t="s">
        <v>3353</v>
      </c>
    </row>
    <row r="1917" spans="1:41">
      <c r="A1917" s="1" t="s">
        <v>1952</v>
      </c>
      <c r="B1917" t="s">
        <v>2016</v>
      </c>
      <c r="C1917" t="s">
        <v>1998</v>
      </c>
      <c r="D1917" t="s">
        <v>2069</v>
      </c>
      <c r="E1917" t="s">
        <v>2112</v>
      </c>
      <c r="G1917" t="s">
        <v>2213</v>
      </c>
      <c r="H1917">
        <v>10460</v>
      </c>
      <c r="I1917" t="s">
        <v>2229</v>
      </c>
      <c r="J1917">
        <v>1</v>
      </c>
      <c r="K1917">
        <v>0</v>
      </c>
      <c r="L1917" t="s">
        <v>2259</v>
      </c>
      <c r="M1917" t="s">
        <v>2677</v>
      </c>
      <c r="P1917" t="s">
        <v>3226</v>
      </c>
      <c r="Q1917" t="s">
        <v>3255</v>
      </c>
      <c r="R1917" t="s">
        <v>3259</v>
      </c>
      <c r="S1917" t="s">
        <v>3267</v>
      </c>
      <c r="X1917" t="s">
        <v>3354</v>
      </c>
      <c r="Y1917" t="s">
        <v>2678</v>
      </c>
      <c r="Z1917" t="s">
        <v>3367</v>
      </c>
      <c r="AA1917" t="s">
        <v>3406</v>
      </c>
      <c r="AB1917" t="s">
        <v>3415</v>
      </c>
      <c r="AC1917">
        <f>HYPERLINK("https://lsnyc.legalserver.org/matter/dynamic-profile/view/0824374","17-0824374")</f>
        <v>0</v>
      </c>
      <c r="AD1917" t="s">
        <v>3444</v>
      </c>
      <c r="AE1917" t="s">
        <v>3468</v>
      </c>
      <c r="AF1917" t="s">
        <v>3710</v>
      </c>
      <c r="AG1917" t="s">
        <v>3367</v>
      </c>
      <c r="AH1917" t="s">
        <v>4904</v>
      </c>
      <c r="AN1917" t="s">
        <v>3415</v>
      </c>
    </row>
    <row r="1918" spans="1:41">
      <c r="A1918" s="1" t="s">
        <v>1953</v>
      </c>
      <c r="B1918" t="s">
        <v>2000</v>
      </c>
      <c r="C1918" t="s">
        <v>2009</v>
      </c>
      <c r="D1918" t="s">
        <v>2078</v>
      </c>
      <c r="E1918" t="s">
        <v>2111</v>
      </c>
      <c r="F1918" t="s">
        <v>2129</v>
      </c>
      <c r="G1918" t="s">
        <v>2216</v>
      </c>
      <c r="H1918">
        <v>10306</v>
      </c>
      <c r="I1918" t="s">
        <v>2232</v>
      </c>
      <c r="J1918">
        <v>1</v>
      </c>
      <c r="K1918">
        <v>0</v>
      </c>
      <c r="L1918" t="s">
        <v>2260</v>
      </c>
      <c r="M1918" t="s">
        <v>2677</v>
      </c>
      <c r="P1918" t="s">
        <v>3227</v>
      </c>
      <c r="Q1918" t="s">
        <v>2113</v>
      </c>
      <c r="R1918" t="s">
        <v>3259</v>
      </c>
      <c r="S1918" t="s">
        <v>3268</v>
      </c>
      <c r="T1918" t="s">
        <v>3294</v>
      </c>
      <c r="U1918" t="s">
        <v>3339</v>
      </c>
      <c r="X1918" t="s">
        <v>3354</v>
      </c>
      <c r="Y1918" t="s">
        <v>2678</v>
      </c>
      <c r="Z1918" t="s">
        <v>3368</v>
      </c>
      <c r="AA1918" t="s">
        <v>3406</v>
      </c>
      <c r="AB1918" t="s">
        <v>3416</v>
      </c>
      <c r="AC1918">
        <f>HYPERLINK("https://lsnyc.legalserver.org/matter/dynamic-profile/view/0824182","17-0824182")</f>
        <v>0</v>
      </c>
      <c r="AD1918" t="s">
        <v>3447</v>
      </c>
      <c r="AE1918" t="s">
        <v>3463</v>
      </c>
      <c r="AF1918" t="s">
        <v>4870</v>
      </c>
      <c r="AG1918" t="s">
        <v>3368</v>
      </c>
      <c r="AH1918" t="s">
        <v>4904</v>
      </c>
      <c r="AK1918" t="s">
        <v>4911</v>
      </c>
      <c r="AL1918" t="s">
        <v>2129</v>
      </c>
      <c r="AM1918" t="s">
        <v>3294</v>
      </c>
      <c r="AN1918" t="s">
        <v>3416</v>
      </c>
    </row>
    <row r="1919" spans="1:41">
      <c r="A1919" s="1" t="s">
        <v>1954</v>
      </c>
      <c r="B1919" t="s">
        <v>2001</v>
      </c>
      <c r="C1919" t="s">
        <v>2002</v>
      </c>
      <c r="D1919" t="s">
        <v>2094</v>
      </c>
      <c r="E1919" t="s">
        <v>2112</v>
      </c>
      <c r="F1919" t="s">
        <v>2117</v>
      </c>
      <c r="G1919" t="s">
        <v>2216</v>
      </c>
      <c r="H1919">
        <v>10305</v>
      </c>
      <c r="I1919" t="s">
        <v>2229</v>
      </c>
      <c r="J1919">
        <v>6</v>
      </c>
      <c r="K1919">
        <v>3</v>
      </c>
      <c r="L1919" t="s">
        <v>2260</v>
      </c>
      <c r="M1919" t="s">
        <v>2677</v>
      </c>
      <c r="P1919" t="s">
        <v>3228</v>
      </c>
      <c r="Q1919" t="s">
        <v>2113</v>
      </c>
      <c r="R1919" t="s">
        <v>3259</v>
      </c>
      <c r="S1919" t="s">
        <v>3267</v>
      </c>
      <c r="T1919" t="s">
        <v>3294</v>
      </c>
      <c r="U1919" t="s">
        <v>3340</v>
      </c>
      <c r="X1919" t="s">
        <v>3354</v>
      </c>
      <c r="Y1919" t="s">
        <v>2678</v>
      </c>
      <c r="Z1919" t="s">
        <v>3380</v>
      </c>
      <c r="AA1919" t="s">
        <v>3406</v>
      </c>
      <c r="AB1919" t="s">
        <v>3415</v>
      </c>
      <c r="AC1919">
        <f>HYPERLINK("https://lsnyc.legalserver.org/matter/dynamic-profile/view/0823353","16-0823353")</f>
        <v>0</v>
      </c>
      <c r="AD1919" t="s">
        <v>3447</v>
      </c>
      <c r="AE1919" t="s">
        <v>3463</v>
      </c>
      <c r="AF1919" t="s">
        <v>4871</v>
      </c>
      <c r="AG1919" t="s">
        <v>3380</v>
      </c>
      <c r="AH1919" t="s">
        <v>4906</v>
      </c>
      <c r="AK1919" t="s">
        <v>4911</v>
      </c>
      <c r="AL1919" t="s">
        <v>2117</v>
      </c>
      <c r="AM1919" t="s">
        <v>3294</v>
      </c>
      <c r="AN1919" t="s">
        <v>3415</v>
      </c>
    </row>
    <row r="1920" spans="1:41">
      <c r="A1920" s="1" t="s">
        <v>1955</v>
      </c>
      <c r="B1920" t="s">
        <v>2002</v>
      </c>
      <c r="C1920" t="s">
        <v>2009</v>
      </c>
      <c r="D1920" t="s">
        <v>2038</v>
      </c>
      <c r="E1920" t="s">
        <v>2112</v>
      </c>
      <c r="F1920" t="s">
        <v>2116</v>
      </c>
      <c r="G1920" t="s">
        <v>2227</v>
      </c>
      <c r="H1920">
        <v>18702</v>
      </c>
      <c r="I1920" t="s">
        <v>2229</v>
      </c>
      <c r="J1920">
        <v>5</v>
      </c>
      <c r="K1920">
        <v>3</v>
      </c>
      <c r="L1920" t="s">
        <v>2260</v>
      </c>
      <c r="M1920" t="s">
        <v>2677</v>
      </c>
      <c r="P1920" t="s">
        <v>3229</v>
      </c>
      <c r="Q1920" t="s">
        <v>2113</v>
      </c>
      <c r="R1920" t="s">
        <v>3259</v>
      </c>
      <c r="S1920" t="s">
        <v>3264</v>
      </c>
      <c r="T1920" t="s">
        <v>3294</v>
      </c>
      <c r="U1920" t="s">
        <v>3066</v>
      </c>
      <c r="X1920" t="s">
        <v>3354</v>
      </c>
      <c r="Y1920" t="s">
        <v>2677</v>
      </c>
      <c r="Z1920" t="s">
        <v>3357</v>
      </c>
      <c r="AA1920" t="s">
        <v>3406</v>
      </c>
      <c r="AB1920" t="s">
        <v>3412</v>
      </c>
      <c r="AC1920">
        <f>HYPERLINK("https://lsnyc.legalserver.org/matter/dynamic-profile/view/0822528","16-0822528")</f>
        <v>0</v>
      </c>
      <c r="AD1920" t="s">
        <v>3445</v>
      </c>
      <c r="AE1920" t="s">
        <v>3455</v>
      </c>
      <c r="AF1920" t="s">
        <v>4735</v>
      </c>
      <c r="AG1920" t="s">
        <v>3357</v>
      </c>
      <c r="AH1920" t="s">
        <v>4904</v>
      </c>
      <c r="AK1920" t="s">
        <v>4911</v>
      </c>
      <c r="AL1920" t="s">
        <v>2116</v>
      </c>
      <c r="AM1920" t="s">
        <v>3294</v>
      </c>
      <c r="AN1920" t="s">
        <v>3412</v>
      </c>
    </row>
    <row r="1921" spans="1:41">
      <c r="A1921" s="1" t="s">
        <v>1956</v>
      </c>
      <c r="B1921" t="s">
        <v>2004</v>
      </c>
      <c r="C1921" t="s">
        <v>2016</v>
      </c>
      <c r="D1921" t="s">
        <v>2060</v>
      </c>
      <c r="E1921" t="s">
        <v>2112</v>
      </c>
      <c r="F1921" t="s">
        <v>2117</v>
      </c>
      <c r="G1921" t="s">
        <v>2216</v>
      </c>
      <c r="H1921">
        <v>10302</v>
      </c>
      <c r="I1921" t="s">
        <v>2229</v>
      </c>
      <c r="J1921">
        <v>2</v>
      </c>
      <c r="K1921">
        <v>0</v>
      </c>
      <c r="L1921" t="s">
        <v>2667</v>
      </c>
      <c r="M1921" t="s">
        <v>2677</v>
      </c>
      <c r="P1921" t="s">
        <v>3230</v>
      </c>
      <c r="Q1921" t="s">
        <v>2113</v>
      </c>
      <c r="R1921" t="s">
        <v>3259</v>
      </c>
      <c r="S1921" t="s">
        <v>3267</v>
      </c>
      <c r="X1921" t="s">
        <v>3354</v>
      </c>
      <c r="Y1921" t="s">
        <v>2678</v>
      </c>
      <c r="Z1921" t="s">
        <v>3380</v>
      </c>
      <c r="AA1921" t="s">
        <v>3406</v>
      </c>
      <c r="AB1921" t="s">
        <v>3415</v>
      </c>
      <c r="AC1921">
        <f>HYPERLINK("https://lsnyc.legalserver.org/matter/dynamic-profile/view/0821375","16-0821375")</f>
        <v>0</v>
      </c>
      <c r="AD1921" t="s">
        <v>3447</v>
      </c>
      <c r="AE1921" t="s">
        <v>3463</v>
      </c>
      <c r="AF1921" t="s">
        <v>4872</v>
      </c>
      <c r="AG1921" t="s">
        <v>3380</v>
      </c>
      <c r="AH1921" t="s">
        <v>4906</v>
      </c>
      <c r="AK1921" t="s">
        <v>4911</v>
      </c>
      <c r="AL1921" t="s">
        <v>2117</v>
      </c>
      <c r="AN1921" t="s">
        <v>3415</v>
      </c>
    </row>
    <row r="1922" spans="1:41">
      <c r="A1922" s="1" t="s">
        <v>1957</v>
      </c>
      <c r="B1922" t="s">
        <v>2002</v>
      </c>
      <c r="C1922" t="s">
        <v>2001</v>
      </c>
      <c r="D1922" t="s">
        <v>2057</v>
      </c>
      <c r="E1922" t="s">
        <v>2112</v>
      </c>
      <c r="F1922" t="s">
        <v>2117</v>
      </c>
      <c r="G1922" t="s">
        <v>2216</v>
      </c>
      <c r="H1922">
        <v>10305</v>
      </c>
      <c r="I1922" t="s">
        <v>2229</v>
      </c>
      <c r="J1922">
        <v>4</v>
      </c>
      <c r="K1922">
        <v>2</v>
      </c>
      <c r="L1922" t="s">
        <v>2442</v>
      </c>
      <c r="M1922" t="s">
        <v>2677</v>
      </c>
      <c r="P1922" t="s">
        <v>3230</v>
      </c>
      <c r="Q1922" t="s">
        <v>2113</v>
      </c>
      <c r="R1922" t="s">
        <v>3259</v>
      </c>
      <c r="S1922" t="s">
        <v>3267</v>
      </c>
      <c r="T1922" t="s">
        <v>3294</v>
      </c>
      <c r="U1922" t="s">
        <v>3336</v>
      </c>
      <c r="X1922" t="s">
        <v>3354</v>
      </c>
      <c r="Y1922" t="s">
        <v>2678</v>
      </c>
      <c r="Z1922" t="s">
        <v>3380</v>
      </c>
      <c r="AA1922" t="s">
        <v>3406</v>
      </c>
      <c r="AB1922" t="s">
        <v>3415</v>
      </c>
      <c r="AC1922">
        <f>HYPERLINK("https://lsnyc.legalserver.org/matter/dynamic-profile/view/0821475","16-0821475")</f>
        <v>0</v>
      </c>
      <c r="AD1922" t="s">
        <v>3447</v>
      </c>
      <c r="AE1922" t="s">
        <v>3463</v>
      </c>
      <c r="AF1922" t="s">
        <v>4873</v>
      </c>
      <c r="AG1922" t="s">
        <v>3380</v>
      </c>
      <c r="AH1922" t="s">
        <v>4906</v>
      </c>
      <c r="AK1922" t="s">
        <v>4911</v>
      </c>
      <c r="AL1922" t="s">
        <v>2117</v>
      </c>
      <c r="AM1922" t="s">
        <v>3294</v>
      </c>
      <c r="AN1922" t="s">
        <v>3415</v>
      </c>
    </row>
    <row r="1923" spans="1:41">
      <c r="A1923" s="1" t="s">
        <v>1958</v>
      </c>
      <c r="B1923" t="s">
        <v>1998</v>
      </c>
      <c r="C1923" t="s">
        <v>2002</v>
      </c>
      <c r="D1923" t="s">
        <v>2069</v>
      </c>
      <c r="E1923" t="s">
        <v>2111</v>
      </c>
      <c r="F1923" t="s">
        <v>2117</v>
      </c>
      <c r="G1923" t="s">
        <v>2213</v>
      </c>
      <c r="H1923">
        <v>10459</v>
      </c>
      <c r="I1923" t="s">
        <v>2229</v>
      </c>
      <c r="J1923">
        <v>3</v>
      </c>
      <c r="K1923">
        <v>2</v>
      </c>
      <c r="L1923" t="s">
        <v>2668</v>
      </c>
      <c r="M1923" t="s">
        <v>2677</v>
      </c>
      <c r="P1923" t="s">
        <v>2763</v>
      </c>
      <c r="Q1923" t="s">
        <v>3255</v>
      </c>
      <c r="R1923" t="s">
        <v>3259</v>
      </c>
      <c r="S1923" t="s">
        <v>3267</v>
      </c>
      <c r="X1923" t="s">
        <v>3354</v>
      </c>
      <c r="Y1923" t="s">
        <v>2678</v>
      </c>
      <c r="Z1923" t="s">
        <v>3380</v>
      </c>
      <c r="AA1923" t="s">
        <v>3406</v>
      </c>
      <c r="AB1923" t="s">
        <v>3415</v>
      </c>
      <c r="AC1923">
        <f>HYPERLINK("https://lsnyc.legalserver.org/matter/dynamic-profile/view/0821879","16-0821879")</f>
        <v>0</v>
      </c>
      <c r="AD1923" t="s">
        <v>3444</v>
      </c>
      <c r="AE1923" t="s">
        <v>3451</v>
      </c>
      <c r="AF1923" t="s">
        <v>4874</v>
      </c>
      <c r="AG1923" t="s">
        <v>3380</v>
      </c>
      <c r="AH1923" t="s">
        <v>4906</v>
      </c>
      <c r="AI1923" t="s">
        <v>4909</v>
      </c>
      <c r="AL1923" t="s">
        <v>2117</v>
      </c>
      <c r="AN1923" t="s">
        <v>3415</v>
      </c>
    </row>
    <row r="1924" spans="1:41">
      <c r="A1924" s="1" t="s">
        <v>1959</v>
      </c>
      <c r="B1924" t="s">
        <v>2004</v>
      </c>
      <c r="C1924" t="s">
        <v>2016</v>
      </c>
      <c r="D1924" t="s">
        <v>2031</v>
      </c>
      <c r="E1924" t="s">
        <v>2112</v>
      </c>
      <c r="F1924" t="s">
        <v>2200</v>
      </c>
      <c r="G1924" t="s">
        <v>2214</v>
      </c>
      <c r="H1924">
        <v>11213</v>
      </c>
      <c r="I1924" t="s">
        <v>2230</v>
      </c>
      <c r="J1924">
        <v>4</v>
      </c>
      <c r="K1924">
        <v>2</v>
      </c>
      <c r="L1924" t="s">
        <v>2669</v>
      </c>
      <c r="M1924" t="s">
        <v>2677</v>
      </c>
      <c r="P1924" t="s">
        <v>3231</v>
      </c>
      <c r="Q1924" t="s">
        <v>2113</v>
      </c>
      <c r="R1924" t="s">
        <v>3259</v>
      </c>
      <c r="S1924" t="s">
        <v>3287</v>
      </c>
      <c r="T1924" t="s">
        <v>3294</v>
      </c>
      <c r="X1924" t="s">
        <v>3354</v>
      </c>
      <c r="Y1924" t="s">
        <v>2678</v>
      </c>
      <c r="Z1924" t="s">
        <v>3378</v>
      </c>
      <c r="AA1924" t="s">
        <v>3406</v>
      </c>
      <c r="AB1924" t="s">
        <v>3435</v>
      </c>
      <c r="AC1924">
        <f>HYPERLINK("https://lsnyc.legalserver.org/matter/dynamic-profile/view/0821553","16-0821553")</f>
        <v>0</v>
      </c>
      <c r="AD1924" t="s">
        <v>3446</v>
      </c>
      <c r="AE1924" t="s">
        <v>3481</v>
      </c>
      <c r="AF1924" t="s">
        <v>4587</v>
      </c>
      <c r="AG1924" t="s">
        <v>3378</v>
      </c>
      <c r="AH1924" t="s">
        <v>4904</v>
      </c>
      <c r="AK1924" t="s">
        <v>4911</v>
      </c>
      <c r="AL1924" t="s">
        <v>2200</v>
      </c>
      <c r="AM1924" t="s">
        <v>3294</v>
      </c>
      <c r="AN1924" t="s">
        <v>3435</v>
      </c>
    </row>
    <row r="1925" spans="1:41">
      <c r="A1925" s="1" t="s">
        <v>1960</v>
      </c>
      <c r="B1925" t="s">
        <v>2016</v>
      </c>
      <c r="C1925" t="s">
        <v>2005</v>
      </c>
      <c r="D1925" t="s">
        <v>2078</v>
      </c>
      <c r="E1925" t="s">
        <v>2111</v>
      </c>
      <c r="F1925" t="s">
        <v>2129</v>
      </c>
      <c r="G1925" t="s">
        <v>2214</v>
      </c>
      <c r="H1925">
        <v>11214</v>
      </c>
      <c r="I1925" t="s">
        <v>2232</v>
      </c>
      <c r="J1925">
        <v>2</v>
      </c>
      <c r="K1925">
        <v>0</v>
      </c>
      <c r="L1925" t="s">
        <v>2260</v>
      </c>
      <c r="M1925" t="s">
        <v>2677</v>
      </c>
      <c r="P1925" t="s">
        <v>3232</v>
      </c>
      <c r="Q1925" t="s">
        <v>2113</v>
      </c>
      <c r="R1925" t="s">
        <v>3259</v>
      </c>
      <c r="S1925" t="s">
        <v>3268</v>
      </c>
      <c r="T1925" t="s">
        <v>3294</v>
      </c>
      <c r="U1925" t="s">
        <v>3341</v>
      </c>
      <c r="X1925" t="s">
        <v>3354</v>
      </c>
      <c r="Y1925" t="s">
        <v>2678</v>
      </c>
      <c r="Z1925" t="s">
        <v>3368</v>
      </c>
      <c r="AA1925" t="s">
        <v>3406</v>
      </c>
      <c r="AB1925" t="s">
        <v>3416</v>
      </c>
      <c r="AC1925">
        <f>HYPERLINK("https://lsnyc.legalserver.org/matter/dynamic-profile/view/0821055","16-0821055")</f>
        <v>0</v>
      </c>
      <c r="AD1925" t="s">
        <v>3447</v>
      </c>
      <c r="AE1925" t="s">
        <v>3463</v>
      </c>
      <c r="AF1925" t="s">
        <v>4875</v>
      </c>
      <c r="AG1925" t="s">
        <v>3368</v>
      </c>
      <c r="AH1925" t="s">
        <v>4904</v>
      </c>
      <c r="AK1925" t="s">
        <v>4911</v>
      </c>
      <c r="AL1925" t="s">
        <v>2129</v>
      </c>
      <c r="AM1925" t="s">
        <v>3294</v>
      </c>
      <c r="AN1925" t="s">
        <v>3416</v>
      </c>
    </row>
    <row r="1926" spans="1:41">
      <c r="A1926" s="1" t="s">
        <v>1961</v>
      </c>
      <c r="B1926" t="s">
        <v>1998</v>
      </c>
      <c r="C1926" t="s">
        <v>2000</v>
      </c>
      <c r="D1926" t="s">
        <v>2068</v>
      </c>
      <c r="E1926" t="s">
        <v>2111</v>
      </c>
      <c r="F1926" t="s">
        <v>2129</v>
      </c>
      <c r="G1926" t="s">
        <v>2214</v>
      </c>
      <c r="H1926">
        <v>11223</v>
      </c>
      <c r="I1926" t="s">
        <v>2232</v>
      </c>
      <c r="J1926">
        <v>1</v>
      </c>
      <c r="K1926">
        <v>0</v>
      </c>
      <c r="L1926" t="s">
        <v>2260</v>
      </c>
      <c r="M1926" t="s">
        <v>2677</v>
      </c>
      <c r="P1926" t="s">
        <v>3233</v>
      </c>
      <c r="Q1926" t="s">
        <v>2113</v>
      </c>
      <c r="R1926" t="s">
        <v>3259</v>
      </c>
      <c r="S1926" t="s">
        <v>3268</v>
      </c>
      <c r="X1926" t="s">
        <v>3354</v>
      </c>
      <c r="Y1926" t="s">
        <v>2677</v>
      </c>
      <c r="Z1926" t="s">
        <v>3368</v>
      </c>
      <c r="AA1926" t="s">
        <v>3406</v>
      </c>
      <c r="AB1926" t="s">
        <v>3416</v>
      </c>
      <c r="AC1926">
        <f>HYPERLINK("https://lsnyc.legalserver.org/matter/dynamic-profile/view/0819697","16-0819697")</f>
        <v>0</v>
      </c>
      <c r="AD1926" t="s">
        <v>3447</v>
      </c>
      <c r="AE1926" t="s">
        <v>3463</v>
      </c>
      <c r="AF1926" t="s">
        <v>4876</v>
      </c>
      <c r="AG1926" t="s">
        <v>3368</v>
      </c>
      <c r="AH1926" t="s">
        <v>4904</v>
      </c>
      <c r="AK1926" t="s">
        <v>4911</v>
      </c>
      <c r="AL1926" t="s">
        <v>2129</v>
      </c>
      <c r="AN1926" t="s">
        <v>3416</v>
      </c>
    </row>
    <row r="1927" spans="1:41">
      <c r="A1927" s="1" t="s">
        <v>1962</v>
      </c>
      <c r="B1927" t="s">
        <v>1998</v>
      </c>
      <c r="C1927" t="s">
        <v>2000</v>
      </c>
      <c r="D1927" t="s">
        <v>2072</v>
      </c>
      <c r="E1927" t="s">
        <v>2111</v>
      </c>
      <c r="F1927" t="s">
        <v>2129</v>
      </c>
      <c r="G1927" t="s">
        <v>2214</v>
      </c>
      <c r="H1927">
        <v>11209</v>
      </c>
      <c r="I1927" t="s">
        <v>2232</v>
      </c>
      <c r="J1927">
        <v>1</v>
      </c>
      <c r="K1927">
        <v>0</v>
      </c>
      <c r="L1927" t="s">
        <v>2260</v>
      </c>
      <c r="M1927" t="s">
        <v>2677</v>
      </c>
      <c r="P1927" t="s">
        <v>3234</v>
      </c>
      <c r="Q1927" t="s">
        <v>2113</v>
      </c>
      <c r="R1927" t="s">
        <v>3259</v>
      </c>
      <c r="S1927" t="s">
        <v>3272</v>
      </c>
      <c r="X1927" t="s">
        <v>3354</v>
      </c>
      <c r="Y1927" t="s">
        <v>2677</v>
      </c>
      <c r="Z1927" t="s">
        <v>3364</v>
      </c>
      <c r="AA1927" t="s">
        <v>3406</v>
      </c>
      <c r="AB1927" t="s">
        <v>3420</v>
      </c>
      <c r="AC1927">
        <f>HYPERLINK("https://lsnyc.legalserver.org/matter/dynamic-profile/view/0819491","16-0819491")</f>
        <v>0</v>
      </c>
      <c r="AD1927" t="s">
        <v>3446</v>
      </c>
      <c r="AE1927" t="s">
        <v>3456</v>
      </c>
      <c r="AF1927" t="s">
        <v>4877</v>
      </c>
      <c r="AG1927" t="s">
        <v>3364</v>
      </c>
      <c r="AH1927" t="s">
        <v>4904</v>
      </c>
      <c r="AK1927" t="s">
        <v>4911</v>
      </c>
      <c r="AL1927" t="s">
        <v>2129</v>
      </c>
      <c r="AN1927" t="s">
        <v>3420</v>
      </c>
    </row>
    <row r="1928" spans="1:41">
      <c r="A1928" s="1" t="s">
        <v>1963</v>
      </c>
      <c r="B1928" t="s">
        <v>2016</v>
      </c>
      <c r="C1928" t="s">
        <v>2009</v>
      </c>
      <c r="D1928" t="s">
        <v>2055</v>
      </c>
      <c r="E1928" t="s">
        <v>2111</v>
      </c>
      <c r="F1928" t="s">
        <v>2129</v>
      </c>
      <c r="G1928" t="s">
        <v>2214</v>
      </c>
      <c r="H1928">
        <v>11235</v>
      </c>
      <c r="I1928" t="s">
        <v>2232</v>
      </c>
      <c r="J1928">
        <v>1</v>
      </c>
      <c r="K1928">
        <v>0</v>
      </c>
      <c r="L1928" t="s">
        <v>2384</v>
      </c>
      <c r="M1928" t="s">
        <v>2677</v>
      </c>
      <c r="P1928" t="s">
        <v>3234</v>
      </c>
      <c r="Q1928" t="s">
        <v>2113</v>
      </c>
      <c r="R1928" t="s">
        <v>3259</v>
      </c>
      <c r="S1928" t="s">
        <v>3268</v>
      </c>
      <c r="T1928" t="s">
        <v>3294</v>
      </c>
      <c r="U1928" t="s">
        <v>3326</v>
      </c>
      <c r="X1928" t="s">
        <v>3354</v>
      </c>
      <c r="Y1928" t="s">
        <v>2677</v>
      </c>
      <c r="Z1928" t="s">
        <v>3368</v>
      </c>
      <c r="AA1928" t="s">
        <v>3406</v>
      </c>
      <c r="AB1928" t="s">
        <v>3416</v>
      </c>
      <c r="AC1928">
        <f>HYPERLINK("https://lsnyc.legalserver.org/matter/dynamic-profile/view/0819558","16-0819558")</f>
        <v>0</v>
      </c>
      <c r="AD1928" t="s">
        <v>3446</v>
      </c>
      <c r="AE1928" t="s">
        <v>3456</v>
      </c>
      <c r="AF1928" t="s">
        <v>4878</v>
      </c>
      <c r="AG1928" t="s">
        <v>3368</v>
      </c>
      <c r="AH1928" t="s">
        <v>4904</v>
      </c>
      <c r="AK1928" t="s">
        <v>4911</v>
      </c>
      <c r="AL1928" t="s">
        <v>2129</v>
      </c>
      <c r="AM1928" t="s">
        <v>3294</v>
      </c>
      <c r="AN1928" t="s">
        <v>3416</v>
      </c>
    </row>
    <row r="1929" spans="1:41">
      <c r="A1929" s="1" t="s">
        <v>1964</v>
      </c>
      <c r="B1929" t="s">
        <v>2009</v>
      </c>
      <c r="C1929" t="s">
        <v>2005</v>
      </c>
      <c r="D1929" t="s">
        <v>2078</v>
      </c>
      <c r="E1929" t="s">
        <v>2111</v>
      </c>
      <c r="F1929" t="s">
        <v>2129</v>
      </c>
      <c r="G1929" t="s">
        <v>2214</v>
      </c>
      <c r="H1929">
        <v>11210</v>
      </c>
      <c r="I1929" t="s">
        <v>2232</v>
      </c>
      <c r="J1929">
        <v>1</v>
      </c>
      <c r="K1929">
        <v>0</v>
      </c>
      <c r="L1929" t="s">
        <v>2275</v>
      </c>
      <c r="M1929" t="s">
        <v>2677</v>
      </c>
      <c r="P1929" t="s">
        <v>3234</v>
      </c>
      <c r="Q1929" t="s">
        <v>2113</v>
      </c>
      <c r="R1929" t="s">
        <v>3259</v>
      </c>
      <c r="S1929" t="s">
        <v>3268</v>
      </c>
      <c r="T1929" t="s">
        <v>3294</v>
      </c>
      <c r="U1929" t="s">
        <v>3219</v>
      </c>
      <c r="X1929" t="s">
        <v>3354</v>
      </c>
      <c r="Y1929" t="s">
        <v>2677</v>
      </c>
      <c r="Z1929" t="s">
        <v>3368</v>
      </c>
      <c r="AA1929" t="s">
        <v>3406</v>
      </c>
      <c r="AB1929" t="s">
        <v>3416</v>
      </c>
      <c r="AC1929">
        <f>HYPERLINK("https://lsnyc.legalserver.org/matter/dynamic-profile/view/0819585","16-0819585")</f>
        <v>0</v>
      </c>
      <c r="AD1929" t="s">
        <v>3446</v>
      </c>
      <c r="AE1929" t="s">
        <v>3456</v>
      </c>
      <c r="AF1929" t="s">
        <v>4879</v>
      </c>
      <c r="AG1929" t="s">
        <v>3368</v>
      </c>
      <c r="AH1929" t="s">
        <v>4904</v>
      </c>
      <c r="AK1929" t="s">
        <v>4911</v>
      </c>
      <c r="AL1929" t="s">
        <v>2129</v>
      </c>
      <c r="AM1929" t="s">
        <v>3294</v>
      </c>
      <c r="AN1929" t="s">
        <v>3416</v>
      </c>
    </row>
    <row r="1930" spans="1:41">
      <c r="A1930" s="1" t="s">
        <v>1965</v>
      </c>
      <c r="B1930" t="s">
        <v>2000</v>
      </c>
      <c r="C1930" t="s">
        <v>2001</v>
      </c>
      <c r="D1930" t="s">
        <v>2049</v>
      </c>
      <c r="E1930" t="s">
        <v>2112</v>
      </c>
      <c r="F1930" t="s">
        <v>2114</v>
      </c>
      <c r="G1930" t="s">
        <v>2213</v>
      </c>
      <c r="H1930">
        <v>10456</v>
      </c>
      <c r="I1930" t="s">
        <v>2229</v>
      </c>
      <c r="J1930">
        <v>4</v>
      </c>
      <c r="K1930">
        <v>2</v>
      </c>
      <c r="L1930" t="s">
        <v>2377</v>
      </c>
      <c r="M1930" t="s">
        <v>2677</v>
      </c>
      <c r="P1930" t="s">
        <v>3235</v>
      </c>
      <c r="Q1930" t="s">
        <v>3255</v>
      </c>
      <c r="R1930" t="s">
        <v>3259</v>
      </c>
      <c r="S1930" t="s">
        <v>3267</v>
      </c>
      <c r="X1930" t="s">
        <v>3354</v>
      </c>
      <c r="Y1930" t="s">
        <v>2678</v>
      </c>
      <c r="Z1930" t="s">
        <v>3380</v>
      </c>
      <c r="AA1930" t="s">
        <v>3406</v>
      </c>
      <c r="AB1930" t="s">
        <v>3415</v>
      </c>
      <c r="AC1930">
        <f>HYPERLINK("https://lsnyc.legalserver.org/matter/dynamic-profile/view/0819254","16-0819254")</f>
        <v>0</v>
      </c>
      <c r="AD1930" t="s">
        <v>3444</v>
      </c>
      <c r="AE1930" t="s">
        <v>3466</v>
      </c>
      <c r="AF1930" t="s">
        <v>3838</v>
      </c>
      <c r="AG1930" t="s">
        <v>3380</v>
      </c>
      <c r="AH1930" t="s">
        <v>4906</v>
      </c>
      <c r="AK1930" t="s">
        <v>4911</v>
      </c>
      <c r="AL1930" t="s">
        <v>2114</v>
      </c>
      <c r="AN1930" t="s">
        <v>3415</v>
      </c>
    </row>
    <row r="1931" spans="1:41">
      <c r="A1931" s="1" t="s">
        <v>1966</v>
      </c>
      <c r="B1931" t="s">
        <v>1998</v>
      </c>
      <c r="C1931" t="s">
        <v>2009</v>
      </c>
      <c r="D1931" t="s">
        <v>2048</v>
      </c>
      <c r="E1931" t="s">
        <v>2112</v>
      </c>
      <c r="F1931" t="s">
        <v>2117</v>
      </c>
      <c r="G1931" t="s">
        <v>2212</v>
      </c>
      <c r="H1931">
        <v>11433</v>
      </c>
      <c r="I1931" t="s">
        <v>2229</v>
      </c>
      <c r="J1931">
        <v>2</v>
      </c>
      <c r="K1931">
        <v>1</v>
      </c>
      <c r="L1931" t="s">
        <v>2260</v>
      </c>
      <c r="M1931" t="s">
        <v>2677</v>
      </c>
      <c r="P1931" t="s">
        <v>2779</v>
      </c>
      <c r="Q1931" t="s">
        <v>3255</v>
      </c>
      <c r="R1931" t="s">
        <v>3259</v>
      </c>
      <c r="S1931" t="s">
        <v>3267</v>
      </c>
      <c r="X1931" t="s">
        <v>3354</v>
      </c>
      <c r="Y1931" t="s">
        <v>2678</v>
      </c>
      <c r="Z1931" t="s">
        <v>3359</v>
      </c>
      <c r="AA1931" t="s">
        <v>3406</v>
      </c>
      <c r="AB1931" t="s">
        <v>3415</v>
      </c>
      <c r="AC1931">
        <f>HYPERLINK("https://lsnyc.legalserver.org/matter/dynamic-profile/view/0817419","16-0817419")</f>
        <v>0</v>
      </c>
      <c r="AD1931" t="s">
        <v>3443</v>
      </c>
      <c r="AE1931" t="s">
        <v>3449</v>
      </c>
      <c r="AF1931" t="s">
        <v>4880</v>
      </c>
      <c r="AG1931" t="s">
        <v>3359</v>
      </c>
      <c r="AH1931" t="s">
        <v>4906</v>
      </c>
      <c r="AL1931" t="s">
        <v>2117</v>
      </c>
      <c r="AN1931" t="s">
        <v>3415</v>
      </c>
    </row>
    <row r="1932" spans="1:41">
      <c r="A1932" s="1" t="s">
        <v>1967</v>
      </c>
      <c r="B1932" t="s">
        <v>1998</v>
      </c>
      <c r="C1932" t="s">
        <v>2002</v>
      </c>
      <c r="D1932" t="s">
        <v>2069</v>
      </c>
      <c r="E1932" t="s">
        <v>2111</v>
      </c>
      <c r="F1932" t="s">
        <v>2117</v>
      </c>
      <c r="G1932" t="s">
        <v>2213</v>
      </c>
      <c r="H1932">
        <v>10459</v>
      </c>
      <c r="I1932" t="s">
        <v>2229</v>
      </c>
      <c r="J1932">
        <v>3</v>
      </c>
      <c r="K1932">
        <v>2</v>
      </c>
      <c r="L1932" t="s">
        <v>2670</v>
      </c>
      <c r="M1932" t="s">
        <v>2677</v>
      </c>
      <c r="P1932" t="s">
        <v>2763</v>
      </c>
      <c r="Q1932" t="s">
        <v>3255</v>
      </c>
      <c r="R1932" t="s">
        <v>3259</v>
      </c>
      <c r="S1932" t="s">
        <v>3267</v>
      </c>
      <c r="T1932" t="s">
        <v>3294</v>
      </c>
      <c r="U1932" t="s">
        <v>3228</v>
      </c>
      <c r="V1932" t="s">
        <v>3353</v>
      </c>
      <c r="X1932" t="s">
        <v>3354</v>
      </c>
      <c r="Y1932" t="s">
        <v>2678</v>
      </c>
      <c r="Z1932" t="s">
        <v>3359</v>
      </c>
      <c r="AA1932" t="s">
        <v>3406</v>
      </c>
      <c r="AB1932" t="s">
        <v>3415</v>
      </c>
      <c r="AC1932">
        <f>HYPERLINK("https://lsnyc.legalserver.org/matter/dynamic-profile/view/0815289","16-0815289")</f>
        <v>0</v>
      </c>
      <c r="AD1932" t="s">
        <v>3444</v>
      </c>
      <c r="AE1932" t="s">
        <v>3451</v>
      </c>
      <c r="AF1932" t="s">
        <v>4874</v>
      </c>
      <c r="AG1932" t="s">
        <v>3359</v>
      </c>
      <c r="AH1932" t="s">
        <v>4906</v>
      </c>
      <c r="AI1932" t="s">
        <v>4909</v>
      </c>
      <c r="AL1932" t="s">
        <v>2117</v>
      </c>
      <c r="AM1932" t="s">
        <v>3294</v>
      </c>
      <c r="AN1932" t="s">
        <v>3415</v>
      </c>
      <c r="AO1932" t="s">
        <v>3353</v>
      </c>
    </row>
    <row r="1933" spans="1:41">
      <c r="A1933" s="1" t="s">
        <v>1968</v>
      </c>
      <c r="B1933" t="s">
        <v>2000</v>
      </c>
      <c r="C1933" t="s">
        <v>2009</v>
      </c>
      <c r="D1933" t="s">
        <v>2078</v>
      </c>
      <c r="E1933" t="s">
        <v>2112</v>
      </c>
      <c r="F1933" t="s">
        <v>2117</v>
      </c>
      <c r="G1933" t="s">
        <v>2213</v>
      </c>
      <c r="H1933">
        <v>10458</v>
      </c>
      <c r="I1933" t="s">
        <v>2229</v>
      </c>
      <c r="J1933">
        <v>2</v>
      </c>
      <c r="K1933">
        <v>1</v>
      </c>
      <c r="L1933" t="s">
        <v>2260</v>
      </c>
      <c r="M1933" t="s">
        <v>2677</v>
      </c>
      <c r="P1933" t="s">
        <v>2847</v>
      </c>
      <c r="Q1933" t="s">
        <v>2113</v>
      </c>
      <c r="R1933" t="s">
        <v>3259</v>
      </c>
      <c r="S1933" t="s">
        <v>3267</v>
      </c>
      <c r="T1933" t="s">
        <v>3294</v>
      </c>
      <c r="U1933" t="s">
        <v>3048</v>
      </c>
      <c r="X1933" t="s">
        <v>3354</v>
      </c>
      <c r="Y1933" t="s">
        <v>2678</v>
      </c>
      <c r="Z1933" t="s">
        <v>3359</v>
      </c>
      <c r="AA1933" t="s">
        <v>3406</v>
      </c>
      <c r="AB1933" t="s">
        <v>3415</v>
      </c>
      <c r="AC1933">
        <f>HYPERLINK("https://lsnyc.legalserver.org/matter/dynamic-profile/view/0814467","16-0814467")</f>
        <v>0</v>
      </c>
      <c r="AD1933" t="s">
        <v>3444</v>
      </c>
      <c r="AE1933" t="s">
        <v>3451</v>
      </c>
      <c r="AF1933" t="s">
        <v>4301</v>
      </c>
      <c r="AG1933" t="s">
        <v>3359</v>
      </c>
      <c r="AH1933" t="s">
        <v>4906</v>
      </c>
      <c r="AK1933" t="s">
        <v>4911</v>
      </c>
      <c r="AL1933" t="s">
        <v>2117</v>
      </c>
      <c r="AM1933" t="s">
        <v>3294</v>
      </c>
      <c r="AN1933" t="s">
        <v>3415</v>
      </c>
    </row>
    <row r="1934" spans="1:41">
      <c r="A1934" s="1" t="s">
        <v>1969</v>
      </c>
      <c r="B1934" t="s">
        <v>2005</v>
      </c>
      <c r="C1934" t="s">
        <v>1998</v>
      </c>
      <c r="D1934" t="s">
        <v>2057</v>
      </c>
      <c r="E1934" t="s">
        <v>2112</v>
      </c>
      <c r="F1934" t="s">
        <v>2117</v>
      </c>
      <c r="G1934" t="s">
        <v>2213</v>
      </c>
      <c r="H1934">
        <v>10474</v>
      </c>
      <c r="I1934" t="s">
        <v>2229</v>
      </c>
      <c r="J1934">
        <v>3</v>
      </c>
      <c r="K1934">
        <v>2</v>
      </c>
      <c r="L1934" t="s">
        <v>2293</v>
      </c>
      <c r="M1934" t="s">
        <v>2677</v>
      </c>
      <c r="P1934" t="s">
        <v>3236</v>
      </c>
      <c r="Q1934" t="s">
        <v>2113</v>
      </c>
      <c r="R1934" t="s">
        <v>3259</v>
      </c>
      <c r="S1934" t="s">
        <v>3264</v>
      </c>
      <c r="T1934" t="s">
        <v>3294</v>
      </c>
      <c r="U1934" t="s">
        <v>3342</v>
      </c>
      <c r="X1934" t="s">
        <v>3354</v>
      </c>
      <c r="Y1934" t="s">
        <v>2678</v>
      </c>
      <c r="Z1934" t="s">
        <v>3357</v>
      </c>
      <c r="AA1934" t="s">
        <v>3406</v>
      </c>
      <c r="AB1934" t="s">
        <v>3412</v>
      </c>
      <c r="AC1934">
        <f>HYPERLINK("https://lsnyc.legalserver.org/matter/dynamic-profile/view/0813689","16-0813689")</f>
        <v>0</v>
      </c>
      <c r="AD1934" t="s">
        <v>3444</v>
      </c>
      <c r="AE1934" t="s">
        <v>3451</v>
      </c>
      <c r="AF1934" t="s">
        <v>4881</v>
      </c>
      <c r="AG1934" t="s">
        <v>3357</v>
      </c>
      <c r="AH1934" t="s">
        <v>4904</v>
      </c>
      <c r="AK1934" t="s">
        <v>4911</v>
      </c>
      <c r="AL1934" t="s">
        <v>2117</v>
      </c>
      <c r="AM1934" t="s">
        <v>3294</v>
      </c>
      <c r="AN1934" t="s">
        <v>3412</v>
      </c>
    </row>
    <row r="1935" spans="1:41">
      <c r="A1935" s="1" t="s">
        <v>1970</v>
      </c>
      <c r="B1935" t="s">
        <v>2012</v>
      </c>
      <c r="C1935" t="s">
        <v>2000</v>
      </c>
      <c r="D1935" t="s">
        <v>2094</v>
      </c>
      <c r="E1935" t="s">
        <v>2112</v>
      </c>
      <c r="F1935" t="s">
        <v>2116</v>
      </c>
      <c r="G1935" t="s">
        <v>2216</v>
      </c>
      <c r="H1935">
        <v>10302</v>
      </c>
      <c r="I1935" t="s">
        <v>2229</v>
      </c>
      <c r="J1935">
        <v>2</v>
      </c>
      <c r="K1935">
        <v>1</v>
      </c>
      <c r="L1935" t="s">
        <v>2260</v>
      </c>
      <c r="M1935" t="s">
        <v>2677</v>
      </c>
      <c r="P1935" t="s">
        <v>3237</v>
      </c>
      <c r="Q1935" t="s">
        <v>2113</v>
      </c>
      <c r="R1935" t="s">
        <v>3259</v>
      </c>
      <c r="S1935" t="s">
        <v>3264</v>
      </c>
      <c r="T1935" t="s">
        <v>3294</v>
      </c>
      <c r="U1935" t="s">
        <v>3343</v>
      </c>
      <c r="X1935" t="s">
        <v>3354</v>
      </c>
      <c r="Y1935" t="s">
        <v>2678</v>
      </c>
      <c r="Z1935" t="s">
        <v>3357</v>
      </c>
      <c r="AA1935" t="s">
        <v>3406</v>
      </c>
      <c r="AB1935" t="s">
        <v>3412</v>
      </c>
      <c r="AC1935">
        <f>HYPERLINK("https://lsnyc.legalserver.org/matter/dynamic-profile/view/0811496","16-0811496")</f>
        <v>0</v>
      </c>
      <c r="AD1935" t="s">
        <v>3447</v>
      </c>
      <c r="AE1935" t="s">
        <v>3462</v>
      </c>
      <c r="AF1935" t="s">
        <v>4882</v>
      </c>
      <c r="AG1935" t="s">
        <v>3357</v>
      </c>
      <c r="AH1935" t="s">
        <v>4904</v>
      </c>
      <c r="AK1935" t="s">
        <v>4911</v>
      </c>
      <c r="AL1935" t="s">
        <v>2116</v>
      </c>
      <c r="AM1935" t="s">
        <v>3294</v>
      </c>
      <c r="AN1935" t="s">
        <v>3412</v>
      </c>
    </row>
    <row r="1936" spans="1:41">
      <c r="A1936" s="1" t="s">
        <v>1971</v>
      </c>
      <c r="B1936" t="s">
        <v>1998</v>
      </c>
      <c r="C1936" t="s">
        <v>2007</v>
      </c>
      <c r="D1936" t="s">
        <v>2081</v>
      </c>
      <c r="E1936" t="s">
        <v>2111</v>
      </c>
      <c r="F1936" t="s">
        <v>2129</v>
      </c>
      <c r="G1936" t="s">
        <v>2214</v>
      </c>
      <c r="H1936">
        <v>11229</v>
      </c>
      <c r="I1936" t="s">
        <v>2232</v>
      </c>
      <c r="J1936">
        <v>1</v>
      </c>
      <c r="K1936">
        <v>0</v>
      </c>
      <c r="L1936" t="s">
        <v>2387</v>
      </c>
      <c r="M1936" t="s">
        <v>2677</v>
      </c>
      <c r="P1936" t="s">
        <v>3238</v>
      </c>
      <c r="Q1936" t="s">
        <v>3255</v>
      </c>
      <c r="R1936" t="s">
        <v>3259</v>
      </c>
      <c r="S1936" t="s">
        <v>3268</v>
      </c>
      <c r="T1936" t="s">
        <v>3294</v>
      </c>
      <c r="U1936" t="s">
        <v>3238</v>
      </c>
      <c r="X1936" t="s">
        <v>3354</v>
      </c>
      <c r="Y1936" t="s">
        <v>2678</v>
      </c>
      <c r="Z1936" t="s">
        <v>3368</v>
      </c>
      <c r="AA1936" t="s">
        <v>3406</v>
      </c>
      <c r="AB1936" t="s">
        <v>3416</v>
      </c>
      <c r="AC1936">
        <f>HYPERLINK("https://lsnyc.legalserver.org/matter/dynamic-profile/view/0812450","16-0812450")</f>
        <v>0</v>
      </c>
      <c r="AD1936" t="s">
        <v>3447</v>
      </c>
      <c r="AE1936" t="s">
        <v>3459</v>
      </c>
      <c r="AF1936" t="s">
        <v>4883</v>
      </c>
      <c r="AG1936" t="s">
        <v>3368</v>
      </c>
      <c r="AH1936" t="s">
        <v>4904</v>
      </c>
      <c r="AK1936" t="s">
        <v>4911</v>
      </c>
      <c r="AL1936" t="s">
        <v>2129</v>
      </c>
      <c r="AM1936" t="s">
        <v>3294</v>
      </c>
      <c r="AN1936" t="s">
        <v>3416</v>
      </c>
    </row>
    <row r="1937" spans="1:41">
      <c r="A1937" s="1" t="s">
        <v>1972</v>
      </c>
      <c r="B1937" t="s">
        <v>1998</v>
      </c>
      <c r="C1937" t="s">
        <v>2001</v>
      </c>
      <c r="D1937" t="s">
        <v>2045</v>
      </c>
      <c r="E1937" t="s">
        <v>2112</v>
      </c>
      <c r="F1937" t="s">
        <v>2117</v>
      </c>
      <c r="G1937" t="s">
        <v>2216</v>
      </c>
      <c r="H1937">
        <v>10305</v>
      </c>
      <c r="I1937" t="s">
        <v>2229</v>
      </c>
      <c r="J1937">
        <v>10</v>
      </c>
      <c r="K1937">
        <v>5</v>
      </c>
      <c r="L1937" t="s">
        <v>2260</v>
      </c>
      <c r="M1937" t="s">
        <v>2677</v>
      </c>
      <c r="P1937" t="s">
        <v>3239</v>
      </c>
      <c r="Q1937" t="s">
        <v>3255</v>
      </c>
      <c r="R1937" t="s">
        <v>3259</v>
      </c>
      <c r="S1937" t="s">
        <v>3267</v>
      </c>
      <c r="T1937" t="s">
        <v>3294</v>
      </c>
      <c r="U1937" t="s">
        <v>3227</v>
      </c>
      <c r="X1937" t="s">
        <v>3354</v>
      </c>
      <c r="Y1937" t="s">
        <v>2678</v>
      </c>
      <c r="Z1937" t="s">
        <v>3380</v>
      </c>
      <c r="AA1937" t="s">
        <v>3406</v>
      </c>
      <c r="AB1937" t="s">
        <v>3415</v>
      </c>
      <c r="AC1937">
        <f>HYPERLINK("https://lsnyc.legalserver.org/matter/dynamic-profile/view/0810288","16-0810288")</f>
        <v>0</v>
      </c>
      <c r="AD1937" t="s">
        <v>3447</v>
      </c>
      <c r="AE1937" t="s">
        <v>3463</v>
      </c>
      <c r="AF1937" t="s">
        <v>4884</v>
      </c>
      <c r="AG1937" t="s">
        <v>3380</v>
      </c>
      <c r="AH1937" t="s">
        <v>4906</v>
      </c>
      <c r="AK1937" t="s">
        <v>4911</v>
      </c>
      <c r="AL1937" t="s">
        <v>2117</v>
      </c>
      <c r="AM1937" t="s">
        <v>3294</v>
      </c>
      <c r="AN1937" t="s">
        <v>3415</v>
      </c>
    </row>
    <row r="1938" spans="1:41">
      <c r="A1938" s="1" t="s">
        <v>1973</v>
      </c>
      <c r="B1938" t="s">
        <v>2000</v>
      </c>
      <c r="C1938" t="s">
        <v>2016</v>
      </c>
      <c r="D1938" t="s">
        <v>2055</v>
      </c>
      <c r="E1938" t="s">
        <v>2112</v>
      </c>
      <c r="F1938" t="s">
        <v>2138</v>
      </c>
      <c r="G1938" t="s">
        <v>2212</v>
      </c>
      <c r="H1938">
        <v>11355</v>
      </c>
      <c r="I1938" t="s">
        <v>2238</v>
      </c>
      <c r="J1938">
        <v>2</v>
      </c>
      <c r="K1938">
        <v>1</v>
      </c>
      <c r="L1938" t="s">
        <v>2260</v>
      </c>
      <c r="M1938" t="s">
        <v>2677</v>
      </c>
      <c r="P1938" t="s">
        <v>2804</v>
      </c>
      <c r="Q1938" t="s">
        <v>2113</v>
      </c>
      <c r="R1938" t="s">
        <v>3259</v>
      </c>
      <c r="S1938" t="s">
        <v>3287</v>
      </c>
      <c r="X1938" t="s">
        <v>3354</v>
      </c>
      <c r="Y1938" t="s">
        <v>2677</v>
      </c>
      <c r="Z1938" t="s">
        <v>3378</v>
      </c>
      <c r="AA1938" t="s">
        <v>3406</v>
      </c>
      <c r="AB1938" t="s">
        <v>3435</v>
      </c>
      <c r="AC1938">
        <f>HYPERLINK("https://lsnyc.legalserver.org/matter/dynamic-profile/view/0809706","16-0809706")</f>
        <v>0</v>
      </c>
      <c r="AD1938" t="s">
        <v>3443</v>
      </c>
      <c r="AE1938" t="s">
        <v>3490</v>
      </c>
      <c r="AF1938" t="s">
        <v>4885</v>
      </c>
      <c r="AG1938" t="s">
        <v>3378</v>
      </c>
      <c r="AH1938" t="s">
        <v>4904</v>
      </c>
      <c r="AI1938" t="s">
        <v>4909</v>
      </c>
      <c r="AL1938" t="s">
        <v>2138</v>
      </c>
      <c r="AN1938" t="s">
        <v>3435</v>
      </c>
    </row>
    <row r="1939" spans="1:41">
      <c r="A1939" s="1" t="s">
        <v>1974</v>
      </c>
      <c r="B1939" t="s">
        <v>2005</v>
      </c>
      <c r="C1939" t="s">
        <v>2009</v>
      </c>
      <c r="D1939" t="s">
        <v>2068</v>
      </c>
      <c r="E1939" t="s">
        <v>2112</v>
      </c>
      <c r="F1939" t="s">
        <v>2116</v>
      </c>
      <c r="G1939" t="s">
        <v>2213</v>
      </c>
      <c r="H1939">
        <v>10458</v>
      </c>
      <c r="I1939" t="s">
        <v>2229</v>
      </c>
      <c r="J1939">
        <v>2</v>
      </c>
      <c r="K1939">
        <v>1</v>
      </c>
      <c r="L1939" t="s">
        <v>2260</v>
      </c>
      <c r="M1939" t="s">
        <v>2677</v>
      </c>
      <c r="P1939" t="s">
        <v>3240</v>
      </c>
      <c r="Q1939" t="s">
        <v>2113</v>
      </c>
      <c r="R1939" t="s">
        <v>3259</v>
      </c>
      <c r="S1939" t="s">
        <v>3264</v>
      </c>
      <c r="T1939" t="s">
        <v>3294</v>
      </c>
      <c r="U1939" t="s">
        <v>3061</v>
      </c>
      <c r="X1939" t="s">
        <v>3354</v>
      </c>
      <c r="Y1939" t="s">
        <v>2678</v>
      </c>
      <c r="Z1939" t="s">
        <v>3357</v>
      </c>
      <c r="AA1939" t="s">
        <v>3406</v>
      </c>
      <c r="AB1939" t="s">
        <v>3412</v>
      </c>
      <c r="AC1939">
        <f>HYPERLINK("https://lsnyc.legalserver.org/matter/dynamic-profile/view/0808634","16-0808634")</f>
        <v>0</v>
      </c>
      <c r="AD1939" t="s">
        <v>3444</v>
      </c>
      <c r="AE1939" t="s">
        <v>3451</v>
      </c>
      <c r="AF1939" t="s">
        <v>4886</v>
      </c>
      <c r="AG1939" t="s">
        <v>3357</v>
      </c>
      <c r="AH1939" t="s">
        <v>4904</v>
      </c>
      <c r="AK1939" t="s">
        <v>4911</v>
      </c>
      <c r="AL1939" t="s">
        <v>2116</v>
      </c>
      <c r="AM1939" t="s">
        <v>3294</v>
      </c>
      <c r="AN1939" t="s">
        <v>3412</v>
      </c>
    </row>
    <row r="1940" spans="1:41">
      <c r="A1940" s="1" t="s">
        <v>1975</v>
      </c>
      <c r="B1940" t="s">
        <v>2002</v>
      </c>
      <c r="C1940" t="s">
        <v>2001</v>
      </c>
      <c r="D1940" t="s">
        <v>2029</v>
      </c>
      <c r="E1940" t="s">
        <v>2111</v>
      </c>
      <c r="F1940" t="s">
        <v>2131</v>
      </c>
      <c r="G1940" t="s">
        <v>2212</v>
      </c>
      <c r="H1940">
        <v>11373</v>
      </c>
      <c r="I1940" t="s">
        <v>2229</v>
      </c>
      <c r="J1940">
        <v>1</v>
      </c>
      <c r="K1940">
        <v>0</v>
      </c>
      <c r="L1940" t="s">
        <v>2258</v>
      </c>
      <c r="M1940" t="s">
        <v>2677</v>
      </c>
      <c r="P1940" t="s">
        <v>2856</v>
      </c>
      <c r="Q1940" t="s">
        <v>2113</v>
      </c>
      <c r="R1940" t="s">
        <v>3259</v>
      </c>
      <c r="S1940" t="s">
        <v>3268</v>
      </c>
      <c r="X1940" t="s">
        <v>3354</v>
      </c>
      <c r="Y1940" t="s">
        <v>2678</v>
      </c>
      <c r="Z1940" t="s">
        <v>3368</v>
      </c>
      <c r="AA1940" t="s">
        <v>3406</v>
      </c>
      <c r="AB1940" t="s">
        <v>3416</v>
      </c>
      <c r="AC1940">
        <f>HYPERLINK("https://lsnyc.legalserver.org/matter/dynamic-profile/view/0806971","16-0806971")</f>
        <v>0</v>
      </c>
      <c r="AD1940" t="s">
        <v>3443</v>
      </c>
      <c r="AE1940" t="s">
        <v>3471</v>
      </c>
      <c r="AF1940" t="s">
        <v>4099</v>
      </c>
      <c r="AG1940" t="s">
        <v>3368</v>
      </c>
      <c r="AH1940" t="s">
        <v>4904</v>
      </c>
      <c r="AK1940" t="s">
        <v>4911</v>
      </c>
      <c r="AL1940" t="s">
        <v>2131</v>
      </c>
      <c r="AN1940" t="s">
        <v>3416</v>
      </c>
    </row>
    <row r="1941" spans="1:41">
      <c r="A1941" s="1" t="s">
        <v>1976</v>
      </c>
      <c r="B1941" t="s">
        <v>2005</v>
      </c>
      <c r="C1941" t="s">
        <v>2001</v>
      </c>
      <c r="D1941" t="s">
        <v>2078</v>
      </c>
      <c r="E1941" t="s">
        <v>2112</v>
      </c>
      <c r="F1941" t="s">
        <v>2117</v>
      </c>
      <c r="G1941" t="s">
        <v>2212</v>
      </c>
      <c r="H1941">
        <v>11433</v>
      </c>
      <c r="I1941" t="s">
        <v>2229</v>
      </c>
      <c r="J1941">
        <v>4</v>
      </c>
      <c r="K1941">
        <v>2</v>
      </c>
      <c r="L1941" t="s">
        <v>2260</v>
      </c>
      <c r="M1941" t="s">
        <v>2677</v>
      </c>
      <c r="P1941" t="s">
        <v>2794</v>
      </c>
      <c r="Q1941" t="s">
        <v>3255</v>
      </c>
      <c r="R1941" t="s">
        <v>3259</v>
      </c>
      <c r="S1941" t="s">
        <v>3267</v>
      </c>
      <c r="X1941" t="s">
        <v>3354</v>
      </c>
      <c r="Y1941" t="s">
        <v>2678</v>
      </c>
      <c r="Z1941" t="s">
        <v>3380</v>
      </c>
      <c r="AA1941" t="s">
        <v>3406</v>
      </c>
      <c r="AB1941" t="s">
        <v>3415</v>
      </c>
      <c r="AC1941">
        <f>HYPERLINK("https://lsnyc.legalserver.org/matter/dynamic-profile/view/0797867","16-0797867")</f>
        <v>0</v>
      </c>
      <c r="AD1941" t="s">
        <v>3443</v>
      </c>
      <c r="AE1941" t="s">
        <v>3449</v>
      </c>
      <c r="AF1941" t="s">
        <v>4785</v>
      </c>
      <c r="AG1941" t="s">
        <v>3380</v>
      </c>
      <c r="AH1941" t="s">
        <v>4906</v>
      </c>
      <c r="AL1941" t="s">
        <v>2117</v>
      </c>
      <c r="AN1941" t="s">
        <v>3415</v>
      </c>
    </row>
    <row r="1942" spans="1:41">
      <c r="A1942" s="1" t="s">
        <v>1977</v>
      </c>
      <c r="B1942" t="s">
        <v>1998</v>
      </c>
      <c r="C1942" t="s">
        <v>2000</v>
      </c>
      <c r="D1942" t="s">
        <v>2079</v>
      </c>
      <c r="E1942" t="s">
        <v>2111</v>
      </c>
      <c r="F1942" t="s">
        <v>2173</v>
      </c>
      <c r="G1942" t="s">
        <v>2212</v>
      </c>
      <c r="H1942">
        <v>11434</v>
      </c>
      <c r="I1942" t="s">
        <v>2246</v>
      </c>
      <c r="J1942">
        <v>1</v>
      </c>
      <c r="K1942">
        <v>0</v>
      </c>
      <c r="L1942" t="s">
        <v>2331</v>
      </c>
      <c r="M1942" t="s">
        <v>2677</v>
      </c>
      <c r="P1942" t="s">
        <v>3241</v>
      </c>
      <c r="Q1942" t="s">
        <v>2113</v>
      </c>
      <c r="R1942" t="s">
        <v>3259</v>
      </c>
      <c r="S1942" t="s">
        <v>3267</v>
      </c>
      <c r="X1942" t="s">
        <v>3354</v>
      </c>
      <c r="Y1942" t="s">
        <v>2677</v>
      </c>
      <c r="Z1942" t="s">
        <v>3380</v>
      </c>
      <c r="AA1942" t="s">
        <v>3406</v>
      </c>
      <c r="AB1942" t="s">
        <v>3415</v>
      </c>
      <c r="AC1942">
        <f>HYPERLINK("https://lsnyc.legalserver.org/matter/dynamic-profile/view/0793862","15-0793862")</f>
        <v>0</v>
      </c>
      <c r="AD1942" t="s">
        <v>3445</v>
      </c>
      <c r="AE1942" t="s">
        <v>3455</v>
      </c>
      <c r="AF1942" t="s">
        <v>4887</v>
      </c>
      <c r="AG1942" t="s">
        <v>3380</v>
      </c>
      <c r="AH1942" t="s">
        <v>4906</v>
      </c>
      <c r="AL1942" t="s">
        <v>2173</v>
      </c>
      <c r="AN1942" t="s">
        <v>3415</v>
      </c>
    </row>
    <row r="1943" spans="1:41">
      <c r="A1943" s="1" t="s">
        <v>1978</v>
      </c>
      <c r="B1943" t="s">
        <v>2002</v>
      </c>
      <c r="C1943" t="s">
        <v>1998</v>
      </c>
      <c r="D1943" t="s">
        <v>2086</v>
      </c>
      <c r="E1943" t="s">
        <v>2112</v>
      </c>
      <c r="F1943" t="s">
        <v>2125</v>
      </c>
      <c r="G1943" t="s">
        <v>2216</v>
      </c>
      <c r="H1943">
        <v>10304</v>
      </c>
      <c r="I1943" t="s">
        <v>2230</v>
      </c>
      <c r="J1943">
        <v>3</v>
      </c>
      <c r="K1943">
        <v>1</v>
      </c>
      <c r="L1943" t="s">
        <v>2427</v>
      </c>
      <c r="M1943" t="s">
        <v>2677</v>
      </c>
      <c r="P1943" t="s">
        <v>3242</v>
      </c>
      <c r="Q1943" t="s">
        <v>2113</v>
      </c>
      <c r="R1943" t="s">
        <v>3258</v>
      </c>
      <c r="S1943" t="s">
        <v>3273</v>
      </c>
      <c r="T1943" t="s">
        <v>3294</v>
      </c>
      <c r="U1943" t="s">
        <v>3242</v>
      </c>
      <c r="X1943" t="s">
        <v>3354</v>
      </c>
      <c r="Y1943" t="s">
        <v>2678</v>
      </c>
      <c r="Z1943" t="s">
        <v>3370</v>
      </c>
      <c r="AA1943" t="s">
        <v>3406</v>
      </c>
      <c r="AB1943" t="s">
        <v>3421</v>
      </c>
      <c r="AC1943">
        <f>HYPERLINK("https://lsnyc.legalserver.org/matter/dynamic-profile/view/0790424","15-0790424")</f>
        <v>0</v>
      </c>
      <c r="AD1943" t="s">
        <v>3447</v>
      </c>
      <c r="AE1943" t="s">
        <v>3462</v>
      </c>
      <c r="AF1943" t="s">
        <v>4888</v>
      </c>
      <c r="AG1943" t="s">
        <v>3370</v>
      </c>
      <c r="AH1943" t="s">
        <v>4904</v>
      </c>
      <c r="AK1943" t="s">
        <v>4911</v>
      </c>
      <c r="AL1943" t="s">
        <v>2125</v>
      </c>
      <c r="AM1943" t="s">
        <v>3294</v>
      </c>
      <c r="AN1943" t="s">
        <v>3421</v>
      </c>
    </row>
    <row r="1944" spans="1:41">
      <c r="A1944" s="1" t="s">
        <v>1979</v>
      </c>
      <c r="B1944" t="s">
        <v>1998</v>
      </c>
      <c r="C1944" t="s">
        <v>1998</v>
      </c>
      <c r="D1944" t="s">
        <v>2032</v>
      </c>
      <c r="E1944" t="s">
        <v>2112</v>
      </c>
      <c r="F1944" t="s">
        <v>2181</v>
      </c>
      <c r="G1944" t="s">
        <v>2212</v>
      </c>
      <c r="H1944">
        <v>11433</v>
      </c>
      <c r="I1944" t="s">
        <v>2230</v>
      </c>
      <c r="J1944">
        <v>3</v>
      </c>
      <c r="K1944">
        <v>0</v>
      </c>
      <c r="L1944" t="s">
        <v>2671</v>
      </c>
      <c r="M1944" t="s">
        <v>2677</v>
      </c>
      <c r="P1944" t="s">
        <v>3243</v>
      </c>
      <c r="Q1944" t="s">
        <v>3255</v>
      </c>
      <c r="R1944" t="s">
        <v>3259</v>
      </c>
      <c r="S1944" t="s">
        <v>3264</v>
      </c>
      <c r="X1944" t="s">
        <v>3354</v>
      </c>
      <c r="Y1944" t="s">
        <v>2678</v>
      </c>
      <c r="Z1944" t="s">
        <v>3357</v>
      </c>
      <c r="AA1944" t="s">
        <v>3406</v>
      </c>
      <c r="AB1944" t="s">
        <v>3412</v>
      </c>
      <c r="AC1944">
        <f>HYPERLINK("https://lsnyc.legalserver.org/matter/dynamic-profile/view/0785039","15-0785039")</f>
        <v>0</v>
      </c>
      <c r="AD1944" t="s">
        <v>3442</v>
      </c>
      <c r="AE1944" t="s">
        <v>3448</v>
      </c>
      <c r="AF1944" t="s">
        <v>4889</v>
      </c>
      <c r="AG1944" t="s">
        <v>3357</v>
      </c>
      <c r="AH1944" t="s">
        <v>4904</v>
      </c>
      <c r="AK1944" t="s">
        <v>4911</v>
      </c>
      <c r="AL1944" t="s">
        <v>2181</v>
      </c>
      <c r="AN1944" t="s">
        <v>3412</v>
      </c>
    </row>
    <row r="1945" spans="1:41">
      <c r="A1945" s="1" t="s">
        <v>1980</v>
      </c>
      <c r="B1945" t="s">
        <v>2012</v>
      </c>
      <c r="C1945" t="s">
        <v>2001</v>
      </c>
      <c r="D1945" t="s">
        <v>2076</v>
      </c>
      <c r="E1945" t="s">
        <v>2111</v>
      </c>
      <c r="F1945" t="s">
        <v>2116</v>
      </c>
      <c r="G1945" t="s">
        <v>2211</v>
      </c>
      <c r="H1945">
        <v>10040</v>
      </c>
      <c r="I1945" t="s">
        <v>2229</v>
      </c>
      <c r="J1945">
        <v>1</v>
      </c>
      <c r="K1945">
        <v>0</v>
      </c>
      <c r="L1945" t="s">
        <v>2285</v>
      </c>
      <c r="M1945" t="s">
        <v>2677</v>
      </c>
      <c r="P1945" t="s">
        <v>3243</v>
      </c>
      <c r="Q1945" t="s">
        <v>3255</v>
      </c>
      <c r="R1945" t="s">
        <v>3259</v>
      </c>
      <c r="S1945" t="s">
        <v>3264</v>
      </c>
      <c r="X1945" t="s">
        <v>3354</v>
      </c>
      <c r="Y1945" t="s">
        <v>2678</v>
      </c>
      <c r="Z1945" t="s">
        <v>3357</v>
      </c>
      <c r="AA1945" t="s">
        <v>3406</v>
      </c>
      <c r="AB1945" t="s">
        <v>3412</v>
      </c>
      <c r="AC1945">
        <f>HYPERLINK("https://lsnyc.legalserver.org/matter/dynamic-profile/view/0787488","15-0787488")</f>
        <v>0</v>
      </c>
      <c r="AD1945" t="s">
        <v>3442</v>
      </c>
      <c r="AE1945" t="s">
        <v>3448</v>
      </c>
      <c r="AF1945" t="s">
        <v>4890</v>
      </c>
      <c r="AG1945" t="s">
        <v>3357</v>
      </c>
      <c r="AH1945" t="s">
        <v>4906</v>
      </c>
      <c r="AK1945" t="s">
        <v>4911</v>
      </c>
      <c r="AL1945" t="s">
        <v>2116</v>
      </c>
      <c r="AN1945" t="s">
        <v>3412</v>
      </c>
    </row>
    <row r="1946" spans="1:41">
      <c r="A1946" s="1" t="s">
        <v>1981</v>
      </c>
      <c r="B1946" t="s">
        <v>2002</v>
      </c>
      <c r="C1946" t="s">
        <v>1998</v>
      </c>
      <c r="D1946" t="s">
        <v>2029</v>
      </c>
      <c r="E1946" t="s">
        <v>2112</v>
      </c>
      <c r="F1946" t="s">
        <v>2210</v>
      </c>
      <c r="G1946" t="s">
        <v>2211</v>
      </c>
      <c r="H1946">
        <v>10044</v>
      </c>
      <c r="I1946" t="s">
        <v>2230</v>
      </c>
      <c r="J1946">
        <v>1</v>
      </c>
      <c r="K1946">
        <v>0</v>
      </c>
      <c r="L1946" t="s">
        <v>2260</v>
      </c>
      <c r="M1946" t="s">
        <v>2677</v>
      </c>
      <c r="P1946" t="s">
        <v>2727</v>
      </c>
      <c r="Q1946" t="s">
        <v>3255</v>
      </c>
      <c r="R1946" t="s">
        <v>3258</v>
      </c>
      <c r="S1946" t="s">
        <v>3269</v>
      </c>
      <c r="V1946" t="s">
        <v>3352</v>
      </c>
      <c r="X1946" t="s">
        <v>3354</v>
      </c>
      <c r="Y1946" t="s">
        <v>2678</v>
      </c>
      <c r="Z1946" t="s">
        <v>3361</v>
      </c>
      <c r="AA1946" t="s">
        <v>3406</v>
      </c>
      <c r="AB1946" t="s">
        <v>3417</v>
      </c>
      <c r="AC1946">
        <f>HYPERLINK("https://lsnyc.legalserver.org/matter/dynamic-profile/view/0781442","15-0781442")</f>
        <v>0</v>
      </c>
      <c r="AD1946" t="s">
        <v>3442</v>
      </c>
      <c r="AE1946" t="s">
        <v>3448</v>
      </c>
      <c r="AF1946" t="s">
        <v>4891</v>
      </c>
      <c r="AG1946" t="s">
        <v>3361</v>
      </c>
      <c r="AH1946" t="s">
        <v>4904</v>
      </c>
      <c r="AI1946" t="s">
        <v>4909</v>
      </c>
      <c r="AL1946" t="s">
        <v>2210</v>
      </c>
      <c r="AN1946" t="s">
        <v>3417</v>
      </c>
      <c r="AO1946" t="s">
        <v>3352</v>
      </c>
    </row>
    <row r="1947" spans="1:41">
      <c r="A1947" s="1" t="s">
        <v>1982</v>
      </c>
      <c r="B1947" t="s">
        <v>2000</v>
      </c>
      <c r="C1947" t="s">
        <v>2001</v>
      </c>
      <c r="D1947" t="s">
        <v>2048</v>
      </c>
      <c r="E1947" t="s">
        <v>2112</v>
      </c>
      <c r="F1947" t="s">
        <v>2116</v>
      </c>
      <c r="G1947" t="s">
        <v>2213</v>
      </c>
      <c r="H1947">
        <v>10458</v>
      </c>
      <c r="I1947" t="s">
        <v>2229</v>
      </c>
      <c r="J1947">
        <v>3</v>
      </c>
      <c r="K1947">
        <v>2</v>
      </c>
      <c r="L1947" t="s">
        <v>2672</v>
      </c>
      <c r="M1947" t="s">
        <v>2677</v>
      </c>
      <c r="P1947" t="s">
        <v>2744</v>
      </c>
      <c r="Q1947" t="s">
        <v>2113</v>
      </c>
      <c r="R1947" t="s">
        <v>3259</v>
      </c>
      <c r="S1947" t="s">
        <v>3267</v>
      </c>
      <c r="T1947" t="s">
        <v>3294</v>
      </c>
      <c r="U1947" t="s">
        <v>3344</v>
      </c>
      <c r="X1947" t="s">
        <v>3354</v>
      </c>
      <c r="Y1947" t="s">
        <v>2678</v>
      </c>
      <c r="Z1947" t="s">
        <v>3367</v>
      </c>
      <c r="AA1947" t="s">
        <v>3406</v>
      </c>
      <c r="AB1947" t="s">
        <v>3415</v>
      </c>
      <c r="AC1947">
        <f>HYPERLINK("https://lsnyc.legalserver.org/matter/dynamic-profile/view/0781443","15-0781443")</f>
        <v>0</v>
      </c>
      <c r="AD1947" t="s">
        <v>3444</v>
      </c>
      <c r="AE1947" t="s">
        <v>3451</v>
      </c>
      <c r="AF1947" t="s">
        <v>4892</v>
      </c>
      <c r="AG1947" t="s">
        <v>3367</v>
      </c>
      <c r="AH1947" t="s">
        <v>4906</v>
      </c>
      <c r="AI1947" t="s">
        <v>4909</v>
      </c>
      <c r="AL1947" t="s">
        <v>2116</v>
      </c>
      <c r="AM1947" t="s">
        <v>3294</v>
      </c>
      <c r="AN1947" t="s">
        <v>3415</v>
      </c>
    </row>
    <row r="1948" spans="1:41">
      <c r="A1948" s="1" t="s">
        <v>1983</v>
      </c>
      <c r="B1948" t="s">
        <v>2016</v>
      </c>
      <c r="C1948" t="s">
        <v>2009</v>
      </c>
      <c r="D1948" t="s">
        <v>2093</v>
      </c>
      <c r="E1948" t="s">
        <v>2111</v>
      </c>
      <c r="F1948" t="s">
        <v>2116</v>
      </c>
      <c r="G1948" t="s">
        <v>2216</v>
      </c>
      <c r="H1948">
        <v>10301</v>
      </c>
      <c r="I1948" t="s">
        <v>2229</v>
      </c>
      <c r="J1948">
        <v>7</v>
      </c>
      <c r="K1948">
        <v>4</v>
      </c>
      <c r="L1948" t="s">
        <v>2456</v>
      </c>
      <c r="M1948" t="s">
        <v>2677</v>
      </c>
      <c r="P1948" t="s">
        <v>3244</v>
      </c>
      <c r="Q1948" t="s">
        <v>2113</v>
      </c>
      <c r="R1948" t="s">
        <v>3259</v>
      </c>
      <c r="S1948" t="s">
        <v>3264</v>
      </c>
      <c r="T1948" t="s">
        <v>3294</v>
      </c>
      <c r="U1948" t="s">
        <v>3345</v>
      </c>
      <c r="X1948" t="s">
        <v>3354</v>
      </c>
      <c r="Y1948" t="s">
        <v>2678</v>
      </c>
      <c r="Z1948" t="s">
        <v>3357</v>
      </c>
      <c r="AA1948" t="s">
        <v>3406</v>
      </c>
      <c r="AB1948" t="s">
        <v>3412</v>
      </c>
      <c r="AC1948">
        <f>HYPERLINK("https://lsnyc.legalserver.org/matter/dynamic-profile/view/0780000","15-0780000")</f>
        <v>0</v>
      </c>
      <c r="AD1948" t="s">
        <v>3447</v>
      </c>
      <c r="AE1948" t="s">
        <v>3462</v>
      </c>
      <c r="AF1948" t="s">
        <v>4893</v>
      </c>
      <c r="AG1948" t="s">
        <v>3357</v>
      </c>
      <c r="AH1948" t="s">
        <v>4904</v>
      </c>
      <c r="AK1948" t="s">
        <v>4911</v>
      </c>
      <c r="AL1948" t="s">
        <v>2116</v>
      </c>
      <c r="AM1948" t="s">
        <v>3294</v>
      </c>
      <c r="AN1948" t="s">
        <v>3412</v>
      </c>
    </row>
    <row r="1949" spans="1:41">
      <c r="A1949" s="1" t="s">
        <v>1984</v>
      </c>
      <c r="B1949" t="s">
        <v>2000</v>
      </c>
      <c r="C1949" t="s">
        <v>2001</v>
      </c>
      <c r="D1949" t="s">
        <v>2029</v>
      </c>
      <c r="E1949" t="s">
        <v>2111</v>
      </c>
      <c r="F1949" t="s">
        <v>2116</v>
      </c>
      <c r="G1949" t="s">
        <v>2216</v>
      </c>
      <c r="H1949">
        <v>10301</v>
      </c>
      <c r="I1949" t="s">
        <v>2229</v>
      </c>
      <c r="J1949">
        <v>6</v>
      </c>
      <c r="K1949">
        <v>3</v>
      </c>
      <c r="L1949" t="s">
        <v>2300</v>
      </c>
      <c r="M1949" t="s">
        <v>2677</v>
      </c>
      <c r="P1949" t="s">
        <v>3245</v>
      </c>
      <c r="Q1949" t="s">
        <v>2113</v>
      </c>
      <c r="R1949" t="s">
        <v>3259</v>
      </c>
      <c r="S1949" t="s">
        <v>3264</v>
      </c>
      <c r="T1949" t="s">
        <v>3294</v>
      </c>
      <c r="U1949" t="s">
        <v>3346</v>
      </c>
      <c r="X1949" t="s">
        <v>3354</v>
      </c>
      <c r="Y1949" t="s">
        <v>2678</v>
      </c>
      <c r="Z1949" t="s">
        <v>3357</v>
      </c>
      <c r="AA1949" t="s">
        <v>3406</v>
      </c>
      <c r="AB1949" t="s">
        <v>3412</v>
      </c>
      <c r="AC1949">
        <f>HYPERLINK("https://lsnyc.legalserver.org/matter/dynamic-profile/view/0777569","15-0777569")</f>
        <v>0</v>
      </c>
      <c r="AD1949" t="s">
        <v>3447</v>
      </c>
      <c r="AE1949" t="s">
        <v>3462</v>
      </c>
      <c r="AF1949" t="s">
        <v>4894</v>
      </c>
      <c r="AG1949" t="s">
        <v>3357</v>
      </c>
      <c r="AH1949" t="s">
        <v>4904</v>
      </c>
      <c r="AK1949" t="s">
        <v>4911</v>
      </c>
      <c r="AL1949" t="s">
        <v>2116</v>
      </c>
      <c r="AM1949" t="s">
        <v>3294</v>
      </c>
      <c r="AN1949" t="s">
        <v>3412</v>
      </c>
    </row>
    <row r="1950" spans="1:41">
      <c r="A1950" s="1" t="s">
        <v>1985</v>
      </c>
      <c r="B1950" t="s">
        <v>2001</v>
      </c>
      <c r="C1950" t="s">
        <v>2009</v>
      </c>
      <c r="D1950" t="s">
        <v>2099</v>
      </c>
      <c r="E1950" t="s">
        <v>2111</v>
      </c>
      <c r="F1950" t="s">
        <v>2116</v>
      </c>
      <c r="G1950" t="s">
        <v>2216</v>
      </c>
      <c r="H1950">
        <v>10302</v>
      </c>
      <c r="I1950" t="s">
        <v>2229</v>
      </c>
      <c r="J1950">
        <v>2</v>
      </c>
      <c r="K1950">
        <v>0</v>
      </c>
      <c r="L1950" t="s">
        <v>2272</v>
      </c>
      <c r="M1950" t="s">
        <v>2677</v>
      </c>
      <c r="P1950" t="s">
        <v>3246</v>
      </c>
      <c r="Q1950" t="s">
        <v>2113</v>
      </c>
      <c r="R1950" t="s">
        <v>3259</v>
      </c>
      <c r="S1950" t="s">
        <v>3264</v>
      </c>
      <c r="T1950" t="s">
        <v>3294</v>
      </c>
      <c r="U1950" t="s">
        <v>3347</v>
      </c>
      <c r="X1950" t="s">
        <v>3354</v>
      </c>
      <c r="Y1950" t="s">
        <v>2678</v>
      </c>
      <c r="Z1950" t="s">
        <v>3357</v>
      </c>
      <c r="AA1950" t="s">
        <v>3406</v>
      </c>
      <c r="AB1950" t="s">
        <v>3412</v>
      </c>
      <c r="AC1950">
        <f>HYPERLINK("https://lsnyc.legalserver.org/matter/dynamic-profile/view/0775726","15-0775726")</f>
        <v>0</v>
      </c>
      <c r="AD1950" t="s">
        <v>3447</v>
      </c>
      <c r="AE1950" t="s">
        <v>3462</v>
      </c>
      <c r="AF1950" t="s">
        <v>4895</v>
      </c>
      <c r="AG1950" t="s">
        <v>3357</v>
      </c>
      <c r="AH1950" t="s">
        <v>4904</v>
      </c>
      <c r="AK1950" t="s">
        <v>4911</v>
      </c>
      <c r="AL1950" t="s">
        <v>2116</v>
      </c>
      <c r="AM1950" t="s">
        <v>3294</v>
      </c>
      <c r="AN1950" t="s">
        <v>3412</v>
      </c>
    </row>
    <row r="1951" spans="1:41">
      <c r="A1951" s="1" t="s">
        <v>1986</v>
      </c>
      <c r="B1951" t="s">
        <v>2001</v>
      </c>
      <c r="C1951" t="s">
        <v>2001</v>
      </c>
      <c r="D1951" t="s">
        <v>2083</v>
      </c>
      <c r="E1951" t="s">
        <v>2112</v>
      </c>
      <c r="F1951" t="s">
        <v>2116</v>
      </c>
      <c r="G1951" t="s">
        <v>2213</v>
      </c>
      <c r="H1951">
        <v>10454</v>
      </c>
      <c r="I1951" t="s">
        <v>2229</v>
      </c>
      <c r="J1951">
        <v>6</v>
      </c>
      <c r="K1951">
        <v>3</v>
      </c>
      <c r="L1951" t="s">
        <v>2673</v>
      </c>
      <c r="M1951" t="s">
        <v>2677</v>
      </c>
      <c r="P1951" t="s">
        <v>3247</v>
      </c>
      <c r="Q1951" t="s">
        <v>2113</v>
      </c>
      <c r="R1951" t="s">
        <v>3259</v>
      </c>
      <c r="S1951" t="s">
        <v>3264</v>
      </c>
      <c r="T1951" t="s">
        <v>3294</v>
      </c>
      <c r="U1951" t="s">
        <v>3064</v>
      </c>
      <c r="X1951" t="s">
        <v>3354</v>
      </c>
      <c r="Y1951" t="s">
        <v>2677</v>
      </c>
      <c r="Z1951" t="s">
        <v>3357</v>
      </c>
      <c r="AA1951" t="s">
        <v>3406</v>
      </c>
      <c r="AB1951" t="s">
        <v>3412</v>
      </c>
      <c r="AC1951">
        <f>HYPERLINK("https://lsnyc.legalserver.org/matter/dynamic-profile/view/0774991","15-0774991")</f>
        <v>0</v>
      </c>
      <c r="AD1951" t="s">
        <v>3444</v>
      </c>
      <c r="AE1951" t="s">
        <v>3494</v>
      </c>
      <c r="AF1951" t="s">
        <v>4896</v>
      </c>
      <c r="AG1951" t="s">
        <v>3357</v>
      </c>
      <c r="AH1951" t="s">
        <v>4904</v>
      </c>
      <c r="AK1951" t="s">
        <v>4911</v>
      </c>
      <c r="AL1951" t="s">
        <v>2116</v>
      </c>
      <c r="AM1951" t="s">
        <v>3294</v>
      </c>
      <c r="AN1951" t="s">
        <v>3412</v>
      </c>
    </row>
    <row r="1952" spans="1:41">
      <c r="A1952" s="1" t="s">
        <v>1987</v>
      </c>
      <c r="B1952" t="s">
        <v>2001</v>
      </c>
      <c r="C1952" t="s">
        <v>1998</v>
      </c>
      <c r="D1952" t="s">
        <v>2071</v>
      </c>
      <c r="E1952" t="s">
        <v>2112</v>
      </c>
      <c r="F1952" t="s">
        <v>2116</v>
      </c>
      <c r="G1952" t="s">
        <v>2216</v>
      </c>
      <c r="H1952">
        <v>10310</v>
      </c>
      <c r="I1952" t="s">
        <v>2229</v>
      </c>
      <c r="J1952">
        <v>3</v>
      </c>
      <c r="K1952">
        <v>1</v>
      </c>
      <c r="L1952" t="s">
        <v>2674</v>
      </c>
      <c r="M1952" t="s">
        <v>2677</v>
      </c>
      <c r="P1952" t="s">
        <v>3247</v>
      </c>
      <c r="Q1952" t="s">
        <v>2113</v>
      </c>
      <c r="R1952" t="s">
        <v>3259</v>
      </c>
      <c r="S1952" t="s">
        <v>3264</v>
      </c>
      <c r="T1952" t="s">
        <v>3294</v>
      </c>
      <c r="U1952" t="s">
        <v>3229</v>
      </c>
      <c r="X1952" t="s">
        <v>3354</v>
      </c>
      <c r="Y1952" t="s">
        <v>2678</v>
      </c>
      <c r="Z1952" t="s">
        <v>3357</v>
      </c>
      <c r="AA1952" t="s">
        <v>3406</v>
      </c>
      <c r="AB1952" t="s">
        <v>3412</v>
      </c>
      <c r="AC1952">
        <f>HYPERLINK("https://lsnyc.legalserver.org/matter/dynamic-profile/view/0775166","15-0775166")</f>
        <v>0</v>
      </c>
      <c r="AD1952" t="s">
        <v>3447</v>
      </c>
      <c r="AE1952" t="s">
        <v>3462</v>
      </c>
      <c r="AF1952" t="s">
        <v>4569</v>
      </c>
      <c r="AG1952" t="s">
        <v>3357</v>
      </c>
      <c r="AH1952" t="s">
        <v>4904</v>
      </c>
      <c r="AK1952" t="s">
        <v>4911</v>
      </c>
      <c r="AL1952" t="s">
        <v>2116</v>
      </c>
      <c r="AM1952" t="s">
        <v>3294</v>
      </c>
      <c r="AN1952" t="s">
        <v>3412</v>
      </c>
    </row>
    <row r="1953" spans="1:41">
      <c r="A1953" s="1" t="s">
        <v>1988</v>
      </c>
      <c r="B1953" t="s">
        <v>1998</v>
      </c>
      <c r="C1953" t="s">
        <v>1998</v>
      </c>
      <c r="D1953" t="s">
        <v>2084</v>
      </c>
      <c r="E1953" t="s">
        <v>2112</v>
      </c>
      <c r="F1953" t="s">
        <v>2116</v>
      </c>
      <c r="G1953" t="s">
        <v>2216</v>
      </c>
      <c r="H1953">
        <v>10303</v>
      </c>
      <c r="I1953" t="s">
        <v>2229</v>
      </c>
      <c r="J1953">
        <v>6</v>
      </c>
      <c r="K1953">
        <v>4</v>
      </c>
      <c r="L1953" t="s">
        <v>2285</v>
      </c>
      <c r="M1953" t="s">
        <v>2677</v>
      </c>
      <c r="P1953" t="s">
        <v>3248</v>
      </c>
      <c r="Q1953" t="s">
        <v>2113</v>
      </c>
      <c r="R1953" t="s">
        <v>3259</v>
      </c>
      <c r="S1953" t="s">
        <v>3264</v>
      </c>
      <c r="T1953" t="s">
        <v>3294</v>
      </c>
      <c r="U1953" t="s">
        <v>3348</v>
      </c>
      <c r="X1953" t="s">
        <v>3354</v>
      </c>
      <c r="Y1953" t="s">
        <v>2678</v>
      </c>
      <c r="Z1953" t="s">
        <v>3357</v>
      </c>
      <c r="AA1953" t="s">
        <v>3406</v>
      </c>
      <c r="AB1953" t="s">
        <v>3412</v>
      </c>
      <c r="AC1953">
        <f>HYPERLINK("https://lsnyc.legalserver.org/matter/dynamic-profile/view/0771215","15-0771215")</f>
        <v>0</v>
      </c>
      <c r="AD1953" t="s">
        <v>3447</v>
      </c>
      <c r="AE1953" t="s">
        <v>3462</v>
      </c>
      <c r="AF1953" t="s">
        <v>4897</v>
      </c>
      <c r="AG1953" t="s">
        <v>3357</v>
      </c>
      <c r="AH1953" t="s">
        <v>4904</v>
      </c>
      <c r="AK1953" t="s">
        <v>4911</v>
      </c>
      <c r="AL1953" t="s">
        <v>2116</v>
      </c>
      <c r="AM1953" t="s">
        <v>3294</v>
      </c>
      <c r="AN1953" t="s">
        <v>3412</v>
      </c>
    </row>
    <row r="1954" spans="1:41">
      <c r="A1954" s="1" t="s">
        <v>1989</v>
      </c>
      <c r="B1954" t="s">
        <v>2000</v>
      </c>
      <c r="C1954" t="s">
        <v>2016</v>
      </c>
      <c r="D1954" t="s">
        <v>2051</v>
      </c>
      <c r="E1954" t="s">
        <v>2112</v>
      </c>
      <c r="F1954" t="s">
        <v>2162</v>
      </c>
      <c r="G1954" t="s">
        <v>2228</v>
      </c>
      <c r="H1954">
        <v>14215</v>
      </c>
      <c r="I1954" t="s">
        <v>2234</v>
      </c>
      <c r="J1954">
        <v>1</v>
      </c>
      <c r="K1954">
        <v>0</v>
      </c>
      <c r="L1954" t="s">
        <v>2260</v>
      </c>
      <c r="M1954" t="s">
        <v>2677</v>
      </c>
      <c r="P1954" t="s">
        <v>2802</v>
      </c>
      <c r="Q1954" t="s">
        <v>2113</v>
      </c>
      <c r="R1954" t="s">
        <v>3259</v>
      </c>
      <c r="S1954" t="s">
        <v>3267</v>
      </c>
      <c r="V1954" t="s">
        <v>3352</v>
      </c>
      <c r="X1954" t="s">
        <v>3354</v>
      </c>
      <c r="Y1954" t="s">
        <v>2677</v>
      </c>
      <c r="Z1954" t="s">
        <v>3380</v>
      </c>
      <c r="AA1954" t="s">
        <v>3406</v>
      </c>
      <c r="AB1954" t="s">
        <v>3415</v>
      </c>
      <c r="AC1954">
        <f>HYPERLINK("https://lsnyc.legalserver.org/matter/dynamic-profile/view/0771204","15-0771204")</f>
        <v>0</v>
      </c>
      <c r="AD1954" t="s">
        <v>3444</v>
      </c>
      <c r="AE1954" t="s">
        <v>3451</v>
      </c>
      <c r="AF1954" t="s">
        <v>4898</v>
      </c>
      <c r="AG1954" t="s">
        <v>3380</v>
      </c>
      <c r="AH1954" t="s">
        <v>4906</v>
      </c>
      <c r="AI1954" t="s">
        <v>4909</v>
      </c>
      <c r="AL1954" t="s">
        <v>2162</v>
      </c>
      <c r="AN1954" t="s">
        <v>3415</v>
      </c>
      <c r="AO1954" t="s">
        <v>3352</v>
      </c>
    </row>
    <row r="1955" spans="1:41">
      <c r="A1955" s="1" t="s">
        <v>1990</v>
      </c>
      <c r="B1955" t="s">
        <v>2000</v>
      </c>
      <c r="C1955" t="s">
        <v>2016</v>
      </c>
      <c r="D1955" t="s">
        <v>2080</v>
      </c>
      <c r="E1955" t="s">
        <v>2112</v>
      </c>
      <c r="G1955" t="s">
        <v>2213</v>
      </c>
      <c r="H1955">
        <v>10460</v>
      </c>
      <c r="I1955" t="s">
        <v>2229</v>
      </c>
      <c r="J1955">
        <v>1</v>
      </c>
      <c r="K1955">
        <v>0</v>
      </c>
      <c r="L1955" t="s">
        <v>2260</v>
      </c>
      <c r="M1955" t="s">
        <v>2677</v>
      </c>
      <c r="P1955" t="s">
        <v>3249</v>
      </c>
      <c r="Q1955" t="s">
        <v>3255</v>
      </c>
      <c r="R1955" t="s">
        <v>3260</v>
      </c>
      <c r="S1955" t="s">
        <v>3266</v>
      </c>
      <c r="X1955" t="s">
        <v>3354</v>
      </c>
      <c r="Y1955" t="s">
        <v>2678</v>
      </c>
      <c r="Z1955" t="s">
        <v>3404</v>
      </c>
      <c r="AA1955" t="s">
        <v>3406</v>
      </c>
      <c r="AB1955" t="s">
        <v>3414</v>
      </c>
      <c r="AC1955">
        <f>HYPERLINK("https://lsnyc.legalserver.org/matter/dynamic-profile/view/0770088","15-0770088")</f>
        <v>0</v>
      </c>
      <c r="AD1955" t="s">
        <v>3444</v>
      </c>
      <c r="AE1955" t="s">
        <v>3464</v>
      </c>
      <c r="AF1955" t="s">
        <v>3606</v>
      </c>
      <c r="AG1955" t="s">
        <v>3404</v>
      </c>
      <c r="AH1955" t="s">
        <v>4906</v>
      </c>
      <c r="AN1955" t="s">
        <v>3414</v>
      </c>
    </row>
    <row r="1956" spans="1:41">
      <c r="A1956" s="1" t="s">
        <v>1991</v>
      </c>
      <c r="B1956" t="s">
        <v>2012</v>
      </c>
      <c r="C1956" t="s">
        <v>2012</v>
      </c>
      <c r="D1956" t="s">
        <v>2051</v>
      </c>
      <c r="E1956" t="s">
        <v>2112</v>
      </c>
      <c r="F1956" t="s">
        <v>2116</v>
      </c>
      <c r="G1956" t="s">
        <v>2216</v>
      </c>
      <c r="H1956">
        <v>10301</v>
      </c>
      <c r="I1956" t="s">
        <v>2229</v>
      </c>
      <c r="J1956">
        <v>5</v>
      </c>
      <c r="K1956">
        <v>3</v>
      </c>
      <c r="L1956" t="s">
        <v>2331</v>
      </c>
      <c r="M1956" t="s">
        <v>2677</v>
      </c>
      <c r="P1956" t="s">
        <v>3250</v>
      </c>
      <c r="Q1956" t="s">
        <v>2113</v>
      </c>
      <c r="R1956" t="s">
        <v>3259</v>
      </c>
      <c r="S1956" t="s">
        <v>3264</v>
      </c>
      <c r="T1956" t="s">
        <v>3294</v>
      </c>
      <c r="U1956" t="s">
        <v>3349</v>
      </c>
      <c r="X1956" t="s">
        <v>3354</v>
      </c>
      <c r="Y1956" t="s">
        <v>2678</v>
      </c>
      <c r="Z1956" t="s">
        <v>3357</v>
      </c>
      <c r="AA1956" t="s">
        <v>3406</v>
      </c>
      <c r="AB1956" t="s">
        <v>3412</v>
      </c>
      <c r="AC1956">
        <f>HYPERLINK("https://lsnyc.legalserver.org/matter/dynamic-profile/view/0763592","14-0763592")</f>
        <v>0</v>
      </c>
      <c r="AD1956" t="s">
        <v>3447</v>
      </c>
      <c r="AE1956" t="s">
        <v>3462</v>
      </c>
      <c r="AF1956" t="s">
        <v>4899</v>
      </c>
      <c r="AG1956" t="s">
        <v>3357</v>
      </c>
      <c r="AH1956" t="s">
        <v>4904</v>
      </c>
      <c r="AK1956" t="s">
        <v>4911</v>
      </c>
      <c r="AL1956" t="s">
        <v>2116</v>
      </c>
      <c r="AM1956" t="s">
        <v>3294</v>
      </c>
      <c r="AN1956" t="s">
        <v>3412</v>
      </c>
    </row>
    <row r="1957" spans="1:41">
      <c r="A1957" s="1" t="s">
        <v>1992</v>
      </c>
      <c r="B1957" t="s">
        <v>2009</v>
      </c>
      <c r="C1957" t="s">
        <v>2018</v>
      </c>
      <c r="D1957" t="s">
        <v>2079</v>
      </c>
      <c r="E1957" t="s">
        <v>2112</v>
      </c>
      <c r="F1957" t="s">
        <v>2123</v>
      </c>
      <c r="G1957" t="s">
        <v>2213</v>
      </c>
      <c r="H1957">
        <v>10468</v>
      </c>
      <c r="I1957" t="s">
        <v>2229</v>
      </c>
      <c r="J1957">
        <v>2</v>
      </c>
      <c r="K1957">
        <v>0</v>
      </c>
      <c r="L1957" t="s">
        <v>2675</v>
      </c>
      <c r="M1957" t="s">
        <v>2677</v>
      </c>
      <c r="P1957" t="s">
        <v>3251</v>
      </c>
      <c r="Q1957" t="s">
        <v>3255</v>
      </c>
      <c r="R1957" t="s">
        <v>3259</v>
      </c>
      <c r="S1957" t="s">
        <v>3267</v>
      </c>
      <c r="X1957" t="s">
        <v>3354</v>
      </c>
      <c r="Y1957" t="s">
        <v>2678</v>
      </c>
      <c r="Z1957" t="s">
        <v>3405</v>
      </c>
      <c r="AA1957" t="s">
        <v>3406</v>
      </c>
      <c r="AB1957" t="s">
        <v>3415</v>
      </c>
      <c r="AC1957">
        <f>HYPERLINK("https://lsnyc.legalserver.org/matter/dynamic-profile/view/0765383","14-0765383")</f>
        <v>0</v>
      </c>
      <c r="AD1957" t="s">
        <v>3442</v>
      </c>
      <c r="AE1957" t="s">
        <v>3448</v>
      </c>
      <c r="AF1957" t="s">
        <v>4268</v>
      </c>
      <c r="AG1957" t="s">
        <v>3405</v>
      </c>
      <c r="AH1957" t="s">
        <v>4906</v>
      </c>
      <c r="AL1957" t="s">
        <v>2123</v>
      </c>
      <c r="AN1957" t="s">
        <v>3415</v>
      </c>
    </row>
    <row r="1958" spans="1:41">
      <c r="A1958" s="1" t="s">
        <v>1993</v>
      </c>
      <c r="B1958" t="s">
        <v>2000</v>
      </c>
      <c r="C1958" t="s">
        <v>2009</v>
      </c>
      <c r="D1958" t="s">
        <v>2080</v>
      </c>
      <c r="E1958" t="s">
        <v>2112</v>
      </c>
      <c r="F1958" t="s">
        <v>2117</v>
      </c>
      <c r="G1958" t="s">
        <v>2213</v>
      </c>
      <c r="H1958">
        <v>10451</v>
      </c>
      <c r="I1958" t="s">
        <v>2229</v>
      </c>
      <c r="J1958">
        <v>3</v>
      </c>
      <c r="K1958">
        <v>1</v>
      </c>
      <c r="L1958" t="s">
        <v>2260</v>
      </c>
      <c r="M1958" t="s">
        <v>2677</v>
      </c>
      <c r="P1958" t="s">
        <v>2824</v>
      </c>
      <c r="Q1958" t="s">
        <v>2113</v>
      </c>
      <c r="R1958" t="s">
        <v>3259</v>
      </c>
      <c r="S1958" t="s">
        <v>3267</v>
      </c>
      <c r="X1958" t="s">
        <v>3354</v>
      </c>
      <c r="Y1958" t="s">
        <v>2678</v>
      </c>
      <c r="Z1958" t="s">
        <v>3359</v>
      </c>
      <c r="AA1958" t="s">
        <v>3406</v>
      </c>
      <c r="AB1958" t="s">
        <v>3415</v>
      </c>
      <c r="AC1958">
        <f>HYPERLINK("https://lsnyc.legalserver.org/matter/dynamic-profile/view/0768119","14-0768119")</f>
        <v>0</v>
      </c>
      <c r="AD1958" t="s">
        <v>3442</v>
      </c>
      <c r="AE1958" t="s">
        <v>3448</v>
      </c>
      <c r="AF1958" t="s">
        <v>4900</v>
      </c>
      <c r="AG1958" t="s">
        <v>3359</v>
      </c>
      <c r="AH1958" t="s">
        <v>4906</v>
      </c>
      <c r="AL1958" t="s">
        <v>2117</v>
      </c>
      <c r="AN1958" t="s">
        <v>3415</v>
      </c>
    </row>
    <row r="1959" spans="1:41">
      <c r="A1959" s="1" t="s">
        <v>1994</v>
      </c>
      <c r="B1959" t="s">
        <v>2016</v>
      </c>
      <c r="C1959" t="s">
        <v>2002</v>
      </c>
      <c r="D1959" t="s">
        <v>2065</v>
      </c>
      <c r="E1959" t="s">
        <v>2111</v>
      </c>
      <c r="F1959" t="s">
        <v>2117</v>
      </c>
      <c r="G1959" t="s">
        <v>2213</v>
      </c>
      <c r="H1959">
        <v>10451</v>
      </c>
      <c r="I1959" t="s">
        <v>2229</v>
      </c>
      <c r="J1959">
        <v>3</v>
      </c>
      <c r="K1959">
        <v>1</v>
      </c>
      <c r="L1959" t="s">
        <v>2260</v>
      </c>
      <c r="M1959" t="s">
        <v>2677</v>
      </c>
      <c r="P1959" t="s">
        <v>2824</v>
      </c>
      <c r="Q1959" t="s">
        <v>3255</v>
      </c>
      <c r="R1959" t="s">
        <v>3259</v>
      </c>
      <c r="S1959" t="s">
        <v>3267</v>
      </c>
      <c r="X1959" t="s">
        <v>3354</v>
      </c>
      <c r="Y1959" t="s">
        <v>2678</v>
      </c>
      <c r="Z1959" t="s">
        <v>3359</v>
      </c>
      <c r="AA1959" t="s">
        <v>3406</v>
      </c>
      <c r="AB1959" t="s">
        <v>3415</v>
      </c>
      <c r="AC1959">
        <f>HYPERLINK("https://lsnyc.legalserver.org/matter/dynamic-profile/view/0768129","14-0768129")</f>
        <v>0</v>
      </c>
      <c r="AD1959" t="s">
        <v>3442</v>
      </c>
      <c r="AE1959" t="s">
        <v>3448</v>
      </c>
      <c r="AF1959" t="s">
        <v>4046</v>
      </c>
      <c r="AG1959" t="s">
        <v>3359</v>
      </c>
      <c r="AH1959" t="s">
        <v>4906</v>
      </c>
      <c r="AL1959" t="s">
        <v>2117</v>
      </c>
      <c r="AN1959" t="s">
        <v>3415</v>
      </c>
    </row>
    <row r="1960" spans="1:41">
      <c r="A1960" s="1" t="s">
        <v>1995</v>
      </c>
      <c r="B1960" t="s">
        <v>1998</v>
      </c>
      <c r="C1960" t="s">
        <v>1998</v>
      </c>
      <c r="D1960" t="s">
        <v>2051</v>
      </c>
      <c r="E1960" t="s">
        <v>2112</v>
      </c>
      <c r="F1960" t="s">
        <v>2135</v>
      </c>
      <c r="G1960" t="s">
        <v>2214</v>
      </c>
      <c r="H1960">
        <v>11232</v>
      </c>
      <c r="I1960" t="s">
        <v>2229</v>
      </c>
      <c r="J1960">
        <v>6</v>
      </c>
      <c r="K1960">
        <v>5</v>
      </c>
      <c r="L1960" t="s">
        <v>2260</v>
      </c>
      <c r="M1960" t="s">
        <v>2677</v>
      </c>
      <c r="P1960" t="s">
        <v>3252</v>
      </c>
      <c r="Q1960" t="s">
        <v>2113</v>
      </c>
      <c r="R1960" t="s">
        <v>3259</v>
      </c>
      <c r="S1960" t="s">
        <v>3264</v>
      </c>
      <c r="T1960" t="s">
        <v>3294</v>
      </c>
      <c r="X1960" t="s">
        <v>3354</v>
      </c>
      <c r="Y1960" t="s">
        <v>2678</v>
      </c>
      <c r="Z1960" t="s">
        <v>3357</v>
      </c>
      <c r="AA1960" t="s">
        <v>3406</v>
      </c>
      <c r="AB1960" t="s">
        <v>3412</v>
      </c>
      <c r="AC1960">
        <f>HYPERLINK("https://lsnyc.legalserver.org/matter/dynamic-profile/view/0754603","14-0754603")</f>
        <v>0</v>
      </c>
      <c r="AD1960" t="s">
        <v>3446</v>
      </c>
      <c r="AE1960" t="s">
        <v>3481</v>
      </c>
      <c r="AF1960" t="s">
        <v>4901</v>
      </c>
      <c r="AG1960" t="s">
        <v>3357</v>
      </c>
      <c r="AH1960" t="s">
        <v>4904</v>
      </c>
      <c r="AK1960" t="s">
        <v>4911</v>
      </c>
      <c r="AL1960" t="s">
        <v>2135</v>
      </c>
      <c r="AM1960" t="s">
        <v>3294</v>
      </c>
      <c r="AN1960" t="s">
        <v>3412</v>
      </c>
    </row>
    <row r="1961" spans="1:41">
      <c r="A1961" s="1" t="s">
        <v>1996</v>
      </c>
      <c r="B1961" t="s">
        <v>2000</v>
      </c>
      <c r="C1961" t="s">
        <v>2002</v>
      </c>
      <c r="D1961" t="s">
        <v>2032</v>
      </c>
      <c r="E1961" t="s">
        <v>2112</v>
      </c>
      <c r="F1961" t="s">
        <v>2123</v>
      </c>
      <c r="G1961" t="s">
        <v>2214</v>
      </c>
      <c r="H1961">
        <v>11237</v>
      </c>
      <c r="I1961" t="s">
        <v>2229</v>
      </c>
      <c r="J1961">
        <v>1</v>
      </c>
      <c r="K1961">
        <v>0</v>
      </c>
      <c r="L1961" t="s">
        <v>2676</v>
      </c>
      <c r="M1961" t="s">
        <v>2677</v>
      </c>
      <c r="P1961" t="s">
        <v>3253</v>
      </c>
      <c r="Q1961" t="s">
        <v>3256</v>
      </c>
      <c r="R1961" t="s">
        <v>3259</v>
      </c>
      <c r="S1961" t="s">
        <v>3270</v>
      </c>
      <c r="T1961" t="s">
        <v>3294</v>
      </c>
      <c r="U1961" t="s">
        <v>3350</v>
      </c>
      <c r="X1961" t="s">
        <v>3354</v>
      </c>
      <c r="Y1961" t="s">
        <v>2677</v>
      </c>
      <c r="Z1961" t="s">
        <v>3357</v>
      </c>
      <c r="AA1961" t="s">
        <v>3406</v>
      </c>
      <c r="AB1961" t="s">
        <v>3418</v>
      </c>
      <c r="AC1961">
        <f>HYPERLINK("https://lsnyc.legalserver.org/matter/dynamic-profile/view/0749345","14-0749345")</f>
        <v>0</v>
      </c>
      <c r="AD1961" t="s">
        <v>3444</v>
      </c>
      <c r="AE1961" t="s">
        <v>3451</v>
      </c>
      <c r="AF1961" t="s">
        <v>4902</v>
      </c>
      <c r="AG1961" t="s">
        <v>3357</v>
      </c>
      <c r="AH1961" t="s">
        <v>4904</v>
      </c>
      <c r="AK1961" t="s">
        <v>4911</v>
      </c>
      <c r="AL1961" t="s">
        <v>2123</v>
      </c>
      <c r="AM1961" t="s">
        <v>3294</v>
      </c>
      <c r="AN1961" t="s">
        <v>3418</v>
      </c>
    </row>
    <row r="1962" spans="1:41">
      <c r="A1962" s="1" t="s">
        <v>1997</v>
      </c>
      <c r="B1962" t="s">
        <v>2012</v>
      </c>
      <c r="C1962" t="s">
        <v>1998</v>
      </c>
      <c r="D1962" t="s">
        <v>2041</v>
      </c>
      <c r="E1962" t="s">
        <v>2112</v>
      </c>
      <c r="F1962" t="s">
        <v>2129</v>
      </c>
      <c r="G1962" t="s">
        <v>2216</v>
      </c>
      <c r="H1962">
        <v>10306</v>
      </c>
      <c r="I1962" t="s">
        <v>2232</v>
      </c>
      <c r="J1962">
        <v>3</v>
      </c>
      <c r="K1962">
        <v>0</v>
      </c>
      <c r="L1962" t="s">
        <v>2568</v>
      </c>
      <c r="M1962" t="s">
        <v>2677</v>
      </c>
      <c r="P1962" t="s">
        <v>3254</v>
      </c>
      <c r="Q1962" t="s">
        <v>2113</v>
      </c>
      <c r="R1962" t="s">
        <v>3258</v>
      </c>
      <c r="S1962" t="s">
        <v>3273</v>
      </c>
      <c r="T1962" t="s">
        <v>3294</v>
      </c>
      <c r="U1962" t="s">
        <v>3351</v>
      </c>
      <c r="X1962" t="s">
        <v>3354</v>
      </c>
      <c r="Y1962" t="s">
        <v>2678</v>
      </c>
      <c r="Z1962" t="s">
        <v>3370</v>
      </c>
      <c r="AA1962" t="s">
        <v>3406</v>
      </c>
      <c r="AB1962" t="s">
        <v>3421</v>
      </c>
      <c r="AC1962">
        <f>HYPERLINK("https://lsnyc.legalserver.org/matter/dynamic-profile/view/0732424","13-0732424")</f>
        <v>0</v>
      </c>
      <c r="AD1962" t="s">
        <v>3447</v>
      </c>
      <c r="AE1962" t="s">
        <v>3462</v>
      </c>
      <c r="AF1962" t="s">
        <v>4903</v>
      </c>
      <c r="AG1962" t="s">
        <v>3370</v>
      </c>
      <c r="AH1962" t="s">
        <v>4904</v>
      </c>
      <c r="AL1962" t="s">
        <v>2129</v>
      </c>
      <c r="AM1962" t="s">
        <v>3294</v>
      </c>
      <c r="AN1962" t="s">
        <v>3421</v>
      </c>
    </row>
  </sheetData>
  <conditionalFormatting sqref="E1:F100000">
    <cfRule type="cellIs" dxfId="0" priority="1" operator="equal">
      <formula>""</formula>
    </cfRule>
  </conditionalFormatting>
  <conditionalFormatting sqref="F1:F100000">
    <cfRule type="cellIs" dxfId="0" priority="2" operator="equal">
      <formula>"Hold for Review"</formula>
    </cfRule>
  </conditionalFormatting>
  <conditionalFormatting sqref="G1:G100000">
    <cfRule type="cellIs" dxfId="0" priority="3" operator="equal">
      <formula>"Needs DHCI Form"</formula>
    </cfRule>
  </conditionalFormatting>
  <conditionalFormatting sqref="H1:H100000">
    <cfRule type="cellIs" dxfId="0" priority="4" operator="equal">
      <formula>"Needs Income Waiver"</formula>
    </cfRule>
  </conditionalFormatting>
  <conditionalFormatting sqref="I1:I100000">
    <cfRule type="cellIs" dxfId="0" priority="5" operator="equal">
      <formula>"Needs Substantial Activity in FY20"</formula>
    </cfRule>
  </conditionalFormatting>
  <conditionalFormatting sqref="J1:K100000">
    <cfRule type="cellIs" dxfId="0" priority="6" operator="equal">
      <formula>""</formula>
    </cfRule>
  </conditionalFormatting>
  <conditionalFormatting sqref="L1:L100000">
    <cfRule type="cellIs" dxfId="0" priority="7" operator="equal">
      <formula>"*Needs Outcome*"</formula>
    </cfRule>
    <cfRule type="cellIs" dxfId="0" priority="8" operator="equal">
      <formula>"*Needs Outcome Date*"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2020-01-06T20:13:02Z</dcterms:created>
  <dcterms:modified xsi:type="dcterms:W3CDTF">2020-01-06T20:13:02Z</dcterms:modified>
</cp:coreProperties>
</file>