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<sst xmlns="http://schemas.openxmlformats.org/spreadsheetml/2006/main" count="32451" uniqueCount="4643">
  <si>
    <t>Hyperlinked Case #</t>
  </si>
  <si>
    <t>Primary Advocate</t>
  </si>
  <si>
    <t>Assigned Branch/CC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</si>
  <si>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</si>
  <si>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</si>
  <si>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</si>
  <si>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</si>
  <si>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</si>
  <si>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</si>
  <si>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</si>
  <si>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</si>
  <si>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Close Reason</t>
  </si>
  <si>
    <t>Secondary Funding Codes</t>
  </si>
  <si>
    <t>Legal Problem Code</t>
  </si>
  <si>
    <t>Date of Birth</t>
  </si>
  <si>
    <t>SS # Tester</t>
  </si>
  <si>
    <t>Social Security #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</si>
  <si>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</si>
  <si>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</si>
  <si>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</si>
  <si>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</si>
  <si>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</si>
  <si>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 xml:space="preserve">Total Annual Income </t>
  </si>
  <si>
    <t>Housing Funding Note</t>
  </si>
  <si>
    <t>Total Time For Case</t>
  </si>
  <si>
    <t>Service Date</t>
  </si>
  <si>
    <t>Caseworker Name</t>
  </si>
  <si>
    <t>HRA Release Tester</t>
  </si>
  <si>
    <t>HRA Release?</t>
  </si>
  <si>
    <t>HAL Eligibility Date</t>
  </si>
  <si>
    <t>Housing Type Tester</t>
  </si>
  <si>
    <t>Housing Type Of Case</t>
  </si>
  <si>
    <t>Housing Level Tester</t>
  </si>
  <si>
    <t>Housing Level of Service</t>
  </si>
  <si>
    <t>Building Case Tester</t>
  </si>
  <si>
    <t>Housing Building Case?</t>
  </si>
  <si>
    <t>Referral Tester</t>
  </si>
  <si>
    <t>Referral Source</t>
  </si>
  <si>
    <t>Primary Funding Code</t>
  </si>
  <si>
    <t>Rent Tester</t>
  </si>
  <si>
    <t>Housing Total Monthly Rent</t>
  </si>
  <si>
    <t>Unit Tester</t>
  </si>
  <si>
    <t>Housing Number Of Units In Building</t>
  </si>
  <si>
    <t>Regulation Tester</t>
  </si>
  <si>
    <t>Housing Form Of Regulation</t>
  </si>
  <si>
    <t>Subsidy Tester</t>
  </si>
  <si>
    <t>Housing Subsidy Type</t>
  </si>
  <si>
    <t>Years in Apartment Tester</t>
  </si>
  <si>
    <t>Housing Years Living In Apartment</t>
  </si>
  <si>
    <t>Language Tester</t>
  </si>
  <si>
    <t>Language</t>
  </si>
  <si>
    <t>Posture Tester</t>
  </si>
  <si>
    <t>Housing Posture of Case on Eligibility Date</t>
  </si>
  <si>
    <t>Income Verification Tester</t>
  </si>
  <si>
    <t>Housing Income Verification</t>
  </si>
  <si>
    <t>PA # Tester</t>
  </si>
  <si>
    <t>Gen Pub Assist Case Number</t>
  </si>
  <si>
    <t>Case Number Tester</t>
  </si>
  <si>
    <t>Gen Case Index Number</t>
  </si>
  <si>
    <t>Housing Activity Tester</t>
  </si>
  <si>
    <t>Housing Activity Indicators</t>
  </si>
  <si>
    <t>Housing Services Tester</t>
  </si>
  <si>
    <t>Housing Services Rendered to Client</t>
  </si>
  <si>
    <t>Outcome Tester</t>
  </si>
  <si>
    <t>Case Disposition</t>
  </si>
  <si>
    <t>Housing Outcome</t>
  </si>
  <si>
    <t>Housing Outcome Date</t>
  </si>
  <si>
    <t>Bailey, Michael</t>
  </si>
  <si>
    <t>Catuira, Rochelle</t>
  </si>
  <si>
    <t>Chew, Thomas</t>
  </si>
  <si>
    <t>Cisneros, Marisol</t>
  </si>
  <si>
    <t>Costa, Stephanie</t>
  </si>
  <si>
    <t>Crisona, Kathryn</t>
  </si>
  <si>
    <t>DeLong, Sarah</t>
  </si>
  <si>
    <t>Farrell, Emily</t>
  </si>
  <si>
    <t>Goncharov-Cruickshnk, Natalie</t>
  </si>
  <si>
    <t>Hardy, Le`Shera</t>
  </si>
  <si>
    <t>Hecht-Felella, Laura</t>
  </si>
  <si>
    <t>Henriquez, Luis</t>
  </si>
  <si>
    <t>Ijaz, Kulsoom</t>
  </si>
  <si>
    <t>Katnani, Samar</t>
  </si>
  <si>
    <t>Kelly, Dawn</t>
  </si>
  <si>
    <t>Landry-Reyes, Jane</t>
  </si>
  <si>
    <t>Marchena, Ivan</t>
  </si>
  <si>
    <t>McCormick, James</t>
  </si>
  <si>
    <t>McCowen, Tamella</t>
  </si>
  <si>
    <t>Patel, Mona</t>
  </si>
  <si>
    <t>Reardon, Elizabeth</t>
  </si>
  <si>
    <t>Roman, Melissa</t>
  </si>
  <si>
    <t>Rubin, Jenn</t>
  </si>
  <si>
    <t>St. Louis, Bianca</t>
  </si>
  <si>
    <t>Wong, Humbert</t>
  </si>
  <si>
    <t>Xie, Vivian</t>
  </si>
  <si>
    <t>BkLS</t>
  </si>
  <si>
    <t>BxLS</t>
  </si>
  <si>
    <t>MLS</t>
  </si>
  <si>
    <t>QLS</t>
  </si>
  <si>
    <t>06/13/2018</t>
  </si>
  <si>
    <t>11/04/2019</t>
  </si>
  <si>
    <t>03/29/2019</t>
  </si>
  <si>
    <t>11/14/2017</t>
  </si>
  <si>
    <t>08/29/2018</t>
  </si>
  <si>
    <t>11/12/2019</t>
  </si>
  <si>
    <t>01/16/2018</t>
  </si>
  <si>
    <t>04/04/2019</t>
  </si>
  <si>
    <t>08/23/2019</t>
  </si>
  <si>
    <t>09/11/2017</t>
  </si>
  <si>
    <t>12/27/2018</t>
  </si>
  <si>
    <t>06/18/2019</t>
  </si>
  <si>
    <t>03/19/2018</t>
  </si>
  <si>
    <t>11/13/2019</t>
  </si>
  <si>
    <t>10/25/2019</t>
  </si>
  <si>
    <t>08/30/2019</t>
  </si>
  <si>
    <t>10/03/2019</t>
  </si>
  <si>
    <t>03/13/2019</t>
  </si>
  <si>
    <t>01/09/2019</t>
  </si>
  <si>
    <t>11/18/2019</t>
  </si>
  <si>
    <t>10/12/2018</t>
  </si>
  <si>
    <t>11/07/2018</t>
  </si>
  <si>
    <t>10/11/2018</t>
  </si>
  <si>
    <t>07/13/2015</t>
  </si>
  <si>
    <t>08/31/2018</t>
  </si>
  <si>
    <t>12/03/2019</t>
  </si>
  <si>
    <t>10/01/2019</t>
  </si>
  <si>
    <t>07/16/2019</t>
  </si>
  <si>
    <t>11/01/2019</t>
  </si>
  <si>
    <t>08/27/2018</t>
  </si>
  <si>
    <t>07/02/2019</t>
  </si>
  <si>
    <t>03/14/2016</t>
  </si>
  <si>
    <t>08/18/2017</t>
  </si>
  <si>
    <t>11/18/2016</t>
  </si>
  <si>
    <t>05/12/2017</t>
  </si>
  <si>
    <t>04/26/2019</t>
  </si>
  <si>
    <t>01/18/2018</t>
  </si>
  <si>
    <t>11/22/2019</t>
  </si>
  <si>
    <t>12/05/2019</t>
  </si>
  <si>
    <t>11/14/2019</t>
  </si>
  <si>
    <t>10/15/2019</t>
  </si>
  <si>
    <t>10/17/2019</t>
  </si>
  <si>
    <t>10/31/2019</t>
  </si>
  <si>
    <t>09/21/2018</t>
  </si>
  <si>
    <t>11/01/2018</t>
  </si>
  <si>
    <t>07/25/2019</t>
  </si>
  <si>
    <t>08/21/2018</t>
  </si>
  <si>
    <t>04/20/2017</t>
  </si>
  <si>
    <t>03/11/2019</t>
  </si>
  <si>
    <t>12/14/2018</t>
  </si>
  <si>
    <t>08/19/2019</t>
  </si>
  <si>
    <t>07/03/2019</t>
  </si>
  <si>
    <t>10/11/2019</t>
  </si>
  <si>
    <t>08/17/2018</t>
  </si>
  <si>
    <t>09/09/2019</t>
  </si>
  <si>
    <t>06/05/2018</t>
  </si>
  <si>
    <t>06/25/2019</t>
  </si>
  <si>
    <t>07/24/2019</t>
  </si>
  <si>
    <t>12/10/2018</t>
  </si>
  <si>
    <t>11/21/2019</t>
  </si>
  <si>
    <t>08/20/2019</t>
  </si>
  <si>
    <t>03/28/2019</t>
  </si>
  <si>
    <t>10/26/2018</t>
  </si>
  <si>
    <t>08/28/2019</t>
  </si>
  <si>
    <t>04/09/2019</t>
  </si>
  <si>
    <t>08/27/2019</t>
  </si>
  <si>
    <t>08/01/2019</t>
  </si>
  <si>
    <t>06/28/2017</t>
  </si>
  <si>
    <t>10/06/2017</t>
  </si>
  <si>
    <t>11/14/2018</t>
  </si>
  <si>
    <t>10/01/2018</t>
  </si>
  <si>
    <t>03/01/2019</t>
  </si>
  <si>
    <t>06/06/2018</t>
  </si>
  <si>
    <t>06/06/2019</t>
  </si>
  <si>
    <t>06/21/2019</t>
  </si>
  <si>
    <t>11/19/2018</t>
  </si>
  <si>
    <t>11/19/2019</t>
  </si>
  <si>
    <t>01/10/2019</t>
  </si>
  <si>
    <t>04/02/2019</t>
  </si>
  <si>
    <t>12/02/2019</t>
  </si>
  <si>
    <t>07/12/2019</t>
  </si>
  <si>
    <t>09/26/2019</t>
  </si>
  <si>
    <t>10/10/2018</t>
  </si>
  <si>
    <t>10/07/2019</t>
  </si>
  <si>
    <t>12/31/2018</t>
  </si>
  <si>
    <t>06/20/2019</t>
  </si>
  <si>
    <t>11/06/2019</t>
  </si>
  <si>
    <t>08/08/2017</t>
  </si>
  <si>
    <t>11/30/2018</t>
  </si>
  <si>
    <t>07/30/2019</t>
  </si>
  <si>
    <t>11/27/2017</t>
  </si>
  <si>
    <t>11/16/2017</t>
  </si>
  <si>
    <t>10/03/2018</t>
  </si>
  <si>
    <t>01/31/2019</t>
  </si>
  <si>
    <t>09/26/2018</t>
  </si>
  <si>
    <t>10/10/2019</t>
  </si>
  <si>
    <t>09/06/2019</t>
  </si>
  <si>
    <t>01/29/2019</t>
  </si>
  <si>
    <t>05/03/2019</t>
  </si>
  <si>
    <t>10/22/2019</t>
  </si>
  <si>
    <t>07/12/2018</t>
  </si>
  <si>
    <t>04/05/2019</t>
  </si>
  <si>
    <t>05/06/2019</t>
  </si>
  <si>
    <t>05/13/2019</t>
  </si>
  <si>
    <t>03/15/2019</t>
  </si>
  <si>
    <t>12/13/2018</t>
  </si>
  <si>
    <t>09/03/2019</t>
  </si>
  <si>
    <t>11/26/2019</t>
  </si>
  <si>
    <t>02/15/2019</t>
  </si>
  <si>
    <t>12/04/2018</t>
  </si>
  <si>
    <t>11/15/2018</t>
  </si>
  <si>
    <t>01/11/2019</t>
  </si>
  <si>
    <t>10/09/2018</t>
  </si>
  <si>
    <t>10/29/2018</t>
  </si>
  <si>
    <t>12/18/2018</t>
  </si>
  <si>
    <t>09/12/2019</t>
  </si>
  <si>
    <t>10/02/2019</t>
  </si>
  <si>
    <t>10/24/2018</t>
  </si>
  <si>
    <t>08/15/2019</t>
  </si>
  <si>
    <t>06/12/2019</t>
  </si>
  <si>
    <t>02/04/2019</t>
  </si>
  <si>
    <t>10/03/2017</t>
  </si>
  <si>
    <t>04/10/2019</t>
  </si>
  <si>
    <t>07/23/2018</t>
  </si>
  <si>
    <t>10/24/2019</t>
  </si>
  <si>
    <t>11/08/2019</t>
  </si>
  <si>
    <t>09/11/2019</t>
  </si>
  <si>
    <t>09/18/2019</t>
  </si>
  <si>
    <t>09/17/2019</t>
  </si>
  <si>
    <t>04/19/2019</t>
  </si>
  <si>
    <t>09/05/2018</t>
  </si>
  <si>
    <t>10/25/2018</t>
  </si>
  <si>
    <t>09/04/2018</t>
  </si>
  <si>
    <t>09/06/2018</t>
  </si>
  <si>
    <t>09/06/2017</t>
  </si>
  <si>
    <t>09/19/2018</t>
  </si>
  <si>
    <t>04/22/2019</t>
  </si>
  <si>
    <t>05/08/2018</t>
  </si>
  <si>
    <t>06/22/2017</t>
  </si>
  <si>
    <t>06/03/2019</t>
  </si>
  <si>
    <t>07/29/2019</t>
  </si>
  <si>
    <t>01/30/2019</t>
  </si>
  <si>
    <t>08/30/2018</t>
  </si>
  <si>
    <t>06/10/2019</t>
  </si>
  <si>
    <t>04/29/2019</t>
  </si>
  <si>
    <t>07/02/2018</t>
  </si>
  <si>
    <t>07/10/2018</t>
  </si>
  <si>
    <t>09/19/2019</t>
  </si>
  <si>
    <t>06/24/2019</t>
  </si>
  <si>
    <t>08/26/2019</t>
  </si>
  <si>
    <t>07/01/2019</t>
  </si>
  <si>
    <t>09/27/2018</t>
  </si>
  <si>
    <t>07/09/2019</t>
  </si>
  <si>
    <t>09/28/2017</t>
  </si>
  <si>
    <t>01/11/2018</t>
  </si>
  <si>
    <t>07/17/2019</t>
  </si>
  <si>
    <t>12/06/2018</t>
  </si>
  <si>
    <t>10/28/2019</t>
  </si>
  <si>
    <t>02/28/2017</t>
  </si>
  <si>
    <t>09/28/2018</t>
  </si>
  <si>
    <t>05/11/2018</t>
  </si>
  <si>
    <t>04/11/2019</t>
  </si>
  <si>
    <t>04/25/2018</t>
  </si>
  <si>
    <t>02/19/2017</t>
  </si>
  <si>
    <t>07/05/2018</t>
  </si>
  <si>
    <t>07/16/2018</t>
  </si>
  <si>
    <t>06/07/2018</t>
  </si>
  <si>
    <t>03/12/2017</t>
  </si>
  <si>
    <t>01/25/2018</t>
  </si>
  <si>
    <t>01/29/2018</t>
  </si>
  <si>
    <t>05/10/2018</t>
  </si>
  <si>
    <t>07/03/2018</t>
  </si>
  <si>
    <t>03/27/2017</t>
  </si>
  <si>
    <t>07/06/2018</t>
  </si>
  <si>
    <t>05/14/2018</t>
  </si>
  <si>
    <t>06/29/2018</t>
  </si>
  <si>
    <t>12/07/2018</t>
  </si>
  <si>
    <t>04/12/2019</t>
  </si>
  <si>
    <t>07/09/2018</t>
  </si>
  <si>
    <t>03/02/2017</t>
  </si>
  <si>
    <t>05/01/2017</t>
  </si>
  <si>
    <t>09/25/2018</t>
  </si>
  <si>
    <t>03/03/2017</t>
  </si>
  <si>
    <t>03/20/2017</t>
  </si>
  <si>
    <t>06/20/2018</t>
  </si>
  <si>
    <t>01/14/2019</t>
  </si>
  <si>
    <t>09/12/2018</t>
  </si>
  <si>
    <t>08/24/2018</t>
  </si>
  <si>
    <t>11/22/2017</t>
  </si>
  <si>
    <t>05/09/2018</t>
  </si>
  <si>
    <t>01/12/2018</t>
  </si>
  <si>
    <t>01/02/2018</t>
  </si>
  <si>
    <t>07/17/2018</t>
  </si>
  <si>
    <t>05/24/2018</t>
  </si>
  <si>
    <t>04/09/2018</t>
  </si>
  <si>
    <t>07/08/2019</t>
  </si>
  <si>
    <t>05/24/2016</t>
  </si>
  <si>
    <t>06/20/2017</t>
  </si>
  <si>
    <t>05/21/2017</t>
  </si>
  <si>
    <t>06/01/2018</t>
  </si>
  <si>
    <t>04/29/2016</t>
  </si>
  <si>
    <t>11/15/2019</t>
  </si>
  <si>
    <t>03/20/2018</t>
  </si>
  <si>
    <t>10/30/2017</t>
  </si>
  <si>
    <t>05/22/2017</t>
  </si>
  <si>
    <t>05/20/2017</t>
  </si>
  <si>
    <t>08/05/2019</t>
  </si>
  <si>
    <t>06/12/2017</t>
  </si>
  <si>
    <t>06/01/2017</t>
  </si>
  <si>
    <t>03/30/2017</t>
  </si>
  <si>
    <t>05/18/2017</t>
  </si>
  <si>
    <t>01/31/2017</t>
  </si>
  <si>
    <t>08/31/2016</t>
  </si>
  <si>
    <t>08/11/2017</t>
  </si>
  <si>
    <t>05/23/2017</t>
  </si>
  <si>
    <t>03/14/2018</t>
  </si>
  <si>
    <t>07/08/2016</t>
  </si>
  <si>
    <t>03/10/2016</t>
  </si>
  <si>
    <t>03/11/2016</t>
  </si>
  <si>
    <t>05/30/2017</t>
  </si>
  <si>
    <t>04/18/2017</t>
  </si>
  <si>
    <t>05/29/2019</t>
  </si>
  <si>
    <t>04/05/2017</t>
  </si>
  <si>
    <t>04/30/2019</t>
  </si>
  <si>
    <t>02/05/2019</t>
  </si>
  <si>
    <t>02/06/2017</t>
  </si>
  <si>
    <t>02/04/2016</t>
  </si>
  <si>
    <t>06/07/2016</t>
  </si>
  <si>
    <t>01/11/2016</t>
  </si>
  <si>
    <t>01/03/2019</t>
  </si>
  <si>
    <t>08/01/2016</t>
  </si>
  <si>
    <t>07/06/2017</t>
  </si>
  <si>
    <t>06/09/2015</t>
  </si>
  <si>
    <t>03/21/2017</t>
  </si>
  <si>
    <t>07/18/2017</t>
  </si>
  <si>
    <t>09/08/2017</t>
  </si>
  <si>
    <t>03/17/2017</t>
  </si>
  <si>
    <t>09/07/2017</t>
  </si>
  <si>
    <t>12/04/2015</t>
  </si>
  <si>
    <t>10/28/2017</t>
  </si>
  <si>
    <t>03/09/2018</t>
  </si>
  <si>
    <t>04/17/2017</t>
  </si>
  <si>
    <t>08/01/2017</t>
  </si>
  <si>
    <t>11/27/2019</t>
  </si>
  <si>
    <t>05/11/2017</t>
  </si>
  <si>
    <t>08/09/2018</t>
  </si>
  <si>
    <t>04/06/2018</t>
  </si>
  <si>
    <t>10/16/2018</t>
  </si>
  <si>
    <t>01/03/2018</t>
  </si>
  <si>
    <t>10/17/2016</t>
  </si>
  <si>
    <t>06/01/2015</t>
  </si>
  <si>
    <t>04/01/2013</t>
  </si>
  <si>
    <t>03/26/2019</t>
  </si>
  <si>
    <t>05/29/2015</t>
  </si>
  <si>
    <t>03/23/2017</t>
  </si>
  <si>
    <t>10/24/2017</t>
  </si>
  <si>
    <t>07/26/2018</t>
  </si>
  <si>
    <t>07/25/2017</t>
  </si>
  <si>
    <t>01/30/2017</t>
  </si>
  <si>
    <t>03/03/2016</t>
  </si>
  <si>
    <t>11/20/2019</t>
  </si>
  <si>
    <t>10/30/2019</t>
  </si>
  <si>
    <t>10/29/2019</t>
  </si>
  <si>
    <t>11/25/2019</t>
  </si>
  <si>
    <t>11/07/2019</t>
  </si>
  <si>
    <t>04/19/2016</t>
  </si>
  <si>
    <t>05/22/2019</t>
  </si>
  <si>
    <t>09/16/2019</t>
  </si>
  <si>
    <t>09/10/2018</t>
  </si>
  <si>
    <t>04/03/2017</t>
  </si>
  <si>
    <t>10/22/2018</t>
  </si>
  <si>
    <t>05/01/2019</t>
  </si>
  <si>
    <t>05/27/2017</t>
  </si>
  <si>
    <t>03/27/2019</t>
  </si>
  <si>
    <t>05/04/2017</t>
  </si>
  <si>
    <t>04/18/2018</t>
  </si>
  <si>
    <t>08/07/2017</t>
  </si>
  <si>
    <t>06/13/2019</t>
  </si>
  <si>
    <t>11/29/2018</t>
  </si>
  <si>
    <t>11/21/2018</t>
  </si>
  <si>
    <t>05/26/2017</t>
  </si>
  <si>
    <t>04/19/2018</t>
  </si>
  <si>
    <t>09/08/2015</t>
  </si>
  <si>
    <t>05/10/2016</t>
  </si>
  <si>
    <t>05/16/2019</t>
  </si>
  <si>
    <t>09/10/2019</t>
  </si>
  <si>
    <t>04/02/2018</t>
  </si>
  <si>
    <t>08/13/2019</t>
  </si>
  <si>
    <t>11/26/2018</t>
  </si>
  <si>
    <t>03/16/2018</t>
  </si>
  <si>
    <t>09/18/2018</t>
  </si>
  <si>
    <t>09/30/2019</t>
  </si>
  <si>
    <t>06/04/2019</t>
  </si>
  <si>
    <t>03/22/2019</t>
  </si>
  <si>
    <t>12/15/2017</t>
  </si>
  <si>
    <t>06/19/2019</t>
  </si>
  <si>
    <t>04/03/2018</t>
  </si>
  <si>
    <t>09/04/2019</t>
  </si>
  <si>
    <t>09/24/2019</t>
  </si>
  <si>
    <t>09/24/2018</t>
  </si>
  <si>
    <t>11/09/2018</t>
  </si>
  <si>
    <t>02/20/2018</t>
  </si>
  <si>
    <t>03/25/2019</t>
  </si>
  <si>
    <t>11/09/2017</t>
  </si>
  <si>
    <t>10/09/2019</t>
  </si>
  <si>
    <t>10/19/2017</t>
  </si>
  <si>
    <t>01/18/2019</t>
  </si>
  <si>
    <t>04/01/2019</t>
  </si>
  <si>
    <t>01/24/2018</t>
  </si>
  <si>
    <t>04/17/2019</t>
  </si>
  <si>
    <t>02/21/2019</t>
  </si>
  <si>
    <t>03/04/2019</t>
  </si>
  <si>
    <t>04/18/2019</t>
  </si>
  <si>
    <t>02/22/2019</t>
  </si>
  <si>
    <t>02/27/2019</t>
  </si>
  <si>
    <t>03/05/2019</t>
  </si>
  <si>
    <t>03/06/2019</t>
  </si>
  <si>
    <t>02/11/2019</t>
  </si>
  <si>
    <t>12/18/2017</t>
  </si>
  <si>
    <t>02/26/2019</t>
  </si>
  <si>
    <t>05/09/2017</t>
  </si>
  <si>
    <t>03/08/2019</t>
  </si>
  <si>
    <t>12/19/2018</t>
  </si>
  <si>
    <t>11/28/2017</t>
  </si>
  <si>
    <t>02/25/2019</t>
  </si>
  <si>
    <t>01/04/2019</t>
  </si>
  <si>
    <t>10/23/2019</t>
  </si>
  <si>
    <t>12/20/2016</t>
  </si>
  <si>
    <t>01/16/2019</t>
  </si>
  <si>
    <t>12/24/2018</t>
  </si>
  <si>
    <t>09/25/2019</t>
  </si>
  <si>
    <t>04/25/2019</t>
  </si>
  <si>
    <t>08/21/2019</t>
  </si>
  <si>
    <t>04/24/2019</t>
  </si>
  <si>
    <t>04/23/2019</t>
  </si>
  <si>
    <t>05/02/2019</t>
  </si>
  <si>
    <t>02/06/2019</t>
  </si>
  <si>
    <t>02/26/2018</t>
  </si>
  <si>
    <t>05/24/2019</t>
  </si>
  <si>
    <t>03/28/2017</t>
  </si>
  <si>
    <t>05/24/2017</t>
  </si>
  <si>
    <t>09/23/2019</t>
  </si>
  <si>
    <t>05/30/2019</t>
  </si>
  <si>
    <t>05/28/2019</t>
  </si>
  <si>
    <t>02/05/2018</t>
  </si>
  <si>
    <t>12/15/2018</t>
  </si>
  <si>
    <t>07/26/2019</t>
  </si>
  <si>
    <t>05/23/2019</t>
  </si>
  <si>
    <t>05/02/2018</t>
  </si>
  <si>
    <t>02/28/2019</t>
  </si>
  <si>
    <t>10/18/2019</t>
  </si>
  <si>
    <t>10/04/2018</t>
  </si>
  <si>
    <t>01/19/2017</t>
  </si>
  <si>
    <t>08/25/2017</t>
  </si>
  <si>
    <t>11/28/2018</t>
  </si>
  <si>
    <t>02/01/2017</t>
  </si>
  <si>
    <t>05/17/2019</t>
  </si>
  <si>
    <t>11/24/2019</t>
  </si>
  <si>
    <t>08/29/2019</t>
  </si>
  <si>
    <t>08/11/2019</t>
  </si>
  <si>
    <t>12/04/2019</t>
  </si>
  <si>
    <t>12/12/2018</t>
  </si>
  <si>
    <t>07/11/2019</t>
  </si>
  <si>
    <t>07/25/2018</t>
  </si>
  <si>
    <t>10/17/2017</t>
  </si>
  <si>
    <t>03/21/2019</t>
  </si>
  <si>
    <t>10/16/2019</t>
  </si>
  <si>
    <t>05/21/2019</t>
  </si>
  <si>
    <t>01/23/2019</t>
  </si>
  <si>
    <t>01/24/2019</t>
  </si>
  <si>
    <t>10/30/2018</t>
  </si>
  <si>
    <t>04/08/2019</t>
  </si>
  <si>
    <t>06/14/2018</t>
  </si>
  <si>
    <t>09/27/2019</t>
  </si>
  <si>
    <t>08/14/2018</t>
  </si>
  <si>
    <t>10/23/2018</t>
  </si>
  <si>
    <t>03/14/2019</t>
  </si>
  <si>
    <t>05/07/2019</t>
  </si>
  <si>
    <t>08/29/2017</t>
  </si>
  <si>
    <t>11/23/2019</t>
  </si>
  <si>
    <t>11/03/2019</t>
  </si>
  <si>
    <t>John</t>
  </si>
  <si>
    <t>Helene</t>
  </si>
  <si>
    <t>Suzan</t>
  </si>
  <si>
    <t>Willie</t>
  </si>
  <si>
    <t>Venita</t>
  </si>
  <si>
    <t>Jephtah</t>
  </si>
  <si>
    <t>Donna</t>
  </si>
  <si>
    <t>Sonia</t>
  </si>
  <si>
    <t>Dorothy</t>
  </si>
  <si>
    <t>Dino</t>
  </si>
  <si>
    <t>Keesha</t>
  </si>
  <si>
    <t>Arthur</t>
  </si>
  <si>
    <t>Carolla</t>
  </si>
  <si>
    <t>Shanelle</t>
  </si>
  <si>
    <t>Marquise</t>
  </si>
  <si>
    <t>Termaine</t>
  </si>
  <si>
    <t>Daisy</t>
  </si>
  <si>
    <t>Michelle</t>
  </si>
  <si>
    <t>Rosa</t>
  </si>
  <si>
    <t>Rosemae</t>
  </si>
  <si>
    <t>Blanca</t>
  </si>
  <si>
    <t>Betty</t>
  </si>
  <si>
    <t>Petal</t>
  </si>
  <si>
    <t>David</t>
  </si>
  <si>
    <t>Cheryl</t>
  </si>
  <si>
    <t>Jacqueline</t>
  </si>
  <si>
    <t>Shirley</t>
  </si>
  <si>
    <t>Elbia</t>
  </si>
  <si>
    <t>Angela</t>
  </si>
  <si>
    <t>Julio</t>
  </si>
  <si>
    <t>Viola</t>
  </si>
  <si>
    <t>Selwyn</t>
  </si>
  <si>
    <t>Osborne</t>
  </si>
  <si>
    <t>Annette</t>
  </si>
  <si>
    <t>Gertrude</t>
  </si>
  <si>
    <t>Dawna</t>
  </si>
  <si>
    <t>Tammy</t>
  </si>
  <si>
    <t>Patricia</t>
  </si>
  <si>
    <t>Venetta</t>
  </si>
  <si>
    <t>Lonnie</t>
  </si>
  <si>
    <t>Diamante</t>
  </si>
  <si>
    <t>Walik</t>
  </si>
  <si>
    <t>Cynthia</t>
  </si>
  <si>
    <t>Lauraine</t>
  </si>
  <si>
    <t>Andreen</t>
  </si>
  <si>
    <t>Adila</t>
  </si>
  <si>
    <t>Angel</t>
  </si>
  <si>
    <t>Celia</t>
  </si>
  <si>
    <t>Davona</t>
  </si>
  <si>
    <t>Eloise</t>
  </si>
  <si>
    <t>Frank</t>
  </si>
  <si>
    <t>Sandra</t>
  </si>
  <si>
    <t>Magdalen</t>
  </si>
  <si>
    <t>Blanch</t>
  </si>
  <si>
    <t>Debra</t>
  </si>
  <si>
    <t>Arissa</t>
  </si>
  <si>
    <t>Craig</t>
  </si>
  <si>
    <t>Ryanna</t>
  </si>
  <si>
    <t>Joyce</t>
  </si>
  <si>
    <t>Yolanda</t>
  </si>
  <si>
    <t>Sekou</t>
  </si>
  <si>
    <t>Paulette</t>
  </si>
  <si>
    <t>Khadijah</t>
  </si>
  <si>
    <t>Melissa</t>
  </si>
  <si>
    <t>Kelcey</t>
  </si>
  <si>
    <t>Elizabeth</t>
  </si>
  <si>
    <t>Karen</t>
  </si>
  <si>
    <t>Helen</t>
  </si>
  <si>
    <t>Tanya</t>
  </si>
  <si>
    <t>Sandreana</t>
  </si>
  <si>
    <t>Monique</t>
  </si>
  <si>
    <t>Erica</t>
  </si>
  <si>
    <t>Beryl</t>
  </si>
  <si>
    <t>Fidelis</t>
  </si>
  <si>
    <t>Stephanie</t>
  </si>
  <si>
    <t>Nedra</t>
  </si>
  <si>
    <t>Dulce</t>
  </si>
  <si>
    <t>Anne</t>
  </si>
  <si>
    <t>Miguel</t>
  </si>
  <si>
    <t>Dennis</t>
  </si>
  <si>
    <t>Kinny</t>
  </si>
  <si>
    <t>Jennifer</t>
  </si>
  <si>
    <t>Myra</t>
  </si>
  <si>
    <t>Mamie</t>
  </si>
  <si>
    <t>Sabrena</t>
  </si>
  <si>
    <t>Natasha</t>
  </si>
  <si>
    <t>Santa</t>
  </si>
  <si>
    <t>Natoya</t>
  </si>
  <si>
    <t>Dianna</t>
  </si>
  <si>
    <t>Paula</t>
  </si>
  <si>
    <t>Amanda</t>
  </si>
  <si>
    <t>Lateef</t>
  </si>
  <si>
    <t>Leslyn</t>
  </si>
  <si>
    <t>Morgen</t>
  </si>
  <si>
    <t>Prestina</t>
  </si>
  <si>
    <t>Lauren</t>
  </si>
  <si>
    <t>Donald</t>
  </si>
  <si>
    <t>Letice</t>
  </si>
  <si>
    <t>Louis</t>
  </si>
  <si>
    <t>Natori</t>
  </si>
  <si>
    <t>Jelecia</t>
  </si>
  <si>
    <t>Raquel</t>
  </si>
  <si>
    <t>Deshawn</t>
  </si>
  <si>
    <t>Monisa</t>
  </si>
  <si>
    <t>Hasna</t>
  </si>
  <si>
    <t>Alfred</t>
  </si>
  <si>
    <t>Shakirah</t>
  </si>
  <si>
    <t>Deborah</t>
  </si>
  <si>
    <t>Alphonso</t>
  </si>
  <si>
    <t>Vanessa</t>
  </si>
  <si>
    <t>Moresia</t>
  </si>
  <si>
    <t>Norman</t>
  </si>
  <si>
    <t>Christina</t>
  </si>
  <si>
    <t>Aaron</t>
  </si>
  <si>
    <t>Essence</t>
  </si>
  <si>
    <t>Terrance</t>
  </si>
  <si>
    <t>Marcia</t>
  </si>
  <si>
    <t>Germaine</t>
  </si>
  <si>
    <t>Jillian</t>
  </si>
  <si>
    <t>Armando</t>
  </si>
  <si>
    <t>Fernando</t>
  </si>
  <si>
    <t>Gary</t>
  </si>
  <si>
    <t>Westly</t>
  </si>
  <si>
    <t>Malana</t>
  </si>
  <si>
    <t>Letha</t>
  </si>
  <si>
    <t>Jonathan</t>
  </si>
  <si>
    <t>Elaine</t>
  </si>
  <si>
    <t>Janette</t>
  </si>
  <si>
    <t>Yahaira</t>
  </si>
  <si>
    <t>Davon</t>
  </si>
  <si>
    <t>Pamela</t>
  </si>
  <si>
    <t>Tumininu</t>
  </si>
  <si>
    <t>Bernard</t>
  </si>
  <si>
    <t>Sujeny</t>
  </si>
  <si>
    <t>Alfredo</t>
  </si>
  <si>
    <t>Cinthia</t>
  </si>
  <si>
    <t>Shaniyia</t>
  </si>
  <si>
    <t>Darchelle</t>
  </si>
  <si>
    <t>Chanette</t>
  </si>
  <si>
    <t>Oida</t>
  </si>
  <si>
    <t>Deshaun</t>
  </si>
  <si>
    <t>Sheena</t>
  </si>
  <si>
    <t>Xinque</t>
  </si>
  <si>
    <t>Vernice</t>
  </si>
  <si>
    <t>Paralee</t>
  </si>
  <si>
    <t>Kaitlin</t>
  </si>
  <si>
    <t>Brooke</t>
  </si>
  <si>
    <t>Maria</t>
  </si>
  <si>
    <t>Susanna</t>
  </si>
  <si>
    <t>Ada</t>
  </si>
  <si>
    <t>Zaida</t>
  </si>
  <si>
    <t>Iho</t>
  </si>
  <si>
    <t>Anna</t>
  </si>
  <si>
    <t>Jocelyn</t>
  </si>
  <si>
    <t>Suzanna</t>
  </si>
  <si>
    <t>Shannon</t>
  </si>
  <si>
    <t>Eliyahu</t>
  </si>
  <si>
    <t>Marley</t>
  </si>
  <si>
    <t>Michael</t>
  </si>
  <si>
    <t>Akheem</t>
  </si>
  <si>
    <t>Patrick</t>
  </si>
  <si>
    <t>Ariel</t>
  </si>
  <si>
    <t>Latania</t>
  </si>
  <si>
    <t>Monirul</t>
  </si>
  <si>
    <t>Xonana</t>
  </si>
  <si>
    <t>Shoshana</t>
  </si>
  <si>
    <t>April</t>
  </si>
  <si>
    <t>Marea</t>
  </si>
  <si>
    <t>Martina</t>
  </si>
  <si>
    <t>Tanis</t>
  </si>
  <si>
    <t>Jake</t>
  </si>
  <si>
    <t>Brandon</t>
  </si>
  <si>
    <t>Othniel</t>
  </si>
  <si>
    <t>Robert</t>
  </si>
  <si>
    <t>Sara</t>
  </si>
  <si>
    <t>Robin</t>
  </si>
  <si>
    <t>Terryann</t>
  </si>
  <si>
    <t>Eduardo</t>
  </si>
  <si>
    <t>Katherine</t>
  </si>
  <si>
    <t>Lily</t>
  </si>
  <si>
    <t>Akemi</t>
  </si>
  <si>
    <t>Eric</t>
  </si>
  <si>
    <t>Nicole</t>
  </si>
  <si>
    <t>Carline</t>
  </si>
  <si>
    <t>Tammie</t>
  </si>
  <si>
    <t>Tenae</t>
  </si>
  <si>
    <t>Alva</t>
  </si>
  <si>
    <t>Veronica</t>
  </si>
  <si>
    <t>Samuel</t>
  </si>
  <si>
    <t>Laurie</t>
  </si>
  <si>
    <t>Lester</t>
  </si>
  <si>
    <t>Cleveland</t>
  </si>
  <si>
    <t>Megnal</t>
  </si>
  <si>
    <t>Alicia</t>
  </si>
  <si>
    <t>Shamima</t>
  </si>
  <si>
    <t>Marilyn</t>
  </si>
  <si>
    <t>Norris</t>
  </si>
  <si>
    <t>Morenike</t>
  </si>
  <si>
    <t>Rose</t>
  </si>
  <si>
    <t>Monica</t>
  </si>
  <si>
    <t>Leisa</t>
  </si>
  <si>
    <t>Agnes</t>
  </si>
  <si>
    <t>Trevor</t>
  </si>
  <si>
    <t>Edward</t>
  </si>
  <si>
    <t>Victoria</t>
  </si>
  <si>
    <t>Esther</t>
  </si>
  <si>
    <t>Saundra</t>
  </si>
  <si>
    <t>Brenda</t>
  </si>
  <si>
    <t>Shunelle</t>
  </si>
  <si>
    <t>Lynette</t>
  </si>
  <si>
    <t>Carol</t>
  </si>
  <si>
    <t>Juan</t>
  </si>
  <si>
    <t>Valeriy</t>
  </si>
  <si>
    <t>Yesenia</t>
  </si>
  <si>
    <t>Tonya</t>
  </si>
  <si>
    <t>Danesha</t>
  </si>
  <si>
    <t>Lorna</t>
  </si>
  <si>
    <t>Natalie</t>
  </si>
  <si>
    <t>Valery</t>
  </si>
  <si>
    <t>Maureen</t>
  </si>
  <si>
    <t>Perri</t>
  </si>
  <si>
    <t>Wakina</t>
  </si>
  <si>
    <t>Mildred</t>
  </si>
  <si>
    <t>Ruth</t>
  </si>
  <si>
    <t>Timothy</t>
  </si>
  <si>
    <t>Gail</t>
  </si>
  <si>
    <t>Hassan</t>
  </si>
  <si>
    <t>Makuna</t>
  </si>
  <si>
    <t>Shakenya</t>
  </si>
  <si>
    <t>Vincent</t>
  </si>
  <si>
    <t>Chauncey</t>
  </si>
  <si>
    <t>Ella</t>
  </si>
  <si>
    <t>Shakeya</t>
  </si>
  <si>
    <t>Eddine</t>
  </si>
  <si>
    <t>Deanna</t>
  </si>
  <si>
    <t>Lydia</t>
  </si>
  <si>
    <t>Carrie</t>
  </si>
  <si>
    <t>Wilburn</t>
  </si>
  <si>
    <t>Gregory</t>
  </si>
  <si>
    <t>Carolyn</t>
  </si>
  <si>
    <t>Musu</t>
  </si>
  <si>
    <t>Tameeka</t>
  </si>
  <si>
    <t>Antonio</t>
  </si>
  <si>
    <t>Dudley</t>
  </si>
  <si>
    <t>Joyette</t>
  </si>
  <si>
    <t>Sheila</t>
  </si>
  <si>
    <t>Norkis</t>
  </si>
  <si>
    <t>Diane</t>
  </si>
  <si>
    <t>Kevin</t>
  </si>
  <si>
    <t>Yvonne</t>
  </si>
  <si>
    <t>Dolly</t>
  </si>
  <si>
    <t>Julius</t>
  </si>
  <si>
    <t>Rebecca</t>
  </si>
  <si>
    <t>Hendrick</t>
  </si>
  <si>
    <t>Loretta</t>
  </si>
  <si>
    <t>Kysha</t>
  </si>
  <si>
    <t>Teddie</t>
  </si>
  <si>
    <t>Shelease</t>
  </si>
  <si>
    <t>Ramon</t>
  </si>
  <si>
    <t>Isabel</t>
  </si>
  <si>
    <t>Keriesa</t>
  </si>
  <si>
    <t>Kaileah</t>
  </si>
  <si>
    <t>Anthony</t>
  </si>
  <si>
    <t>Chaztatii</t>
  </si>
  <si>
    <t>Lalina</t>
  </si>
  <si>
    <t>Margarita</t>
  </si>
  <si>
    <t>Darryl</t>
  </si>
  <si>
    <t>Bienvenida</t>
  </si>
  <si>
    <t>Jaime</t>
  </si>
  <si>
    <t>Charise</t>
  </si>
  <si>
    <t>Vandella</t>
  </si>
  <si>
    <t>Margaret</t>
  </si>
  <si>
    <t>Valerie</t>
  </si>
  <si>
    <t>Darnell</t>
  </si>
  <si>
    <t>Lidia</t>
  </si>
  <si>
    <t>Annmarie</t>
  </si>
  <si>
    <t>Mary</t>
  </si>
  <si>
    <t>Sharon</t>
  </si>
  <si>
    <t>Leroy</t>
  </si>
  <si>
    <t>Audrey</t>
  </si>
  <si>
    <t>Tijuanna</t>
  </si>
  <si>
    <t>Damary</t>
  </si>
  <si>
    <t>Joy</t>
  </si>
  <si>
    <t>Harrison</t>
  </si>
  <si>
    <t>Alvaro</t>
  </si>
  <si>
    <t>Darren</t>
  </si>
  <si>
    <t>Jeffrey</t>
  </si>
  <si>
    <t>Tyrone</t>
  </si>
  <si>
    <t>Jere</t>
  </si>
  <si>
    <t>Pinkrose</t>
  </si>
  <si>
    <t>Jose</t>
  </si>
  <si>
    <t>Luis</t>
  </si>
  <si>
    <t>Wilfredo</t>
  </si>
  <si>
    <t>Clive</t>
  </si>
  <si>
    <t>Albert</t>
  </si>
  <si>
    <t>Evette</t>
  </si>
  <si>
    <t>Carlos</t>
  </si>
  <si>
    <t>Juanita</t>
  </si>
  <si>
    <t>Noel</t>
  </si>
  <si>
    <t>Marsha</t>
  </si>
  <si>
    <t>Richard</t>
  </si>
  <si>
    <t>Imelda</t>
  </si>
  <si>
    <t>Garcia</t>
  </si>
  <si>
    <t>Abigail</t>
  </si>
  <si>
    <t>Nadine</t>
  </si>
  <si>
    <t>Leonora</t>
  </si>
  <si>
    <t>Maryline</t>
  </si>
  <si>
    <t>Ridley</t>
  </si>
  <si>
    <t>Gemma</t>
  </si>
  <si>
    <t>Agatha</t>
  </si>
  <si>
    <t>Euginia</t>
  </si>
  <si>
    <t>Christian</t>
  </si>
  <si>
    <t>Martha</t>
  </si>
  <si>
    <t>Afiya</t>
  </si>
  <si>
    <t>Zorro</t>
  </si>
  <si>
    <t>Cherese</t>
  </si>
  <si>
    <t>Mayleen</t>
  </si>
  <si>
    <t>Nedia</t>
  </si>
  <si>
    <t>Tori</t>
  </si>
  <si>
    <t>Thomas</t>
  </si>
  <si>
    <t>Rhea</t>
  </si>
  <si>
    <t>Amalia</t>
  </si>
  <si>
    <t>Kenneth</t>
  </si>
  <si>
    <t>Alexandria</t>
  </si>
  <si>
    <t>Theodore</t>
  </si>
  <si>
    <t>Adriana</t>
  </si>
  <si>
    <t>Teresa</t>
  </si>
  <si>
    <t>Elana</t>
  </si>
  <si>
    <t>Tony</t>
  </si>
  <si>
    <t>Stella</t>
  </si>
  <si>
    <t>Tiffany</t>
  </si>
  <si>
    <t>Simone</t>
  </si>
  <si>
    <t>Isheen</t>
  </si>
  <si>
    <t>Ralph</t>
  </si>
  <si>
    <t>Samantha</t>
  </si>
  <si>
    <t>Jaytee</t>
  </si>
  <si>
    <t>Tiyanna</t>
  </si>
  <si>
    <t>Leonard</t>
  </si>
  <si>
    <t>Anselma</t>
  </si>
  <si>
    <t>Israel</t>
  </si>
  <si>
    <t>Evelyn</t>
  </si>
  <si>
    <t>Marta</t>
  </si>
  <si>
    <t>Boris</t>
  </si>
  <si>
    <t>Lakisha</t>
  </si>
  <si>
    <t>Destiny</t>
  </si>
  <si>
    <t>Catherine</t>
  </si>
  <si>
    <t>Fiordaliza</t>
  </si>
  <si>
    <t>Kyianna</t>
  </si>
  <si>
    <t>Frances</t>
  </si>
  <si>
    <t>Archie</t>
  </si>
  <si>
    <t>Sultane</t>
  </si>
  <si>
    <t>Barbara</t>
  </si>
  <si>
    <t>Cassandra</t>
  </si>
  <si>
    <t>Marvilin</t>
  </si>
  <si>
    <t>Tshura</t>
  </si>
  <si>
    <t>Damon</t>
  </si>
  <si>
    <t>Antoine</t>
  </si>
  <si>
    <t>Emma</t>
  </si>
  <si>
    <t>Faisa</t>
  </si>
  <si>
    <t>Julien</t>
  </si>
  <si>
    <t>Nina</t>
  </si>
  <si>
    <t>Abibatu</t>
  </si>
  <si>
    <t>Josephine</t>
  </si>
  <si>
    <t>Phyllis</t>
  </si>
  <si>
    <t>Margo</t>
  </si>
  <si>
    <t>Anita</t>
  </si>
  <si>
    <t>Sydnee</t>
  </si>
  <si>
    <t>Kathy</t>
  </si>
  <si>
    <t>Theresa</t>
  </si>
  <si>
    <t>Courtney</t>
  </si>
  <si>
    <t>Dawn</t>
  </si>
  <si>
    <t>Mazie</t>
  </si>
  <si>
    <t>Rukiya</t>
  </si>
  <si>
    <t>Katie</t>
  </si>
  <si>
    <t>Amoo</t>
  </si>
  <si>
    <t>Starsheema</t>
  </si>
  <si>
    <t>Shaun</t>
  </si>
  <si>
    <t>Lucienne</t>
  </si>
  <si>
    <t>Tranae</t>
  </si>
  <si>
    <t>Judy</t>
  </si>
  <si>
    <t>Cameyo</t>
  </si>
  <si>
    <t>Laverne</t>
  </si>
  <si>
    <t>Andrea</t>
  </si>
  <si>
    <t>Renet</t>
  </si>
  <si>
    <t>Bryan</t>
  </si>
  <si>
    <t>India</t>
  </si>
  <si>
    <t>Jimmy</t>
  </si>
  <si>
    <t>Candyce</t>
  </si>
  <si>
    <t>Johnnymae</t>
  </si>
  <si>
    <t>Darrell</t>
  </si>
  <si>
    <t>Chinequa</t>
  </si>
  <si>
    <t>Hattie</t>
  </si>
  <si>
    <t>Kearra</t>
  </si>
  <si>
    <t>Gwenda</t>
  </si>
  <si>
    <t>Arlene</t>
  </si>
  <si>
    <t>Shahera</t>
  </si>
  <si>
    <t>Crystal</t>
  </si>
  <si>
    <t>Williemae</t>
  </si>
  <si>
    <t>Deneen</t>
  </si>
  <si>
    <t>Kim</t>
  </si>
  <si>
    <t>Maebell</t>
  </si>
  <si>
    <t>Everett</t>
  </si>
  <si>
    <t>Bianca</t>
  </si>
  <si>
    <t>Anderson</t>
  </si>
  <si>
    <t>Trudy</t>
  </si>
  <si>
    <t>Andrew</t>
  </si>
  <si>
    <t>Gloria</t>
  </si>
  <si>
    <t>Icemae</t>
  </si>
  <si>
    <t>Rolanda</t>
  </si>
  <si>
    <t>Shelley</t>
  </si>
  <si>
    <t>Alexander</t>
  </si>
  <si>
    <t>Irene</t>
  </si>
  <si>
    <t>Harold</t>
  </si>
  <si>
    <t>Sarah</t>
  </si>
  <si>
    <t>Maretta</t>
  </si>
  <si>
    <t>Johanna</t>
  </si>
  <si>
    <t>William</t>
  </si>
  <si>
    <t>Carmen</t>
  </si>
  <si>
    <t>Myrna</t>
  </si>
  <si>
    <t>Fabian</t>
  </si>
  <si>
    <t>Marie</t>
  </si>
  <si>
    <t>Sidi</t>
  </si>
  <si>
    <t>Ebony</t>
  </si>
  <si>
    <t>Zora</t>
  </si>
  <si>
    <t>Christopher</t>
  </si>
  <si>
    <t>Roc</t>
  </si>
  <si>
    <t>Leslie</t>
  </si>
  <si>
    <t>Tenisha</t>
  </si>
  <si>
    <t>Oleen</t>
  </si>
  <si>
    <t>Janet</t>
  </si>
  <si>
    <t>Della</t>
  </si>
  <si>
    <t>Olayemi</t>
  </si>
  <si>
    <t>Renee</t>
  </si>
  <si>
    <t>Trent</t>
  </si>
  <si>
    <t>Ingrid</t>
  </si>
  <si>
    <t>Armanda</t>
  </si>
  <si>
    <t>Doris</t>
  </si>
  <si>
    <t>Domingo</t>
  </si>
  <si>
    <t>Howard</t>
  </si>
  <si>
    <t>Tasliym</t>
  </si>
  <si>
    <t>Sernomia</t>
  </si>
  <si>
    <t>Raliat</t>
  </si>
  <si>
    <t>Janice</t>
  </si>
  <si>
    <t>Joi</t>
  </si>
  <si>
    <t>Gwendolyn</t>
  </si>
  <si>
    <t>Stephen</t>
  </si>
  <si>
    <t>Denise</t>
  </si>
  <si>
    <t>Yvonnia</t>
  </si>
  <si>
    <t>Star</t>
  </si>
  <si>
    <t>Alexis</t>
  </si>
  <si>
    <t>Sherifat</t>
  </si>
  <si>
    <t>Idayat</t>
  </si>
  <si>
    <t>Rahman</t>
  </si>
  <si>
    <t>Rufus</t>
  </si>
  <si>
    <t>Almetia</t>
  </si>
  <si>
    <t>Moduju</t>
  </si>
  <si>
    <t>Brannon</t>
  </si>
  <si>
    <t>Deyaniris</t>
  </si>
  <si>
    <t>Charisse</t>
  </si>
  <si>
    <t>Hazel</t>
  </si>
  <si>
    <t>Marva</t>
  </si>
  <si>
    <t>Lorraine</t>
  </si>
  <si>
    <t>Socorro</t>
  </si>
  <si>
    <t>Sherry-Ann</t>
  </si>
  <si>
    <t>Latoya</t>
  </si>
  <si>
    <t>Pearlina</t>
  </si>
  <si>
    <t>Jenny</t>
  </si>
  <si>
    <t>Deonna</t>
  </si>
  <si>
    <t>Bleuberthol</t>
  </si>
  <si>
    <t>Nastassja</t>
  </si>
  <si>
    <t>Kenneshea</t>
  </si>
  <si>
    <t>Cherry-Ann</t>
  </si>
  <si>
    <t>Rochell</t>
  </si>
  <si>
    <t>Cecily</t>
  </si>
  <si>
    <t>Annie</t>
  </si>
  <si>
    <t>Joanna</t>
  </si>
  <si>
    <t>Winifred</t>
  </si>
  <si>
    <t>Max</t>
  </si>
  <si>
    <t>Natalia</t>
  </si>
  <si>
    <t>Virginia</t>
  </si>
  <si>
    <t>Christine</t>
  </si>
  <si>
    <t>Isha</t>
  </si>
  <si>
    <t>Zondra</t>
  </si>
  <si>
    <t>Frederick</t>
  </si>
  <si>
    <t>Ruby</t>
  </si>
  <si>
    <t>Paul</t>
  </si>
  <si>
    <t>Mercedes</t>
  </si>
  <si>
    <t>Jamal</t>
  </si>
  <si>
    <t>Aisha</t>
  </si>
  <si>
    <t>Jhon</t>
  </si>
  <si>
    <t>Mylah</t>
  </si>
  <si>
    <t>Eshana</t>
  </si>
  <si>
    <t>Shakira</t>
  </si>
  <si>
    <t>Bennie</t>
  </si>
  <si>
    <t>Bryant</t>
  </si>
  <si>
    <t>Lavern</t>
  </si>
  <si>
    <t>Joan</t>
  </si>
  <si>
    <t>Sylvia</t>
  </si>
  <si>
    <t>Linda</t>
  </si>
  <si>
    <t>Desra</t>
  </si>
  <si>
    <t>Lupita</t>
  </si>
  <si>
    <t>Isi</t>
  </si>
  <si>
    <t>Mary Ann</t>
  </si>
  <si>
    <t>Beverly</t>
  </si>
  <si>
    <t>Miriam</t>
  </si>
  <si>
    <t>Steven</t>
  </si>
  <si>
    <t>Teshawna</t>
  </si>
  <si>
    <t>Shanikqua</t>
  </si>
  <si>
    <t>Lynn Marie</t>
  </si>
  <si>
    <t>Genitha</t>
  </si>
  <si>
    <t>Felesha</t>
  </si>
  <si>
    <t>Joshua</t>
  </si>
  <si>
    <t>Lovasia</t>
  </si>
  <si>
    <t>Jerome</t>
  </si>
  <si>
    <t>Olga</t>
  </si>
  <si>
    <t>Chrysanthius</t>
  </si>
  <si>
    <t>Shavien</t>
  </si>
  <si>
    <t>Britney</t>
  </si>
  <si>
    <t>Zelda</t>
  </si>
  <si>
    <t>Yarisa</t>
  </si>
  <si>
    <t>Latesha</t>
  </si>
  <si>
    <t>Celestine</t>
  </si>
  <si>
    <t>Rahtisha</t>
  </si>
  <si>
    <t>Arisleyda</t>
  </si>
  <si>
    <t>Charles</t>
  </si>
  <si>
    <t>Carla</t>
  </si>
  <si>
    <t>Kamal</t>
  </si>
  <si>
    <t>Karla</t>
  </si>
  <si>
    <t>Leston</t>
  </si>
  <si>
    <t>Jenaire</t>
  </si>
  <si>
    <t>Norberto</t>
  </si>
  <si>
    <t>Claudette</t>
  </si>
  <si>
    <t>Karyn</t>
  </si>
  <si>
    <t>Darlene</t>
  </si>
  <si>
    <t>Lisa</t>
  </si>
  <si>
    <t>Cerio</t>
  </si>
  <si>
    <t>Allen</t>
  </si>
  <si>
    <t>Blondet</t>
  </si>
  <si>
    <t>Loadholt</t>
  </si>
  <si>
    <t>Rice</t>
  </si>
  <si>
    <t>Theme</t>
  </si>
  <si>
    <t>Denton</t>
  </si>
  <si>
    <t>Roach</t>
  </si>
  <si>
    <t>Williams</t>
  </si>
  <si>
    <t>Perera</t>
  </si>
  <si>
    <t>Wellington</t>
  </si>
  <si>
    <t>Conway</t>
  </si>
  <si>
    <t>Deeges</t>
  </si>
  <si>
    <t>Fothergill</t>
  </si>
  <si>
    <t>loadholt</t>
  </si>
  <si>
    <t>Blowe</t>
  </si>
  <si>
    <t>Guity</t>
  </si>
  <si>
    <t>Smith</t>
  </si>
  <si>
    <t>Sanchez</t>
  </si>
  <si>
    <t>Aristomene</t>
  </si>
  <si>
    <t>Caballero</t>
  </si>
  <si>
    <t>Baxter</t>
  </si>
  <si>
    <t>Cummings</t>
  </si>
  <si>
    <t>Abdullah</t>
  </si>
  <si>
    <t>Warren</t>
  </si>
  <si>
    <t>Jiggetts</t>
  </si>
  <si>
    <t>Johnson</t>
  </si>
  <si>
    <t>Cabral</t>
  </si>
  <si>
    <t>Rougier-Marshall</t>
  </si>
  <si>
    <t>Chavarria</t>
  </si>
  <si>
    <t>Bibins</t>
  </si>
  <si>
    <t>Dingle</t>
  </si>
  <si>
    <t>McLawrence</t>
  </si>
  <si>
    <t>Denis</t>
  </si>
  <si>
    <t>Brown</t>
  </si>
  <si>
    <t>Hamilton</t>
  </si>
  <si>
    <t>Love</t>
  </si>
  <si>
    <t>Perry</t>
  </si>
  <si>
    <t>Knowles</t>
  </si>
  <si>
    <t>Jones (NP)</t>
  </si>
  <si>
    <t>Ford Simmons</t>
  </si>
  <si>
    <t>Jones (HO)</t>
  </si>
  <si>
    <t>Douglas</t>
  </si>
  <si>
    <t>Brannigan</t>
  </si>
  <si>
    <t>Izepia</t>
  </si>
  <si>
    <t>Martinez</t>
  </si>
  <si>
    <t>Francis</t>
  </si>
  <si>
    <t>Ruiz</t>
  </si>
  <si>
    <t>leonard</t>
  </si>
  <si>
    <t>Pittman</t>
  </si>
  <si>
    <t>Telford</t>
  </si>
  <si>
    <t>Terris</t>
  </si>
  <si>
    <t>McDonald</t>
  </si>
  <si>
    <t>King</t>
  </si>
  <si>
    <t>Ifill</t>
  </si>
  <si>
    <t>Shaw</t>
  </si>
  <si>
    <t>McDowell-Butts</t>
  </si>
  <si>
    <t>Davidson</t>
  </si>
  <si>
    <t>Turner-Matos</t>
  </si>
  <si>
    <t>Fofana</t>
  </si>
  <si>
    <t>Newkirk</t>
  </si>
  <si>
    <t>Edmonds</t>
  </si>
  <si>
    <t>Oyebade</t>
  </si>
  <si>
    <t>Chestnut</t>
  </si>
  <si>
    <t>Adu</t>
  </si>
  <si>
    <t>Graham</t>
  </si>
  <si>
    <t>Rodriguez</t>
  </si>
  <si>
    <t>Figueroa</t>
  </si>
  <si>
    <t>Keith</t>
  </si>
  <si>
    <t>Diaz</t>
  </si>
  <si>
    <t>Stewart</t>
  </si>
  <si>
    <t>Brathwaite</t>
  </si>
  <si>
    <t>Lucas</t>
  </si>
  <si>
    <t>Thompson</t>
  </si>
  <si>
    <t>De La Cruz</t>
  </si>
  <si>
    <t>Defreitas</t>
  </si>
  <si>
    <t>Cruz</t>
  </si>
  <si>
    <t>Respes</t>
  </si>
  <si>
    <t>Jones</t>
  </si>
  <si>
    <t>Mahon</t>
  </si>
  <si>
    <t>Goode</t>
  </si>
  <si>
    <t>Stevens</t>
  </si>
  <si>
    <t>Sancya</t>
  </si>
  <si>
    <t>Morris</t>
  </si>
  <si>
    <t>Suru</t>
  </si>
  <si>
    <t>Brea</t>
  </si>
  <si>
    <t>Seabrooks</t>
  </si>
  <si>
    <t>Wilson</t>
  </si>
  <si>
    <t>Tirado</t>
  </si>
  <si>
    <t>Gomez</t>
  </si>
  <si>
    <t>Pou</t>
  </si>
  <si>
    <t>Simon</t>
  </si>
  <si>
    <t>Bromell</t>
  </si>
  <si>
    <t>Washington</t>
  </si>
  <si>
    <t>Kemp</t>
  </si>
  <si>
    <t>Lisbon</t>
  </si>
  <si>
    <t>McCarter-Yates</t>
  </si>
  <si>
    <t>Baity</t>
  </si>
  <si>
    <t>Kennedy</t>
  </si>
  <si>
    <t>Morgan</t>
  </si>
  <si>
    <t>Salcedo</t>
  </si>
  <si>
    <t>Lawrence</t>
  </si>
  <si>
    <t>Walker</t>
  </si>
  <si>
    <t>Baououi</t>
  </si>
  <si>
    <t>Jackson</t>
  </si>
  <si>
    <t>Watkins</t>
  </si>
  <si>
    <t>Altgibers</t>
  </si>
  <si>
    <t>Velasquez</t>
  </si>
  <si>
    <t>Torres</t>
  </si>
  <si>
    <t>Browne-James</t>
  </si>
  <si>
    <t>Surgeon</t>
  </si>
  <si>
    <t>Coletta</t>
  </si>
  <si>
    <t>Jolley</t>
  </si>
  <si>
    <t>Skinner</t>
  </si>
  <si>
    <t>George</t>
  </si>
  <si>
    <t>Chatman</t>
  </si>
  <si>
    <t>Biggs</t>
  </si>
  <si>
    <t>Benjamin</t>
  </si>
  <si>
    <t>Goodwin</t>
  </si>
  <si>
    <t>Muller</t>
  </si>
  <si>
    <t>Reese</t>
  </si>
  <si>
    <t>Hanes</t>
  </si>
  <si>
    <t>Martin</t>
  </si>
  <si>
    <t>Brooks</t>
  </si>
  <si>
    <t>Bernal</t>
  </si>
  <si>
    <t>Applewhite</t>
  </si>
  <si>
    <t>Davis</t>
  </si>
  <si>
    <t>Adesanya</t>
  </si>
  <si>
    <t>Pierre</t>
  </si>
  <si>
    <t>Lamberty</t>
  </si>
  <si>
    <t>Fraser</t>
  </si>
  <si>
    <t>Colon</t>
  </si>
  <si>
    <t>Macias</t>
  </si>
  <si>
    <t>Brunson</t>
  </si>
  <si>
    <t>Hill</t>
  </si>
  <si>
    <t>Barfield</t>
  </si>
  <si>
    <t>Jarrell</t>
  </si>
  <si>
    <t>Weston</t>
  </si>
  <si>
    <t>Mullings</t>
  </si>
  <si>
    <t>Daux</t>
  </si>
  <si>
    <t>Santiago</t>
  </si>
  <si>
    <t>Osbourne Garlington</t>
  </si>
  <si>
    <t>Lewis</t>
  </si>
  <si>
    <t>Shaffner</t>
  </si>
  <si>
    <t>Cobb</t>
  </si>
  <si>
    <t>Banks</t>
  </si>
  <si>
    <t>Desmond</t>
  </si>
  <si>
    <t>Caldero</t>
  </si>
  <si>
    <t>Taguchi</t>
  </si>
  <si>
    <t>Miller</t>
  </si>
  <si>
    <t>Carbonell</t>
  </si>
  <si>
    <t>Flotteron</t>
  </si>
  <si>
    <t>Cole</t>
  </si>
  <si>
    <t>Richardson</t>
  </si>
  <si>
    <t>Winkler</t>
  </si>
  <si>
    <t>Zeno</t>
  </si>
  <si>
    <t>Hicks</t>
  </si>
  <si>
    <t>Osbourne Garlinton</t>
  </si>
  <si>
    <t>Shabazz</t>
  </si>
  <si>
    <t>Hays</t>
  </si>
  <si>
    <t>Munzer</t>
  </si>
  <si>
    <t>Horton</t>
  </si>
  <si>
    <t>Islam</t>
  </si>
  <si>
    <t>Scrubb</t>
  </si>
  <si>
    <t>Bauminger</t>
  </si>
  <si>
    <t>Qi</t>
  </si>
  <si>
    <t>Pariser</t>
  </si>
  <si>
    <t>Nembhard</t>
  </si>
  <si>
    <t>Macaldo</t>
  </si>
  <si>
    <t>Robillard</t>
  </si>
  <si>
    <t>Sumler</t>
  </si>
  <si>
    <t>Rothenberg</t>
  </si>
  <si>
    <t>Pounding</t>
  </si>
  <si>
    <t>Obregon</t>
  </si>
  <si>
    <t>Page</t>
  </si>
  <si>
    <t>Leach</t>
  </si>
  <si>
    <t>Barrett</t>
  </si>
  <si>
    <t>Tanzil-Onne</t>
  </si>
  <si>
    <t>Miyamoto</t>
  </si>
  <si>
    <t>Hayardeny</t>
  </si>
  <si>
    <t>Shea</t>
  </si>
  <si>
    <t>Purvis</t>
  </si>
  <si>
    <t>Holder</t>
  </si>
  <si>
    <t>Stalling</t>
  </si>
  <si>
    <t>Bowman</t>
  </si>
  <si>
    <t>Haywood</t>
  </si>
  <si>
    <t>Perez</t>
  </si>
  <si>
    <t>Bain</t>
  </si>
  <si>
    <t>Audige</t>
  </si>
  <si>
    <t>Sheen</t>
  </si>
  <si>
    <t>Waithe</t>
  </si>
  <si>
    <t>Robinson</t>
  </si>
  <si>
    <t>Armstrong</t>
  </si>
  <si>
    <t>Charles Garrett</t>
  </si>
  <si>
    <t>Gardner</t>
  </si>
  <si>
    <t>Duncan</t>
  </si>
  <si>
    <t>Baptiste</t>
  </si>
  <si>
    <t>Hernandez</t>
  </si>
  <si>
    <t>Lambert</t>
  </si>
  <si>
    <t>Turner</t>
  </si>
  <si>
    <t>Melville Johnson</t>
  </si>
  <si>
    <t>Pratt</t>
  </si>
  <si>
    <t>Patrong</t>
  </si>
  <si>
    <t>Ramsey</t>
  </si>
  <si>
    <t>Lowery</t>
  </si>
  <si>
    <t>Stafford</t>
  </si>
  <si>
    <t>Clarke</t>
  </si>
  <si>
    <t>Sharpe</t>
  </si>
  <si>
    <t>Guzman</t>
  </si>
  <si>
    <t>Alleyne</t>
  </si>
  <si>
    <t>Giddings</t>
  </si>
  <si>
    <t>Dunkin</t>
  </si>
  <si>
    <t>Reynolds</t>
  </si>
  <si>
    <t>Soto</t>
  </si>
  <si>
    <t>Philbert</t>
  </si>
  <si>
    <t>Boatright</t>
  </si>
  <si>
    <t>Medina</t>
  </si>
  <si>
    <t>Wheelock</t>
  </si>
  <si>
    <t>Walsh</t>
  </si>
  <si>
    <t>Nicholas</t>
  </si>
  <si>
    <t>Katzman</t>
  </si>
  <si>
    <t>Ward</t>
  </si>
  <si>
    <t>Braun</t>
  </si>
  <si>
    <t>Toombs</t>
  </si>
  <si>
    <t>Fernanders</t>
  </si>
  <si>
    <t>Whitfield</t>
  </si>
  <si>
    <t>Coleman</t>
  </si>
  <si>
    <t>Tolbert</t>
  </si>
  <si>
    <t>Mtambuzi</t>
  </si>
  <si>
    <t>Carter</t>
  </si>
  <si>
    <t>Threets</t>
  </si>
  <si>
    <t>Allmond</t>
  </si>
  <si>
    <t>Leed</t>
  </si>
  <si>
    <t>Witherspoon</t>
  </si>
  <si>
    <t>Fernandez-McCall</t>
  </si>
  <si>
    <t>Lugay</t>
  </si>
  <si>
    <t>Collazo</t>
  </si>
  <si>
    <t>Wynn</t>
  </si>
  <si>
    <t>Tucker</t>
  </si>
  <si>
    <t>Porter</t>
  </si>
  <si>
    <t>Pearsall</t>
  </si>
  <si>
    <t>Warnick</t>
  </si>
  <si>
    <t>Benu</t>
  </si>
  <si>
    <t>Hankerson</t>
  </si>
  <si>
    <t>Blackman</t>
  </si>
  <si>
    <t>Ceneus</t>
  </si>
  <si>
    <t>Bougouneau</t>
  </si>
  <si>
    <t>Stribling</t>
  </si>
  <si>
    <t>Byfield</t>
  </si>
  <si>
    <t>Carrasco</t>
  </si>
  <si>
    <t>Glenn</t>
  </si>
  <si>
    <t>McKelvey</t>
  </si>
  <si>
    <t>Omadhan</t>
  </si>
  <si>
    <t>Freeman</t>
  </si>
  <si>
    <t>Cruz Lopez</t>
  </si>
  <si>
    <t>Matthews</t>
  </si>
  <si>
    <t>Edwards</t>
  </si>
  <si>
    <t>Moore</t>
  </si>
  <si>
    <t>Evans</t>
  </si>
  <si>
    <t>Hostos</t>
  </si>
  <si>
    <t>Frizzelle</t>
  </si>
  <si>
    <t>Almanzar</t>
  </si>
  <si>
    <t>Santos</t>
  </si>
  <si>
    <t>Willocle</t>
  </si>
  <si>
    <t>Ortiz</t>
  </si>
  <si>
    <t>McGreer</t>
  </si>
  <si>
    <t>Nicholson</t>
  </si>
  <si>
    <t>Valentine</t>
  </si>
  <si>
    <t>Rivera</t>
  </si>
  <si>
    <t>Delaney</t>
  </si>
  <si>
    <t>paez</t>
  </si>
  <si>
    <t>Steinberg</t>
  </si>
  <si>
    <t>Wheeler</t>
  </si>
  <si>
    <t>Longmore</t>
  </si>
  <si>
    <t>German</t>
  </si>
  <si>
    <t>Campbell</t>
  </si>
  <si>
    <t>Key</t>
  </si>
  <si>
    <t>May</t>
  </si>
  <si>
    <t>McNish</t>
  </si>
  <si>
    <t>Wade</t>
  </si>
  <si>
    <t>Crevelle</t>
  </si>
  <si>
    <t>Grant</t>
  </si>
  <si>
    <t>Wrisdon</t>
  </si>
  <si>
    <t>Marajh</t>
  </si>
  <si>
    <t>Caraballo</t>
  </si>
  <si>
    <t>Worrell</t>
  </si>
  <si>
    <t>Gonzalez</t>
  </si>
  <si>
    <t>Gatling</t>
  </si>
  <si>
    <t>Commissiong</t>
  </si>
  <si>
    <t>Hustus</t>
  </si>
  <si>
    <t>Pichardo</t>
  </si>
  <si>
    <t>Pressley</t>
  </si>
  <si>
    <t>Salaam</t>
  </si>
  <si>
    <t>Jouvert</t>
  </si>
  <si>
    <t>Robles</t>
  </si>
  <si>
    <t>Engelson</t>
  </si>
  <si>
    <t>Taylor</t>
  </si>
  <si>
    <t>Holland Upsher</t>
  </si>
  <si>
    <t>James</t>
  </si>
  <si>
    <t>Hilario</t>
  </si>
  <si>
    <t>Hawkins</t>
  </si>
  <si>
    <t>Roman</t>
  </si>
  <si>
    <t>Bennett</t>
  </si>
  <si>
    <t>Marcano</t>
  </si>
  <si>
    <t>Hatcher</t>
  </si>
  <si>
    <t>Ramirez</t>
  </si>
  <si>
    <t>Willis</t>
  </si>
  <si>
    <t>Felix</t>
  </si>
  <si>
    <t>Morain</t>
  </si>
  <si>
    <t>Matty</t>
  </si>
  <si>
    <t>Watson</t>
  </si>
  <si>
    <t>Dor</t>
  </si>
  <si>
    <t>Pompey</t>
  </si>
  <si>
    <t>Christmas</t>
  </si>
  <si>
    <t>Wells</t>
  </si>
  <si>
    <t>Burrows</t>
  </si>
  <si>
    <t>Spencer</t>
  </si>
  <si>
    <t>Boddie</t>
  </si>
  <si>
    <t>Sancho</t>
  </si>
  <si>
    <t>Nistor</t>
  </si>
  <si>
    <t>Hinkson</t>
  </si>
  <si>
    <t>Lewin</t>
  </si>
  <si>
    <t>Woolford</t>
  </si>
  <si>
    <t>Rosado</t>
  </si>
  <si>
    <t>Blyden</t>
  </si>
  <si>
    <t>Goch</t>
  </si>
  <si>
    <t>Morales</t>
  </si>
  <si>
    <t>Alvarez</t>
  </si>
  <si>
    <t>Cheeks</t>
  </si>
  <si>
    <t>Holmes</t>
  </si>
  <si>
    <t>Sasson</t>
  </si>
  <si>
    <t>Olabiyi</t>
  </si>
  <si>
    <t>Darby</t>
  </si>
  <si>
    <t>Best</t>
  </si>
  <si>
    <t>Nazario</t>
  </si>
  <si>
    <t>Spurgeon</t>
  </si>
  <si>
    <t>Liriano</t>
  </si>
  <si>
    <t>Cameron</t>
  </si>
  <si>
    <t>Bowe</t>
  </si>
  <si>
    <t>Sayers Joseph</t>
  </si>
  <si>
    <t>Barrionuevo</t>
  </si>
  <si>
    <t>Tanco</t>
  </si>
  <si>
    <t>Stubbs</t>
  </si>
  <si>
    <t>Del Pilar Cabrera</t>
  </si>
  <si>
    <t>Paula Martinez</t>
  </si>
  <si>
    <t>Patterson</t>
  </si>
  <si>
    <t>Castro</t>
  </si>
  <si>
    <t>Murray</t>
  </si>
  <si>
    <t>Tejada</t>
  </si>
  <si>
    <t>Narcisse</t>
  </si>
  <si>
    <t>Hiraldo</t>
  </si>
  <si>
    <t>White</t>
  </si>
  <si>
    <t>Vanderhorst</t>
  </si>
  <si>
    <t>Wanko</t>
  </si>
  <si>
    <t>Neville</t>
  </si>
  <si>
    <t>Cousin</t>
  </si>
  <si>
    <t>Tidwell</t>
  </si>
  <si>
    <t>Davila</t>
  </si>
  <si>
    <t>Ali</t>
  </si>
  <si>
    <t>Kinoo</t>
  </si>
  <si>
    <t>Konteh</t>
  </si>
  <si>
    <t>Yates</t>
  </si>
  <si>
    <t>Booker</t>
  </si>
  <si>
    <t>Corriders</t>
  </si>
  <si>
    <t>Grayson</t>
  </si>
  <si>
    <t>Cockfield</t>
  </si>
  <si>
    <t>Jefferey</t>
  </si>
  <si>
    <t>Kellman</t>
  </si>
  <si>
    <t>Sylvester</t>
  </si>
  <si>
    <t>McMurtry Somerville</t>
  </si>
  <si>
    <t>Akinyele</t>
  </si>
  <si>
    <t>Cotton</t>
  </si>
  <si>
    <t>Lombard</t>
  </si>
  <si>
    <t>Moran</t>
  </si>
  <si>
    <t>Young</t>
  </si>
  <si>
    <t>Belin</t>
  </si>
  <si>
    <t>Bettis</t>
  </si>
  <si>
    <t>Harris</t>
  </si>
  <si>
    <t>McCullovgh</t>
  </si>
  <si>
    <t>Scott</t>
  </si>
  <si>
    <t>Pettus</t>
  </si>
  <si>
    <t>Jean-Simon</t>
  </si>
  <si>
    <t>Harvey</t>
  </si>
  <si>
    <t>Fashionne</t>
  </si>
  <si>
    <t>Fortune</t>
  </si>
  <si>
    <t>Frye</t>
  </si>
  <si>
    <t>Mullin</t>
  </si>
  <si>
    <t>Lilley</t>
  </si>
  <si>
    <t>McCartney</t>
  </si>
  <si>
    <t>Peterkin</t>
  </si>
  <si>
    <t>McIntosh</t>
  </si>
  <si>
    <t>Lamar</t>
  </si>
  <si>
    <t>Daniels</t>
  </si>
  <si>
    <t>Mcrae</t>
  </si>
  <si>
    <t>Blondell</t>
  </si>
  <si>
    <t>Boomer</t>
  </si>
  <si>
    <t>Gras</t>
  </si>
  <si>
    <t>Jimenez</t>
  </si>
  <si>
    <t>Barlon</t>
  </si>
  <si>
    <t>Rowe</t>
  </si>
  <si>
    <t>Saheed</t>
  </si>
  <si>
    <t>Leitch</t>
  </si>
  <si>
    <t>Downes</t>
  </si>
  <si>
    <t>Winston-Orr</t>
  </si>
  <si>
    <t>Dixon</t>
  </si>
  <si>
    <t>Correy</t>
  </si>
  <si>
    <t>Phillips</t>
  </si>
  <si>
    <t>Wise</t>
  </si>
  <si>
    <t>Saunders Burks</t>
  </si>
  <si>
    <t>McKinney</t>
  </si>
  <si>
    <t>Cordero</t>
  </si>
  <si>
    <t>Russell</t>
  </si>
  <si>
    <t>Dubois</t>
  </si>
  <si>
    <t>Mainor</t>
  </si>
  <si>
    <t>Brinson</t>
  </si>
  <si>
    <t>Buckle</t>
  </si>
  <si>
    <t>Greene</t>
  </si>
  <si>
    <t>Montalvo</t>
  </si>
  <si>
    <t>Rogers</t>
  </si>
  <si>
    <t>Locklear</t>
  </si>
  <si>
    <t>Somorin</t>
  </si>
  <si>
    <t>Roseboro</t>
  </si>
  <si>
    <t>O'Conner Middleton</t>
  </si>
  <si>
    <t>Bailey</t>
  </si>
  <si>
    <t>Hardamon</t>
  </si>
  <si>
    <t>Manning</t>
  </si>
  <si>
    <t>Magny</t>
  </si>
  <si>
    <t>Hart</t>
  </si>
  <si>
    <t>Arnold</t>
  </si>
  <si>
    <t>Calabrese</t>
  </si>
  <si>
    <t>Durham</t>
  </si>
  <si>
    <t>Regis</t>
  </si>
  <si>
    <t>Vanterpool</t>
  </si>
  <si>
    <t>Fadeyi</t>
  </si>
  <si>
    <t>Nwaoha</t>
  </si>
  <si>
    <t>Abiodun</t>
  </si>
  <si>
    <t>Cardenas</t>
  </si>
  <si>
    <t>Henry</t>
  </si>
  <si>
    <t>Harewood</t>
  </si>
  <si>
    <t>Brewer</t>
  </si>
  <si>
    <t>Kinsey-Clark</t>
  </si>
  <si>
    <t>Roberts</t>
  </si>
  <si>
    <t>Poole</t>
  </si>
  <si>
    <t>Faulk</t>
  </si>
  <si>
    <t>Sarvis</t>
  </si>
  <si>
    <t>Stokes</t>
  </si>
  <si>
    <t>Adeleye</t>
  </si>
  <si>
    <t>McLaughlin</t>
  </si>
  <si>
    <t>Lyons</t>
  </si>
  <si>
    <t>Stone</t>
  </si>
  <si>
    <t>St Louis</t>
  </si>
  <si>
    <t>Merritt</t>
  </si>
  <si>
    <t>St. Louis</t>
  </si>
  <si>
    <t>Franks</t>
  </si>
  <si>
    <t>Debnam</t>
  </si>
  <si>
    <t>Omisola</t>
  </si>
  <si>
    <t>Lawal</t>
  </si>
  <si>
    <t>Daniel</t>
  </si>
  <si>
    <t>Hunte</t>
  </si>
  <si>
    <t>Dawodu</t>
  </si>
  <si>
    <t>Griffin</t>
  </si>
  <si>
    <t>Fowler</t>
  </si>
  <si>
    <t>Gadsden</t>
  </si>
  <si>
    <t>Adigun</t>
  </si>
  <si>
    <t>Crawford</t>
  </si>
  <si>
    <t>Foxe</t>
  </si>
  <si>
    <t>Furs</t>
  </si>
  <si>
    <t>Hierro</t>
  </si>
  <si>
    <t>Hazell</t>
  </si>
  <si>
    <t>Sanguinetti</t>
  </si>
  <si>
    <t>Trotman</t>
  </si>
  <si>
    <t>Dargan</t>
  </si>
  <si>
    <t>Collier</t>
  </si>
  <si>
    <t>Wiggins</t>
  </si>
  <si>
    <t>Joseph</t>
  </si>
  <si>
    <t>McQueen</t>
  </si>
  <si>
    <t>Lopez</t>
  </si>
  <si>
    <t>Almaguer</t>
  </si>
  <si>
    <t>Borrero</t>
  </si>
  <si>
    <t>Allums</t>
  </si>
  <si>
    <t>Murphy</t>
  </si>
  <si>
    <t>Mayers</t>
  </si>
  <si>
    <t>Rosemond</t>
  </si>
  <si>
    <t>Englander</t>
  </si>
  <si>
    <t>Borovikova</t>
  </si>
  <si>
    <t>Jimenez Perez</t>
  </si>
  <si>
    <t>Rollgier-Marshall</t>
  </si>
  <si>
    <t>Broadhead</t>
  </si>
  <si>
    <t>Monrose</t>
  </si>
  <si>
    <t>Drayton</t>
  </si>
  <si>
    <t>Cumberbatch</t>
  </si>
  <si>
    <t>Velastegui</t>
  </si>
  <si>
    <t>Sawney-Calliste</t>
  </si>
  <si>
    <t>Dotson</t>
  </si>
  <si>
    <t>Herrington</t>
  </si>
  <si>
    <t>McGrane</t>
  </si>
  <si>
    <t>Muhammad</t>
  </si>
  <si>
    <t>Spielmann</t>
  </si>
  <si>
    <t>Kirama</t>
  </si>
  <si>
    <t>Nuredin</t>
  </si>
  <si>
    <t>Romano</t>
  </si>
  <si>
    <t>Saavedra</t>
  </si>
  <si>
    <t>Hojilla</t>
  </si>
  <si>
    <t>Balletta</t>
  </si>
  <si>
    <t>Mendiola</t>
  </si>
  <si>
    <t>Fogarthy</t>
  </si>
  <si>
    <t>Cuesta-Guiffre</t>
  </si>
  <si>
    <t>France</t>
  </si>
  <si>
    <t>Josephs</t>
  </si>
  <si>
    <t>Hickson</t>
  </si>
  <si>
    <t>Bostick</t>
  </si>
  <si>
    <t>Cade</t>
  </si>
  <si>
    <t>Mitchell</t>
  </si>
  <si>
    <t>Montanaro</t>
  </si>
  <si>
    <t>Calderon</t>
  </si>
  <si>
    <t>Fernandez</t>
  </si>
  <si>
    <t>Nolan</t>
  </si>
  <si>
    <t>Collins</t>
  </si>
  <si>
    <t>Nunez</t>
  </si>
  <si>
    <t>Acosta</t>
  </si>
  <si>
    <t>Burrowes</t>
  </si>
  <si>
    <t>Mackey</t>
  </si>
  <si>
    <t>Elmore</t>
  </si>
  <si>
    <t>Otho</t>
  </si>
  <si>
    <t>Lifshits</t>
  </si>
  <si>
    <t>Mccolley</t>
  </si>
  <si>
    <t>Maxey</t>
  </si>
  <si>
    <t>McColley</t>
  </si>
  <si>
    <t>Hazelton</t>
  </si>
  <si>
    <t>Martinez Guzman</t>
  </si>
  <si>
    <t>Summers</t>
  </si>
  <si>
    <t>Raines</t>
  </si>
  <si>
    <t>Triola</t>
  </si>
  <si>
    <t>Fagan</t>
  </si>
  <si>
    <t>Uddin</t>
  </si>
  <si>
    <t>Carrington</t>
  </si>
  <si>
    <t>Cupid</t>
  </si>
  <si>
    <t>Villanueva</t>
  </si>
  <si>
    <t>Zapata</t>
  </si>
  <si>
    <t>McCune</t>
  </si>
  <si>
    <t>Sampson</t>
  </si>
  <si>
    <t>Webster-Blair</t>
  </si>
  <si>
    <t>Lynch</t>
  </si>
  <si>
    <t>444 Avenue X</t>
  </si>
  <si>
    <t>412 Macon St</t>
  </si>
  <si>
    <t>399 Kosciuszko St</t>
  </si>
  <si>
    <t>984 Greene Ave</t>
  </si>
  <si>
    <t>182 Ralph Ave</t>
  </si>
  <si>
    <t>1035 Willmohr St</t>
  </si>
  <si>
    <t>895 Mother gaston blvd</t>
  </si>
  <si>
    <t>403 Kosciuszko St</t>
  </si>
  <si>
    <t>841 Halsey St</t>
  </si>
  <si>
    <t>1068 Winthrop St</t>
  </si>
  <si>
    <t>506 Decatur St</t>
  </si>
  <si>
    <t>2026 Nostrand Ave</t>
  </si>
  <si>
    <t>184 Irving Ave</t>
  </si>
  <si>
    <t>562 Bainbridge St</t>
  </si>
  <si>
    <t>209 Ralph Ave</t>
  </si>
  <si>
    <t>902 Drew St</t>
  </si>
  <si>
    <t>603 Mother Gaston Blvd</t>
  </si>
  <si>
    <t>91 Junius St</t>
  </si>
  <si>
    <t>1003 Willmohr St</t>
  </si>
  <si>
    <t>749 Lafayette Ave</t>
  </si>
  <si>
    <t>107 Somers St</t>
  </si>
  <si>
    <t>216 Rockaway Ave</t>
  </si>
  <si>
    <t>535 E 142nd St</t>
  </si>
  <si>
    <t>1938 Bronxdale Ave</t>
  </si>
  <si>
    <t>1018 Eastern Pkwy</t>
  </si>
  <si>
    <t>263 Prospect Park W</t>
  </si>
  <si>
    <t>1074 Eastern Pkwy</t>
  </si>
  <si>
    <t>178 Rockaway Pkwy</t>
  </si>
  <si>
    <t>178 Rockaway PKWY</t>
  </si>
  <si>
    <t>1460 Sterling Pl</t>
  </si>
  <si>
    <t>399 Kosciuszko st</t>
  </si>
  <si>
    <t>49 Tapscott St</t>
  </si>
  <si>
    <t>211 Marion St</t>
  </si>
  <si>
    <t>694 Rockaway Ave</t>
  </si>
  <si>
    <t>899 Montgomery St</t>
  </si>
  <si>
    <t>336 Elton St</t>
  </si>
  <si>
    <t>285 Bainbridge St</t>
  </si>
  <si>
    <t>207 Bainbridge St</t>
  </si>
  <si>
    <t>395 Autumn Ave</t>
  </si>
  <si>
    <t>510 Chauncey st</t>
  </si>
  <si>
    <t>130 Vandalia Ave</t>
  </si>
  <si>
    <t>2830 Pitkin Ave</t>
  </si>
  <si>
    <t>1150 E 100th St</t>
  </si>
  <si>
    <t>251 Mother Gaston Blvd</t>
  </si>
  <si>
    <t>662 Halsey St</t>
  </si>
  <si>
    <t>257 Mother Gaston Blvd</t>
  </si>
  <si>
    <t>715 Riverdale Ave</t>
  </si>
  <si>
    <t>445 Linwood St</t>
  </si>
  <si>
    <t>327 Franklin Ave</t>
  </si>
  <si>
    <t>9427 Kings Hwy</t>
  </si>
  <si>
    <t>477 Saratoga Ave</t>
  </si>
  <si>
    <t>274 E 93rd St</t>
  </si>
  <si>
    <t>2239 Creston Ave</t>
  </si>
  <si>
    <t>455 Linwood St</t>
  </si>
  <si>
    <t>211 W 101st St</t>
  </si>
  <si>
    <t>792 Sterling Pl</t>
  </si>
  <si>
    <t>1631 Saint Marks Ave</t>
  </si>
  <si>
    <t>443 Wyona St</t>
  </si>
  <si>
    <t>1111 Grant Ave</t>
  </si>
  <si>
    <t>380 Schenck Ave</t>
  </si>
  <si>
    <t>1661 Saint Johns Pl</t>
  </si>
  <si>
    <t>903 Drew St</t>
  </si>
  <si>
    <t>2 Elton St</t>
  </si>
  <si>
    <t>865 Thomas S Boyland St</t>
  </si>
  <si>
    <t>482 Riverdale Ave</t>
  </si>
  <si>
    <t>63 Hull St</t>
  </si>
  <si>
    <t>675 Lincoln Ave</t>
  </si>
  <si>
    <t>430 New Jersey Ave</t>
  </si>
  <si>
    <t>349 Rockaway Pkwy</t>
  </si>
  <si>
    <t>1570 Eastern Pkwy</t>
  </si>
  <si>
    <t>1918 Pacific St</t>
  </si>
  <si>
    <t>300 Vernon Ave</t>
  </si>
  <si>
    <t>176 Mckinley Ave</t>
  </si>
  <si>
    <t>735 Lincoln Ave</t>
  </si>
  <si>
    <t>701 Avenue C</t>
  </si>
  <si>
    <t>209 Sumpter St</t>
  </si>
  <si>
    <t>110 Chauncey st</t>
  </si>
  <si>
    <t>249 Thomas S Boyland St</t>
  </si>
  <si>
    <t>433 Halsey St</t>
  </si>
  <si>
    <t>414 E 94th St</t>
  </si>
  <si>
    <t>1933 Union St</t>
  </si>
  <si>
    <t>867 Saint Marks Ave</t>
  </si>
  <si>
    <t>725 Miller Ave</t>
  </si>
  <si>
    <t>461 Milford St</t>
  </si>
  <si>
    <t>205 Boerum St</t>
  </si>
  <si>
    <t>404 Williams Ave</t>
  </si>
  <si>
    <t>1805 Pitkin Ave</t>
  </si>
  <si>
    <t>271 67th st</t>
  </si>
  <si>
    <t>110 Rochester Ave</t>
  </si>
  <si>
    <t>316 Stuyvesant ave</t>
  </si>
  <si>
    <t>95 E 18th St</t>
  </si>
  <si>
    <t>2112 Fulton St</t>
  </si>
  <si>
    <t>860 Belmont Ave</t>
  </si>
  <si>
    <t>35 E 94th St</t>
  </si>
  <si>
    <t>757 Pine St</t>
  </si>
  <si>
    <t>2170 Atlantic Ave</t>
  </si>
  <si>
    <t>295A Bainbridge St</t>
  </si>
  <si>
    <t>499 Linwood St</t>
  </si>
  <si>
    <t>774 Rockaway Ave</t>
  </si>
  <si>
    <t>1711 Fulton st</t>
  </si>
  <si>
    <t>2158 Atlantic Ave</t>
  </si>
  <si>
    <t>927 Lenox Rd</t>
  </si>
  <si>
    <t>2181 Pacific St</t>
  </si>
  <si>
    <t>800 Hancock St</t>
  </si>
  <si>
    <t>1320 Eastern Pkwy</t>
  </si>
  <si>
    <t>178 Riverdale Ave</t>
  </si>
  <si>
    <t>624 Howard Ave</t>
  </si>
  <si>
    <t>232 Schenectady Ave</t>
  </si>
  <si>
    <t>612 Vermont St</t>
  </si>
  <si>
    <t>167 Newport St</t>
  </si>
  <si>
    <t>2181 Strauss St</t>
  </si>
  <si>
    <t>54 Bristol St</t>
  </si>
  <si>
    <t>550 Snediker Ave</t>
  </si>
  <si>
    <t>381 Sumpter St</t>
  </si>
  <si>
    <t>2106 Union St</t>
  </si>
  <si>
    <t>719 Chauncey St</t>
  </si>
  <si>
    <t>377 Chauncey St</t>
  </si>
  <si>
    <t>405 Rockaway Pkwy</t>
  </si>
  <si>
    <t>283 Linden St</t>
  </si>
  <si>
    <t>67 Doscher st</t>
  </si>
  <si>
    <t>1825 Atlantic Ave</t>
  </si>
  <si>
    <t>575 Hancock st</t>
  </si>
  <si>
    <t>549 Cleveland St</t>
  </si>
  <si>
    <t>1711 Fulton St</t>
  </si>
  <si>
    <t>1460 Pennsylvania Ave</t>
  </si>
  <si>
    <t>2187 Strauss St</t>
  </si>
  <si>
    <t>1843 Atlantic Ave</t>
  </si>
  <si>
    <t>498 Vermont St</t>
  </si>
  <si>
    <t>74 Eldert st</t>
  </si>
  <si>
    <t>829 Halsey St</t>
  </si>
  <si>
    <t>40 Wyckoff St</t>
  </si>
  <si>
    <t>291 Bainbridge St</t>
  </si>
  <si>
    <t>180 Grafton St</t>
  </si>
  <si>
    <t>558 Ralph Ave</t>
  </si>
  <si>
    <t>385 Chestnut St</t>
  </si>
  <si>
    <t>149 E 96th St</t>
  </si>
  <si>
    <t>694 New Lots Ave</t>
  </si>
  <si>
    <t>82 Rockaway Pkwy</t>
  </si>
  <si>
    <t>1118 Winthrop St</t>
  </si>
  <si>
    <t>152 Marcus Garvey Blvd</t>
  </si>
  <si>
    <t>115 Ocean Ave</t>
  </si>
  <si>
    <t>148 Marcus Garvey Blvd</t>
  </si>
  <si>
    <t>1350 Park Pl</t>
  </si>
  <si>
    <t>156 Vernon Ave</t>
  </si>
  <si>
    <t>536 E 96th St</t>
  </si>
  <si>
    <t>217 Thomas S Boyland St</t>
  </si>
  <si>
    <t>146 Marcus Garvey Blvd</t>
  </si>
  <si>
    <t>72 Richardson St</t>
  </si>
  <si>
    <t>399 Troy Ave</t>
  </si>
  <si>
    <t>205 Sumpter St</t>
  </si>
  <si>
    <t>71 Pilling St</t>
  </si>
  <si>
    <t>395 Troy Ave</t>
  </si>
  <si>
    <t>967 Sutter Ave</t>
  </si>
  <si>
    <t>315 Pulaski St</t>
  </si>
  <si>
    <t>1935 Bergen St</t>
  </si>
  <si>
    <t>1935 Bergen st</t>
  </si>
  <si>
    <t>397 Troy Ave</t>
  </si>
  <si>
    <t>49 Tapscott St (3B)</t>
  </si>
  <si>
    <t>566 Vanderbilt Ave</t>
  </si>
  <si>
    <t>505 Rockaway Pkwy</t>
  </si>
  <si>
    <t>3227 Bainbridge Ave</t>
  </si>
  <si>
    <t>86 Forbell St</t>
  </si>
  <si>
    <t>1721 Grand Ave</t>
  </si>
  <si>
    <t>1348 Sheridan Ave</t>
  </si>
  <si>
    <t>1305 Nelson Ave</t>
  </si>
  <si>
    <t>4535 Park Ave</t>
  </si>
  <si>
    <t>312 Sheridan Ave</t>
  </si>
  <si>
    <t>1456 Taylor Ave</t>
  </si>
  <si>
    <t>4382 Furman Ave</t>
  </si>
  <si>
    <t>535 Jackson Ave</t>
  </si>
  <si>
    <t>1434 Ogden Ave</t>
  </si>
  <si>
    <t>949 Ogden Ave</t>
  </si>
  <si>
    <t>1944 Mcgraw Ave</t>
  </si>
  <si>
    <t>1860 Billingsley Ter</t>
  </si>
  <si>
    <t>3534 Bronx Blvd</t>
  </si>
  <si>
    <t>2454 Tiebout Ave</t>
  </si>
  <si>
    <t>680 Tinton Ave</t>
  </si>
  <si>
    <t>1560 Grand Concourse</t>
  </si>
  <si>
    <t>4769 White Plains Rd</t>
  </si>
  <si>
    <t>1460 Grand Concourse</t>
  </si>
  <si>
    <t>1970 Walton Ave</t>
  </si>
  <si>
    <t>478 Herzl St</t>
  </si>
  <si>
    <t>1004 Montgomery St</t>
  </si>
  <si>
    <t>2353 Pacific St</t>
  </si>
  <si>
    <t>1004 Montgomery st</t>
  </si>
  <si>
    <t>790 Eldert Ln</t>
  </si>
  <si>
    <t>42 Saint Felix St</t>
  </si>
  <si>
    <t>25 Saint Felix St</t>
  </si>
  <si>
    <t>643 Central Ave</t>
  </si>
  <si>
    <t>350 New Lots Ave</t>
  </si>
  <si>
    <t>452 53rd St</t>
  </si>
  <si>
    <t>1088 Sutter Ave</t>
  </si>
  <si>
    <t>4513 10th Ave</t>
  </si>
  <si>
    <t>723 Hancock St</t>
  </si>
  <si>
    <t>523 E 108th St</t>
  </si>
  <si>
    <t>284 Cooper St</t>
  </si>
  <si>
    <t>1553 Dekalb Ave</t>
  </si>
  <si>
    <t>636 Louisiana Ave</t>
  </si>
  <si>
    <t>2092 Dean St</t>
  </si>
  <si>
    <t>230 schenectady ave</t>
  </si>
  <si>
    <t>1096 President St</t>
  </si>
  <si>
    <t>611 E 76th St</t>
  </si>
  <si>
    <t>21 Truxton St</t>
  </si>
  <si>
    <t>2772 PITKIN AVE</t>
  </si>
  <si>
    <t>163 Madison St</t>
  </si>
  <si>
    <t>203 Hull St</t>
  </si>
  <si>
    <t>2 Elton st</t>
  </si>
  <si>
    <t>193 Chestnut St</t>
  </si>
  <si>
    <t>274a 9th St</t>
  </si>
  <si>
    <t>459 E 96th St</t>
  </si>
  <si>
    <t>1074 Eastern PKWY</t>
  </si>
  <si>
    <t>235 Ralph Ave</t>
  </si>
  <si>
    <t>2307 Pitkin Ave</t>
  </si>
  <si>
    <t>494 E 95th St</t>
  </si>
  <si>
    <t>624 Riverdale Ave</t>
  </si>
  <si>
    <t>35 covert st</t>
  </si>
  <si>
    <t>656 Howard Ave</t>
  </si>
  <si>
    <t>595 Autumn Ave</t>
  </si>
  <si>
    <t>486 Glenmore Ave</t>
  </si>
  <si>
    <t>682 Alabama Ave</t>
  </si>
  <si>
    <t>450 Schenck Ave</t>
  </si>
  <si>
    <t>2024 Bergen St</t>
  </si>
  <si>
    <t>1285 Delmar Loop</t>
  </si>
  <si>
    <t>996 Hegeman Ave</t>
  </si>
  <si>
    <t>482 Ridgewood Ave</t>
  </si>
  <si>
    <t>1677 Saint Johns Pl</t>
  </si>
  <si>
    <t>1919 Eastern Pkwy</t>
  </si>
  <si>
    <t>1120 Loring Ave</t>
  </si>
  <si>
    <t>734 Crescent St</t>
  </si>
  <si>
    <t>660 E 98th St</t>
  </si>
  <si>
    <t>50 Legion St</t>
  </si>
  <si>
    <t>1465 Geneva Loop</t>
  </si>
  <si>
    <t>117 S 4th St</t>
  </si>
  <si>
    <t>542 Bainbridge St</t>
  </si>
  <si>
    <t>765 Lincoln Ave</t>
  </si>
  <si>
    <t>409 Saratoga Ave</t>
  </si>
  <si>
    <t>350 Snediker Ave</t>
  </si>
  <si>
    <t>1147 Sutter Ave</t>
  </si>
  <si>
    <t>1360 Eastern Pkwy</t>
  </si>
  <si>
    <t>412 Thomas S Boyland St</t>
  </si>
  <si>
    <t>600 Van Siclen Ave</t>
  </si>
  <si>
    <t>294 Grove St</t>
  </si>
  <si>
    <t>25 utica Ave</t>
  </si>
  <si>
    <t>515 Crescent St</t>
  </si>
  <si>
    <t>1752 Sterling Pl</t>
  </si>
  <si>
    <t>1390 Greene Ave</t>
  </si>
  <si>
    <t>175 Ardsley Loop</t>
  </si>
  <si>
    <t>890 Flushing Ave</t>
  </si>
  <si>
    <t>444 Euclid Ave</t>
  </si>
  <si>
    <t>1036 President St</t>
  </si>
  <si>
    <t>1062 Elton St</t>
  </si>
  <si>
    <t>454 E 119th St</t>
  </si>
  <si>
    <t>1254 Decatur St</t>
  </si>
  <si>
    <t>1566 Eastern Pkwy</t>
  </si>
  <si>
    <t>176 Nagle Ave # 182</t>
  </si>
  <si>
    <t>294 Sumpter St</t>
  </si>
  <si>
    <t>420 Watkins St</t>
  </si>
  <si>
    <t>63 Rockaway Pkwy</t>
  </si>
  <si>
    <t>19 E 109th St</t>
  </si>
  <si>
    <t>160 Vermilyea Ave</t>
  </si>
  <si>
    <t>4 E 107th St</t>
  </si>
  <si>
    <t>901 Drew St</t>
  </si>
  <si>
    <t>127 E 117th St</t>
  </si>
  <si>
    <t>2078 2nd Ave</t>
  </si>
  <si>
    <t>11245 Sea View Ave</t>
  </si>
  <si>
    <t>149 E 118th St</t>
  </si>
  <si>
    <t>1940 Pacific St</t>
  </si>
  <si>
    <t>1639 Saint Marks Ave</t>
  </si>
  <si>
    <t>21 E 127th St</t>
  </si>
  <si>
    <t>1405 5th Ave</t>
  </si>
  <si>
    <t>605 Liberty Ave</t>
  </si>
  <si>
    <t>906 Mother Gaston Blvd</t>
  </si>
  <si>
    <t>216 Rockaway ave</t>
  </si>
  <si>
    <t>249 Thomas S Boyland st</t>
  </si>
  <si>
    <t>437 Wyona St</t>
  </si>
  <si>
    <t>249 Thomas s Boyland st</t>
  </si>
  <si>
    <t>294 5th Ave</t>
  </si>
  <si>
    <t>1325 Pennsylvania Ave</t>
  </si>
  <si>
    <t>1392 Sterling Pl</t>
  </si>
  <si>
    <t>125 Schroeders Ave</t>
  </si>
  <si>
    <t>777 Macdonough St</t>
  </si>
  <si>
    <t>796 Halsey St</t>
  </si>
  <si>
    <t>662 Decatur St</t>
  </si>
  <si>
    <t>604 Sutter Ave</t>
  </si>
  <si>
    <t>63 E 95th St</t>
  </si>
  <si>
    <t>392 Rockaway Pkwy</t>
  </si>
  <si>
    <t>344 Marion st</t>
  </si>
  <si>
    <t>296A Marion St</t>
  </si>
  <si>
    <t>35 Sheridan Ave</t>
  </si>
  <si>
    <t>466 Marcy Ave</t>
  </si>
  <si>
    <t>140 Ralph Ave</t>
  </si>
  <si>
    <t>663 Howard Ave</t>
  </si>
  <si>
    <t>1342 Sterling Pl</t>
  </si>
  <si>
    <t>2263 64th St</t>
  </si>
  <si>
    <t>85 Bristol St</t>
  </si>
  <si>
    <t>P.O. Box 840</t>
  </si>
  <si>
    <t>108 Norwood Ave</t>
  </si>
  <si>
    <t>434 Warwick St</t>
  </si>
  <si>
    <t>1711 Himrod St</t>
  </si>
  <si>
    <t>9838 57th Ave</t>
  </si>
  <si>
    <t>15119 34th Ave</t>
  </si>
  <si>
    <t>9823 Horace Harding Expy</t>
  </si>
  <si>
    <t>723 125th St</t>
  </si>
  <si>
    <t>3114 42nd St</t>
  </si>
  <si>
    <t>3239 107th St</t>
  </si>
  <si>
    <t>97-20 57th Avenue</t>
  </si>
  <si>
    <t>24559 148th Dr</t>
  </si>
  <si>
    <t>333 Beach 32nd St</t>
  </si>
  <si>
    <t>9830 57th Ave</t>
  </si>
  <si>
    <t>9728 57th Ave</t>
  </si>
  <si>
    <t>9456 46th Ave</t>
  </si>
  <si>
    <t>4146 68th St</t>
  </si>
  <si>
    <t>9832 57th Ave</t>
  </si>
  <si>
    <t>150 50th Ave</t>
  </si>
  <si>
    <t>1918 Strauss St</t>
  </si>
  <si>
    <t>515 Hinsdale ST</t>
  </si>
  <si>
    <t>211 Riverdale Ave</t>
  </si>
  <si>
    <t>538 Bainbridge St</t>
  </si>
  <si>
    <t>970 Belmont Ave</t>
  </si>
  <si>
    <t>1342 Bushwick Ave</t>
  </si>
  <si>
    <t>73 E 96th St</t>
  </si>
  <si>
    <t>671 Decatur St</t>
  </si>
  <si>
    <t>180 Bainbridge st</t>
  </si>
  <si>
    <t>398 Crescent St</t>
  </si>
  <si>
    <t>858 Blake Ave</t>
  </si>
  <si>
    <t>556 Thomas S Boyland St</t>
  </si>
  <si>
    <t>902 Drew st</t>
  </si>
  <si>
    <t>1920 Union St</t>
  </si>
  <si>
    <t>47 Montauk Ave</t>
  </si>
  <si>
    <t>1967 Bergen St</t>
  </si>
  <si>
    <t>36 Euclid Ave</t>
  </si>
  <si>
    <t>430 Saratoga Ave</t>
  </si>
  <si>
    <t>1305 Delmar Loope</t>
  </si>
  <si>
    <t>333 Milford St</t>
  </si>
  <si>
    <t>481 Williams Ave</t>
  </si>
  <si>
    <t>131 Eldert St</t>
  </si>
  <si>
    <t>675 Lincoln ave</t>
  </si>
  <si>
    <t>922 E 15th St</t>
  </si>
  <si>
    <t>383 Lewis Ave</t>
  </si>
  <si>
    <t>385 Lewis Ave</t>
  </si>
  <si>
    <t>387 Shepherd Ave</t>
  </si>
  <si>
    <t>272 Pennsylvania Ave</t>
  </si>
  <si>
    <t>1613 Eastern Pkwy</t>
  </si>
  <si>
    <t>869 Van Siclen Ave</t>
  </si>
  <si>
    <t>248 Bainbridge st</t>
  </si>
  <si>
    <t>524 Vandalia Ave</t>
  </si>
  <si>
    <t>801 Glenmore Ave</t>
  </si>
  <si>
    <t>1677 Prospect PL</t>
  </si>
  <si>
    <t>760 Eldert Ln</t>
  </si>
  <si>
    <t>1049 Glenmore Ave</t>
  </si>
  <si>
    <t>364 Stuyvesant Ave</t>
  </si>
  <si>
    <t>765 Lincon Ave</t>
  </si>
  <si>
    <t>1756 Park Pl</t>
  </si>
  <si>
    <t>321 Milford St</t>
  </si>
  <si>
    <t>396 Saratoga Ave</t>
  </si>
  <si>
    <t>704 Elton St</t>
  </si>
  <si>
    <t>1070 E New York Ave</t>
  </si>
  <si>
    <t>330 Macdougal St</t>
  </si>
  <si>
    <t>1490 Dumont Ave</t>
  </si>
  <si>
    <t>737 Liberty Ave</t>
  </si>
  <si>
    <t>177 Sheffield Ave</t>
  </si>
  <si>
    <t>179 Riverdale Ave</t>
  </si>
  <si>
    <t>#3A</t>
  </si>
  <si>
    <t>9C</t>
  </si>
  <si>
    <t>3B</t>
  </si>
  <si>
    <t>4B</t>
  </si>
  <si>
    <t>3R</t>
  </si>
  <si>
    <t>B1</t>
  </si>
  <si>
    <t>1R</t>
  </si>
  <si>
    <t>2B</t>
  </si>
  <si>
    <t>1A</t>
  </si>
  <si>
    <t>2R</t>
  </si>
  <si>
    <t>2C</t>
  </si>
  <si>
    <t>3L</t>
  </si>
  <si>
    <t>3A</t>
  </si>
  <si>
    <t>3C</t>
  </si>
  <si>
    <t>8A</t>
  </si>
  <si>
    <t>2A</t>
  </si>
  <si>
    <t>1B</t>
  </si>
  <si>
    <t>15 A</t>
  </si>
  <si>
    <t>2nd floor</t>
  </si>
  <si>
    <t>14L</t>
  </si>
  <si>
    <t>4L</t>
  </si>
  <si>
    <t>4C</t>
  </si>
  <si>
    <t>1F</t>
  </si>
  <si>
    <t>5A</t>
  </si>
  <si>
    <t>2D</t>
  </si>
  <si>
    <t>18B</t>
  </si>
  <si>
    <t>1D</t>
  </si>
  <si>
    <t>2L</t>
  </si>
  <si>
    <t>3r</t>
  </si>
  <si>
    <t>4A</t>
  </si>
  <si>
    <t>3D</t>
  </si>
  <si>
    <t>5H</t>
  </si>
  <si>
    <t>1L</t>
  </si>
  <si>
    <t>3E</t>
  </si>
  <si>
    <t>5T</t>
  </si>
  <si>
    <t>5E</t>
  </si>
  <si>
    <t>Room 3</t>
  </si>
  <si>
    <t>3F</t>
  </si>
  <si>
    <t>5G</t>
  </si>
  <si>
    <t>2b</t>
  </si>
  <si>
    <t>Apt 3A</t>
  </si>
  <si>
    <t>4D</t>
  </si>
  <si>
    <t>6R</t>
  </si>
  <si>
    <t>1st FL</t>
  </si>
  <si>
    <t>16A</t>
  </si>
  <si>
    <t>A10</t>
  </si>
  <si>
    <t>Apt 2L</t>
  </si>
  <si>
    <t>6yy</t>
  </si>
  <si>
    <t>22H</t>
  </si>
  <si>
    <t>2nd Fl</t>
  </si>
  <si>
    <t>2F</t>
  </si>
  <si>
    <t>1st Floor</t>
  </si>
  <si>
    <t>B4</t>
  </si>
  <si>
    <t>#1F</t>
  </si>
  <si>
    <t>2nd Floor</t>
  </si>
  <si>
    <t>6C</t>
  </si>
  <si>
    <t>6I</t>
  </si>
  <si>
    <t>1C</t>
  </si>
  <si>
    <t>B</t>
  </si>
  <si>
    <t>18G</t>
  </si>
  <si>
    <t>D2</t>
  </si>
  <si>
    <t>4I</t>
  </si>
  <si>
    <t>8C</t>
  </si>
  <si>
    <t>1 Rm 2</t>
  </si>
  <si>
    <t>2X</t>
  </si>
  <si>
    <t>10E</t>
  </si>
  <si>
    <t>1st Fl</t>
  </si>
  <si>
    <t>A4</t>
  </si>
  <si>
    <t>2I</t>
  </si>
  <si>
    <t>5J</t>
  </si>
  <si>
    <t>4E</t>
  </si>
  <si>
    <t>5F</t>
  </si>
  <si>
    <t>2M</t>
  </si>
  <si>
    <t>4F</t>
  </si>
  <si>
    <t>5C</t>
  </si>
  <si>
    <t>PHD</t>
  </si>
  <si>
    <t>3I</t>
  </si>
  <si>
    <t>5K</t>
  </si>
  <si>
    <t>5P</t>
  </si>
  <si>
    <t>3P</t>
  </si>
  <si>
    <t>6E</t>
  </si>
  <si>
    <t>5D</t>
  </si>
  <si>
    <t>1M</t>
  </si>
  <si>
    <t>3H</t>
  </si>
  <si>
    <t>7D</t>
  </si>
  <si>
    <t>1K</t>
  </si>
  <si>
    <t>1G</t>
  </si>
  <si>
    <t>4J</t>
  </si>
  <si>
    <t>PBH</t>
  </si>
  <si>
    <t>B3</t>
  </si>
  <si>
    <t>B5</t>
  </si>
  <si>
    <t>E4</t>
  </si>
  <si>
    <t>A6</t>
  </si>
  <si>
    <t>5/3L</t>
  </si>
  <si>
    <t>6G</t>
  </si>
  <si>
    <t>E8</t>
  </si>
  <si>
    <t>C12</t>
  </si>
  <si>
    <t>C4</t>
  </si>
  <si>
    <t>6d</t>
  </si>
  <si>
    <t>8D</t>
  </si>
  <si>
    <t>6B</t>
  </si>
  <si>
    <t>2E</t>
  </si>
  <si>
    <t>4H</t>
  </si>
  <si>
    <t>B8</t>
  </si>
  <si>
    <t>C10</t>
  </si>
  <si>
    <t>F2</t>
  </si>
  <si>
    <t>D9</t>
  </si>
  <si>
    <t>C30</t>
  </si>
  <si>
    <t>C15</t>
  </si>
  <si>
    <t>E2</t>
  </si>
  <si>
    <t>F8</t>
  </si>
  <si>
    <t>B14</t>
  </si>
  <si>
    <t>2H</t>
  </si>
  <si>
    <t>#4C</t>
  </si>
  <si>
    <t>A12</t>
  </si>
  <si>
    <t>1st Fl.</t>
  </si>
  <si>
    <t>F5</t>
  </si>
  <si>
    <t>2G</t>
  </si>
  <si>
    <t>1i</t>
  </si>
  <si>
    <t>E14</t>
  </si>
  <si>
    <t>c3</t>
  </si>
  <si>
    <t>6J</t>
  </si>
  <si>
    <t>Apt 3K</t>
  </si>
  <si>
    <t>6O</t>
  </si>
  <si>
    <t>6K</t>
  </si>
  <si>
    <t>11G</t>
  </si>
  <si>
    <t>6F</t>
  </si>
  <si>
    <t>Apt.6G</t>
  </si>
  <si>
    <t>C7</t>
  </si>
  <si>
    <t>C9</t>
  </si>
  <si>
    <t>4P</t>
  </si>
  <si>
    <t>5R</t>
  </si>
  <si>
    <t>2l</t>
  </si>
  <si>
    <t>D7</t>
  </si>
  <si>
    <t>E6</t>
  </si>
  <si>
    <t>1b</t>
  </si>
  <si>
    <t>Apt A4</t>
  </si>
  <si>
    <t>3rd fl</t>
  </si>
  <si>
    <t>1-B</t>
  </si>
  <si>
    <t>1N</t>
  </si>
  <si>
    <t>#8C</t>
  </si>
  <si>
    <t>11-B</t>
  </si>
  <si>
    <t>Apt 5</t>
  </si>
  <si>
    <t>2nd FL</t>
  </si>
  <si>
    <t>14C</t>
  </si>
  <si>
    <t>12A</t>
  </si>
  <si>
    <t>19G</t>
  </si>
  <si>
    <t>BL</t>
  </si>
  <si>
    <t>1-E</t>
  </si>
  <si>
    <t>Basement</t>
  </si>
  <si>
    <t>8B</t>
  </si>
  <si>
    <t>2P</t>
  </si>
  <si>
    <t>Apt 7H</t>
  </si>
  <si>
    <t>A9B</t>
  </si>
  <si>
    <t>Apt 6A</t>
  </si>
  <si>
    <t>3rd FL</t>
  </si>
  <si>
    <t>3-0</t>
  </si>
  <si>
    <t>18C</t>
  </si>
  <si>
    <t>9H</t>
  </si>
  <si>
    <t>10-O</t>
  </si>
  <si>
    <t>12H</t>
  </si>
  <si>
    <t>21K</t>
  </si>
  <si>
    <t>16K</t>
  </si>
  <si>
    <t>21B</t>
  </si>
  <si>
    <t>11C</t>
  </si>
  <si>
    <t>23L</t>
  </si>
  <si>
    <t>18M</t>
  </si>
  <si>
    <t>3G</t>
  </si>
  <si>
    <t>20-0</t>
  </si>
  <si>
    <t>4N</t>
  </si>
  <si>
    <t>9L</t>
  </si>
  <si>
    <t>8R</t>
  </si>
  <si>
    <t>16L</t>
  </si>
  <si>
    <t>21M</t>
  </si>
  <si>
    <t>7K</t>
  </si>
  <si>
    <t>10F</t>
  </si>
  <si>
    <t>18N</t>
  </si>
  <si>
    <t>17G</t>
  </si>
  <si>
    <t>19E</t>
  </si>
  <si>
    <t>16G</t>
  </si>
  <si>
    <t>11P</t>
  </si>
  <si>
    <t>11B</t>
  </si>
  <si>
    <t>19R</t>
  </si>
  <si>
    <t>18H</t>
  </si>
  <si>
    <t>7H</t>
  </si>
  <si>
    <t>7E</t>
  </si>
  <si>
    <t>20B</t>
  </si>
  <si>
    <t>7M</t>
  </si>
  <si>
    <t>12L</t>
  </si>
  <si>
    <t>11A</t>
  </si>
  <si>
    <t>14D</t>
  </si>
  <si>
    <t>21J</t>
  </si>
  <si>
    <t>19A</t>
  </si>
  <si>
    <t>17K</t>
  </si>
  <si>
    <t>5L</t>
  </si>
  <si>
    <t>2N</t>
  </si>
  <si>
    <t>23E</t>
  </si>
  <si>
    <t>9O</t>
  </si>
  <si>
    <t>21F</t>
  </si>
  <si>
    <t>14N</t>
  </si>
  <si>
    <t>7J</t>
  </si>
  <si>
    <t>19N</t>
  </si>
  <si>
    <t>17E</t>
  </si>
  <si>
    <t>7G</t>
  </si>
  <si>
    <t>12D</t>
  </si>
  <si>
    <t>17R</t>
  </si>
  <si>
    <t>6N</t>
  </si>
  <si>
    <t>24P</t>
  </si>
  <si>
    <t>15H</t>
  </si>
  <si>
    <t>17C</t>
  </si>
  <si>
    <t>22P</t>
  </si>
  <si>
    <t>8-O</t>
  </si>
  <si>
    <t>19F</t>
  </si>
  <si>
    <t>17H</t>
  </si>
  <si>
    <t>3K</t>
  </si>
  <si>
    <t>23M</t>
  </si>
  <si>
    <t>12P</t>
  </si>
  <si>
    <t>10D</t>
  </si>
  <si>
    <t>19C</t>
  </si>
  <si>
    <t>11D</t>
  </si>
  <si>
    <t>24C</t>
  </si>
  <si>
    <t>19M</t>
  </si>
  <si>
    <t>11E</t>
  </si>
  <si>
    <t>4K</t>
  </si>
  <si>
    <t>12-0</t>
  </si>
  <si>
    <t>20H</t>
  </si>
  <si>
    <t>18J</t>
  </si>
  <si>
    <t>11F</t>
  </si>
  <si>
    <t>8P</t>
  </si>
  <si>
    <t>4-O</t>
  </si>
  <si>
    <t>12G</t>
  </si>
  <si>
    <t>16B</t>
  </si>
  <si>
    <t>24-D</t>
  </si>
  <si>
    <t>10M</t>
  </si>
  <si>
    <t>9G</t>
  </si>
  <si>
    <t>23G</t>
  </si>
  <si>
    <t>16-0</t>
  </si>
  <si>
    <t>14 K</t>
  </si>
  <si>
    <t>3J</t>
  </si>
  <si>
    <t>10C</t>
  </si>
  <si>
    <t>20D</t>
  </si>
  <si>
    <t>17N</t>
  </si>
  <si>
    <t>22F</t>
  </si>
  <si>
    <t>21C</t>
  </si>
  <si>
    <t>22L</t>
  </si>
  <si>
    <t>17B</t>
  </si>
  <si>
    <t>20C</t>
  </si>
  <si>
    <t>16N</t>
  </si>
  <si>
    <t>9D</t>
  </si>
  <si>
    <t>16E</t>
  </si>
  <si>
    <t>1/2</t>
  </si>
  <si>
    <t>17M</t>
  </si>
  <si>
    <t>5M</t>
  </si>
  <si>
    <t>11L</t>
  </si>
  <si>
    <t>5-B</t>
  </si>
  <si>
    <t>22K</t>
  </si>
  <si>
    <t>5N</t>
  </si>
  <si>
    <t>1H</t>
  </si>
  <si>
    <t>2-0</t>
  </si>
  <si>
    <t>23K</t>
  </si>
  <si>
    <t>10K</t>
  </si>
  <si>
    <t>Apt;. 2E</t>
  </si>
  <si>
    <t>1E</t>
  </si>
  <si>
    <t>19L</t>
  </si>
  <si>
    <t>18O</t>
  </si>
  <si>
    <t>2nd fl</t>
  </si>
  <si>
    <t>Fist Fl</t>
  </si>
  <si>
    <t>11-0</t>
  </si>
  <si>
    <t>8L</t>
  </si>
  <si>
    <t>1c</t>
  </si>
  <si>
    <t>15L</t>
  </si>
  <si>
    <t>6L</t>
  </si>
  <si>
    <t>7B</t>
  </si>
  <si>
    <t>Apt 203</t>
  </si>
  <si>
    <t>10L</t>
  </si>
  <si>
    <t>10H</t>
  </si>
  <si>
    <t>6D</t>
  </si>
  <si>
    <t>Apt 4D</t>
  </si>
  <si>
    <t>3 R</t>
  </si>
  <si>
    <t>14B</t>
  </si>
  <si>
    <t>13G</t>
  </si>
  <si>
    <t>#6A</t>
  </si>
  <si>
    <t>4T</t>
  </si>
  <si>
    <t>15M</t>
  </si>
  <si>
    <t>3M</t>
  </si>
  <si>
    <t>E</t>
  </si>
  <si>
    <t>17L</t>
  </si>
  <si>
    <t>Brooklyn</t>
  </si>
  <si>
    <t>Bronx</t>
  </si>
  <si>
    <t>New York</t>
  </si>
  <si>
    <t>brooklyn</t>
  </si>
  <si>
    <t>BROOKLYN</t>
  </si>
  <si>
    <t>BronxBrooklyn</t>
  </si>
  <si>
    <t>Ridgewood</t>
  </si>
  <si>
    <t>Corona</t>
  </si>
  <si>
    <t>Flushing</t>
  </si>
  <si>
    <t>College Point</t>
  </si>
  <si>
    <t>Astoria</t>
  </si>
  <si>
    <t>East Elmhurst</t>
  </si>
  <si>
    <t>Rosedale</t>
  </si>
  <si>
    <t>Far Rockaway</t>
  </si>
  <si>
    <t>Elmhurst</t>
  </si>
  <si>
    <t>Woodside</t>
  </si>
  <si>
    <t>Long Island City</t>
  </si>
  <si>
    <t>A - Counsel and Advice</t>
  </si>
  <si>
    <t>G - Negotiated Settlement with Litigation</t>
  </si>
  <si>
    <t>B - Limited Action (Brief Service)</t>
  </si>
  <si>
    <t>F - Negotiated Settlement w/out Litigation</t>
  </si>
  <si>
    <t>IB - Contested Court Decision</t>
  </si>
  <si>
    <t>L - Extensive Service (not resulting in Settlement of Court or Administrative Action)</t>
  </si>
  <si>
    <t>H - Administrative Agency Decision</t>
  </si>
  <si>
    <t>3311 Anti-Eviction and SRO Legal Services (formerly "HPD")</t>
  </si>
  <si>
    <t>3018 Tenant Rights Coalition (TRC)</t>
  </si>
  <si>
    <t>5221 SSUSA-Single Stop USA</t>
  </si>
  <si>
    <t>3401 DFTA - Services Program for the Elderly</t>
  </si>
  <si>
    <t>63 Private Landlord/Tenant</t>
  </si>
  <si>
    <t>01 Bankruptcy/Debtor Relief</t>
  </si>
  <si>
    <t>61 Federally Subsidized Housing</t>
  </si>
  <si>
    <t>67 Mortgage Foreclosures (Not Predatory Lending/Practices)</t>
  </si>
  <si>
    <t>66 Housing Discrimination</t>
  </si>
  <si>
    <t>64 Public Housing</t>
  </si>
  <si>
    <t>69 Other Housing</t>
  </si>
  <si>
    <t>71 TANF</t>
  </si>
  <si>
    <t>79 Other Income Maintenence</t>
  </si>
  <si>
    <t>39 Other Family</t>
  </si>
  <si>
    <t>02/21/1952</t>
  </si>
  <si>
    <t>05/21/1959</t>
  </si>
  <si>
    <t>06/15/1961</t>
  </si>
  <si>
    <t>05/23/1956</t>
  </si>
  <si>
    <t>01/28/1987</t>
  </si>
  <si>
    <t>07/10/1970</t>
  </si>
  <si>
    <t>12/26/1970</t>
  </si>
  <si>
    <t>06/11/1961</t>
  </si>
  <si>
    <t>10/23/1954</t>
  </si>
  <si>
    <t>08/22/1965</t>
  </si>
  <si>
    <t>03/21/1976</t>
  </si>
  <si>
    <t>04/15/1945</t>
  </si>
  <si>
    <t>01/01/1977</t>
  </si>
  <si>
    <t>03/04/1993</t>
  </si>
  <si>
    <t>10/02/1995</t>
  </si>
  <si>
    <t>04/07/1983</t>
  </si>
  <si>
    <t>08/30/1967</t>
  </si>
  <si>
    <t>01/10/1976</t>
  </si>
  <si>
    <t>12/23/1980</t>
  </si>
  <si>
    <t>10/06/1986</t>
  </si>
  <si>
    <t>08/18/1982</t>
  </si>
  <si>
    <t>02/16/1955</t>
  </si>
  <si>
    <t>07/23/1961</t>
  </si>
  <si>
    <t>06/11/1966</t>
  </si>
  <si>
    <t>07/11/1961</t>
  </si>
  <si>
    <t>11/19/1980</t>
  </si>
  <si>
    <t>04/08/1976</t>
  </si>
  <si>
    <t>05/12/1987</t>
  </si>
  <si>
    <t>03/28/1948</t>
  </si>
  <si>
    <t>01/01/1945</t>
  </si>
  <si>
    <t>01/18/1947</t>
  </si>
  <si>
    <t>11/05/1948</t>
  </si>
  <si>
    <t>11/06/1961</t>
  </si>
  <si>
    <t>01/31/1987</t>
  </si>
  <si>
    <t>10/05/1966</t>
  </si>
  <si>
    <t>07/16/1978</t>
  </si>
  <si>
    <t>06/27/1967</t>
  </si>
  <si>
    <t>02/23/1985</t>
  </si>
  <si>
    <t>03/11/1941</t>
  </si>
  <si>
    <t>10/18/1988</t>
  </si>
  <si>
    <t>11/01/1994</t>
  </si>
  <si>
    <t>01/02/1981</t>
  </si>
  <si>
    <t>05/04/1965</t>
  </si>
  <si>
    <t>06/08/1958</t>
  </si>
  <si>
    <t>07/25/1966</t>
  </si>
  <si>
    <t>12/24/1976</t>
  </si>
  <si>
    <t>05/24/1994</t>
  </si>
  <si>
    <t>06/11/1967</t>
  </si>
  <si>
    <t>04/02/1985</t>
  </si>
  <si>
    <t>01/20/1956</t>
  </si>
  <si>
    <t>11/24/1960</t>
  </si>
  <si>
    <t>09/21/1945</t>
  </si>
  <si>
    <t>02/20/1956</t>
  </si>
  <si>
    <t>03/13/1960</t>
  </si>
  <si>
    <t>04/19/1950</t>
  </si>
  <si>
    <t>12/27/1960</t>
  </si>
  <si>
    <t>02/23/1995</t>
  </si>
  <si>
    <t>01/16/1979</t>
  </si>
  <si>
    <t>03/08/1993</t>
  </si>
  <si>
    <t>11/29/1979</t>
  </si>
  <si>
    <t>07/25/1979</t>
  </si>
  <si>
    <t>09/14/1965</t>
  </si>
  <si>
    <t>03/25/1958</t>
  </si>
  <si>
    <t>11/29/1993</t>
  </si>
  <si>
    <t>03/29/1974</t>
  </si>
  <si>
    <t>05/10/1971</t>
  </si>
  <si>
    <t>12/16/1946</t>
  </si>
  <si>
    <t>04/16/1959</t>
  </si>
  <si>
    <t>11/24/1970</t>
  </si>
  <si>
    <t>06/19/1965</t>
  </si>
  <si>
    <t>09/29/1960</t>
  </si>
  <si>
    <t>12/22/1983</t>
  </si>
  <si>
    <t>12/01/1969</t>
  </si>
  <si>
    <t>04/28/1979</t>
  </si>
  <si>
    <t>03/02/1937</t>
  </si>
  <si>
    <t>11/09/1993</t>
  </si>
  <si>
    <t>07/18/1972</t>
  </si>
  <si>
    <t>11/17/1943</t>
  </si>
  <si>
    <t>09/09/1966</t>
  </si>
  <si>
    <t>05/12/1976</t>
  </si>
  <si>
    <t>07/19/1969</t>
  </si>
  <si>
    <t>06/01/1953</t>
  </si>
  <si>
    <t>05/05/1959</t>
  </si>
  <si>
    <t>01/28/1985</t>
  </si>
  <si>
    <t>03/08/1997</t>
  </si>
  <si>
    <t>09/06/1968</t>
  </si>
  <si>
    <t>11/08/1974</t>
  </si>
  <si>
    <t>07/15/1961</t>
  </si>
  <si>
    <t>10/11/1950</t>
  </si>
  <si>
    <t>10/03/1963</t>
  </si>
  <si>
    <t>10/25/1964</t>
  </si>
  <si>
    <t>10/29/1981</t>
  </si>
  <si>
    <t>08/02/1978</t>
  </si>
  <si>
    <t>07/10/1961</t>
  </si>
  <si>
    <t>02/10/1986</t>
  </si>
  <si>
    <t>12/14/1959</t>
  </si>
  <si>
    <t>02/19/1959</t>
  </si>
  <si>
    <t>06/26/1968</t>
  </si>
  <si>
    <t>11/16/1959</t>
  </si>
  <si>
    <t>08/04/1971</t>
  </si>
  <si>
    <t>12/11/1965</t>
  </si>
  <si>
    <t>04/09/1992</t>
  </si>
  <si>
    <t>08/31/1976</t>
  </si>
  <si>
    <t>01/10/1988</t>
  </si>
  <si>
    <t>09/02/1971</t>
  </si>
  <si>
    <t>10/13/1972</t>
  </si>
  <si>
    <t>02/01/1990</t>
  </si>
  <si>
    <t>03/30/1933</t>
  </si>
  <si>
    <t>02/09/1984</t>
  </si>
  <si>
    <t>11/27/1988</t>
  </si>
  <si>
    <t>05/26/1985</t>
  </si>
  <si>
    <t>04/14/1996</t>
  </si>
  <si>
    <t>09/26/1989</t>
  </si>
  <si>
    <t>01/01/1976</t>
  </si>
  <si>
    <t>09/03/1972</t>
  </si>
  <si>
    <t>06/26/1978</t>
  </si>
  <si>
    <t>04/20/1969</t>
  </si>
  <si>
    <t>12/18/1974</t>
  </si>
  <si>
    <t>03/17/1982</t>
  </si>
  <si>
    <t>03/17/1966</t>
  </si>
  <si>
    <t>06/17/1977</t>
  </si>
  <si>
    <t>11/25/1951</t>
  </si>
  <si>
    <t>07/27/1967</t>
  </si>
  <si>
    <t>11/04/1984</t>
  </si>
  <si>
    <t>11/16/1984</t>
  </si>
  <si>
    <t>09/05/1997</t>
  </si>
  <si>
    <t>05/09/1967</t>
  </si>
  <si>
    <t>06/09/1970</t>
  </si>
  <si>
    <t>12/08/1973</t>
  </si>
  <si>
    <t>04/15/1965</t>
  </si>
  <si>
    <t>04/15/1957</t>
  </si>
  <si>
    <t>12/08/1960</t>
  </si>
  <si>
    <t>03/14/1957</t>
  </si>
  <si>
    <t>12/31/1961</t>
  </si>
  <si>
    <t>04/13/1972</t>
  </si>
  <si>
    <t>06/10/1970</t>
  </si>
  <si>
    <t>03/12/1967</t>
  </si>
  <si>
    <t>12/31/1980</t>
  </si>
  <si>
    <t>06/22/1967</t>
  </si>
  <si>
    <t>05/25/1986</t>
  </si>
  <si>
    <t>09/29/1985</t>
  </si>
  <si>
    <t>03/29/1947</t>
  </si>
  <si>
    <t>12/28/1982</t>
  </si>
  <si>
    <t>02/18/1968</t>
  </si>
  <si>
    <t>01/01/1964</t>
  </si>
  <si>
    <t>05/20/1948</t>
  </si>
  <si>
    <t>01/18/1976</t>
  </si>
  <si>
    <t>12/13/1964</t>
  </si>
  <si>
    <t>06/22/1966</t>
  </si>
  <si>
    <t>06/14/1977</t>
  </si>
  <si>
    <t>08/13/1985</t>
  </si>
  <si>
    <t>01/22/1983</t>
  </si>
  <si>
    <t>09/07/1990</t>
  </si>
  <si>
    <t>05/09/1983</t>
  </si>
  <si>
    <t>11/03/1968</t>
  </si>
  <si>
    <t>12/04/1953</t>
  </si>
  <si>
    <t>09/08/1977</t>
  </si>
  <si>
    <t>06/25/1984</t>
  </si>
  <si>
    <t>06/11/1980</t>
  </si>
  <si>
    <t>04/04/1967</t>
  </si>
  <si>
    <t>09/21/1933</t>
  </si>
  <si>
    <t>05/05/1991</t>
  </si>
  <si>
    <t>11/29/1977</t>
  </si>
  <si>
    <t>03/15/1984</t>
  </si>
  <si>
    <t>01/23/1991</t>
  </si>
  <si>
    <t>07/07/1989</t>
  </si>
  <si>
    <t>04/25/1929</t>
  </si>
  <si>
    <t>04/13/1982</t>
  </si>
  <si>
    <t>03/02/1987</t>
  </si>
  <si>
    <t>11/30/1982</t>
  </si>
  <si>
    <t>05/17/1979</t>
  </si>
  <si>
    <t>03/06/1991</t>
  </si>
  <si>
    <t>06/22/1979</t>
  </si>
  <si>
    <t>08/22/1987</t>
  </si>
  <si>
    <t>05/27/1989</t>
  </si>
  <si>
    <t>12/30/1988</t>
  </si>
  <si>
    <t>08/11/1949</t>
  </si>
  <si>
    <t>01/01/1987</t>
  </si>
  <si>
    <t>06/26/1988</t>
  </si>
  <si>
    <t>09/05/1967</t>
  </si>
  <si>
    <t>05/05/1983</t>
  </si>
  <si>
    <t>07/18/1992</t>
  </si>
  <si>
    <t>06/11/1978</t>
  </si>
  <si>
    <t>04/01/1993</t>
  </si>
  <si>
    <t>12/15/1978</t>
  </si>
  <si>
    <t>11/09/1982</t>
  </si>
  <si>
    <t>02/08/1982</t>
  </si>
  <si>
    <t>12/29/1988</t>
  </si>
  <si>
    <t>04/06/1970</t>
  </si>
  <si>
    <t>04/13/1994</t>
  </si>
  <si>
    <t>01/30/1985</t>
  </si>
  <si>
    <t>02/14/1979</t>
  </si>
  <si>
    <t>01/01/1978</t>
  </si>
  <si>
    <t>12/27/1963</t>
  </si>
  <si>
    <t>12/23/1963</t>
  </si>
  <si>
    <t>05/05/1979</t>
  </si>
  <si>
    <t>07/01/1961</t>
  </si>
  <si>
    <t>10/09/1994</t>
  </si>
  <si>
    <t>09/23/1975</t>
  </si>
  <si>
    <t>01/15/1948</t>
  </si>
  <si>
    <t>08/30/1957</t>
  </si>
  <si>
    <t>04/06/1978</t>
  </si>
  <si>
    <t>09/19/1990</t>
  </si>
  <si>
    <t>01/10/1989</t>
  </si>
  <si>
    <t>09/06/1960</t>
  </si>
  <si>
    <t>06/17/1978</t>
  </si>
  <si>
    <t>07/23/1963</t>
  </si>
  <si>
    <t>10/12/1984</t>
  </si>
  <si>
    <t>06/15/1946</t>
  </si>
  <si>
    <t>12/09/1964</t>
  </si>
  <si>
    <t>08/01/1967</t>
  </si>
  <si>
    <t>03/01/1972</t>
  </si>
  <si>
    <t>11/08/1988</t>
  </si>
  <si>
    <t>08/20/1978</t>
  </si>
  <si>
    <t>03/14/1966</t>
  </si>
  <si>
    <t>04/24/1950</t>
  </si>
  <si>
    <t>07/14/1954</t>
  </si>
  <si>
    <t>09/28/1956</t>
  </si>
  <si>
    <t>02/27/1963</t>
  </si>
  <si>
    <t>10/08/1967</t>
  </si>
  <si>
    <t>09/03/1983</t>
  </si>
  <si>
    <t>08/09/1955</t>
  </si>
  <si>
    <t>02/02/1952</t>
  </si>
  <si>
    <t>02/08/1978</t>
  </si>
  <si>
    <t>09/28/1970</t>
  </si>
  <si>
    <t>07/22/1986</t>
  </si>
  <si>
    <t>10/04/1958</t>
  </si>
  <si>
    <t>03/11/1951</t>
  </si>
  <si>
    <t>10/20/1962</t>
  </si>
  <si>
    <t>03/20/1968</t>
  </si>
  <si>
    <t>06/26/1948</t>
  </si>
  <si>
    <t>04/04/1959</t>
  </si>
  <si>
    <t>12/03/1956</t>
  </si>
  <si>
    <t>12/24/1954</t>
  </si>
  <si>
    <t>09/29/1954</t>
  </si>
  <si>
    <t>11/03/1966</t>
  </si>
  <si>
    <t>02/21/1963</t>
  </si>
  <si>
    <t>03/20/1945</t>
  </si>
  <si>
    <t>02/20/1987</t>
  </si>
  <si>
    <t>01/23/1937</t>
  </si>
  <si>
    <t>08/28/1957</t>
  </si>
  <si>
    <t>06/20/1977</t>
  </si>
  <si>
    <t>05/30/1946</t>
  </si>
  <si>
    <t>06/22/1947</t>
  </si>
  <si>
    <t>12/08/1943</t>
  </si>
  <si>
    <t>01/30/1983</t>
  </si>
  <si>
    <t>08/11/1967</t>
  </si>
  <si>
    <t>08/05/1974</t>
  </si>
  <si>
    <t>08/01/1966</t>
  </si>
  <si>
    <t>01/22/1993</t>
  </si>
  <si>
    <t>04/10/1954</t>
  </si>
  <si>
    <t>09/25/1978</t>
  </si>
  <si>
    <t>12/18/1963</t>
  </si>
  <si>
    <t>07/10/1992</t>
  </si>
  <si>
    <t>01/09/1973</t>
  </si>
  <si>
    <t>04/09/1967</t>
  </si>
  <si>
    <t>03/06/1959</t>
  </si>
  <si>
    <t>07/16/1977</t>
  </si>
  <si>
    <t>02/16/1958</t>
  </si>
  <si>
    <t>10/02/1956</t>
  </si>
  <si>
    <t>07/24/1963</t>
  </si>
  <si>
    <t>07/20/1961</t>
  </si>
  <si>
    <t>06/29/1981</t>
  </si>
  <si>
    <t>06/10/1939</t>
  </si>
  <si>
    <t>05/14/1964</t>
  </si>
  <si>
    <t>08/22/1978</t>
  </si>
  <si>
    <t>10/25/1965</t>
  </si>
  <si>
    <t>01/22/1960</t>
  </si>
  <si>
    <t>12/12/1969</t>
  </si>
  <si>
    <t>11/03/1986</t>
  </si>
  <si>
    <t>08/31/1962</t>
  </si>
  <si>
    <t>04/25/1943</t>
  </si>
  <si>
    <t>04/16/1962</t>
  </si>
  <si>
    <t>09/01/1949</t>
  </si>
  <si>
    <t>11/22/1976</t>
  </si>
  <si>
    <t>01/18/1941</t>
  </si>
  <si>
    <t>05/16/1962</t>
  </si>
  <si>
    <t>10/26/1957</t>
  </si>
  <si>
    <t>09/10/1957</t>
  </si>
  <si>
    <t>01/10/1960</t>
  </si>
  <si>
    <t>07/15/1940</t>
  </si>
  <si>
    <t>02/24/1983</t>
  </si>
  <si>
    <t>07/04/1949</t>
  </si>
  <si>
    <t>08/10/1951</t>
  </si>
  <si>
    <t>08/11/1972</t>
  </si>
  <si>
    <t>02/02/1963</t>
  </si>
  <si>
    <t>03/17/1961</t>
  </si>
  <si>
    <t>04/13/1989</t>
  </si>
  <si>
    <t>10/29/1972</t>
  </si>
  <si>
    <t>02/10/1969</t>
  </si>
  <si>
    <t>04/07/1970</t>
  </si>
  <si>
    <t>01/09/1956</t>
  </si>
  <si>
    <t>07/07/1960</t>
  </si>
  <si>
    <t>01/14/1980</t>
  </si>
  <si>
    <t>08/29/1957</t>
  </si>
  <si>
    <t>04/15/1982</t>
  </si>
  <si>
    <t>10/20/1927</t>
  </si>
  <si>
    <t>01/01/1954</t>
  </si>
  <si>
    <t>12/03/1979</t>
  </si>
  <si>
    <t>05/14/1990</t>
  </si>
  <si>
    <t>01/15/1969</t>
  </si>
  <si>
    <t>07/05/1964</t>
  </si>
  <si>
    <t>09/12/1961</t>
  </si>
  <si>
    <t>11/29/1972</t>
  </si>
  <si>
    <t>09/24/1970</t>
  </si>
  <si>
    <t>04/16/1946</t>
  </si>
  <si>
    <t>03/17/1967</t>
  </si>
  <si>
    <t>04/23/1990</t>
  </si>
  <si>
    <t>09/28/1990</t>
  </si>
  <si>
    <t>07/27/1985</t>
  </si>
  <si>
    <t>10/31/1969</t>
  </si>
  <si>
    <t>12/26/1973</t>
  </si>
  <si>
    <t>03/21/1975</t>
  </si>
  <si>
    <t>05/19/1957</t>
  </si>
  <si>
    <t>08/03/1958</t>
  </si>
  <si>
    <t>10/12/1932</t>
  </si>
  <si>
    <t>07/08/1958</t>
  </si>
  <si>
    <t>06/24/1938</t>
  </si>
  <si>
    <t>02/28/1957</t>
  </si>
  <si>
    <t>07/11/1966</t>
  </si>
  <si>
    <t>10/08/1983</t>
  </si>
  <si>
    <t>02/17/1959</t>
  </si>
  <si>
    <t>03/22/1962</t>
  </si>
  <si>
    <t>03/19/1960</t>
  </si>
  <si>
    <t>02/15/1948</t>
  </si>
  <si>
    <t>02/01/1966</t>
  </si>
  <si>
    <t>12/01/1994</t>
  </si>
  <si>
    <t>02/08/1970</t>
  </si>
  <si>
    <t>09/26/1940</t>
  </si>
  <si>
    <t>03/02/1978</t>
  </si>
  <si>
    <t>05/10/1950</t>
  </si>
  <si>
    <t>05/07/1965</t>
  </si>
  <si>
    <t>08/13/1952</t>
  </si>
  <si>
    <t>01/25/1963</t>
  </si>
  <si>
    <t>10/01/1961</t>
  </si>
  <si>
    <t>04/14/1971</t>
  </si>
  <si>
    <t>09/01/1957</t>
  </si>
  <si>
    <t>08/03/1965</t>
  </si>
  <si>
    <t>09/08/1960</t>
  </si>
  <si>
    <t>11/23/1942</t>
  </si>
  <si>
    <t>05/04/1955</t>
  </si>
  <si>
    <t>11/19/1988</t>
  </si>
  <si>
    <t>09/23/1986</t>
  </si>
  <si>
    <t>02/15/1962</t>
  </si>
  <si>
    <t>07/04/1970</t>
  </si>
  <si>
    <t>04/14/1976</t>
  </si>
  <si>
    <t>02/01/1965</t>
  </si>
  <si>
    <t>05/02/1947</t>
  </si>
  <si>
    <t>02/23/1967</t>
  </si>
  <si>
    <t>02/17/1981</t>
  </si>
  <si>
    <t>05/26/1956</t>
  </si>
  <si>
    <t>06/08/1944</t>
  </si>
  <si>
    <t>03/11/1960</t>
  </si>
  <si>
    <t>12/25/1979</t>
  </si>
  <si>
    <t>11/01/1943</t>
  </si>
  <si>
    <t>03/11/1962</t>
  </si>
  <si>
    <t>11/16/1931</t>
  </si>
  <si>
    <t>08/24/1936</t>
  </si>
  <si>
    <t>10/29/1970</t>
  </si>
  <si>
    <t>10/28/1950</t>
  </si>
  <si>
    <t>05/16/1944</t>
  </si>
  <si>
    <t>06/28/1962</t>
  </si>
  <si>
    <t>04/03/1962</t>
  </si>
  <si>
    <t>11/21/1965</t>
  </si>
  <si>
    <t>06/19/1968</t>
  </si>
  <si>
    <t>05/08/1960</t>
  </si>
  <si>
    <t>05/02/1982</t>
  </si>
  <si>
    <t>11/19/1973</t>
  </si>
  <si>
    <t>01/02/1941</t>
  </si>
  <si>
    <t>07/16/1947</t>
  </si>
  <si>
    <t>02/26/1965</t>
  </si>
  <si>
    <t>10/13/1933</t>
  </si>
  <si>
    <t>10/14/1952</t>
  </si>
  <si>
    <t>06/07/1944</t>
  </si>
  <si>
    <t>03/20/1943</t>
  </si>
  <si>
    <t>02/28/1951</t>
  </si>
  <si>
    <t>12/15/1991</t>
  </si>
  <si>
    <t>06/11/1958</t>
  </si>
  <si>
    <t>12/28/1943</t>
  </si>
  <si>
    <t>07/20/1981</t>
  </si>
  <si>
    <t>04/30/1985</t>
  </si>
  <si>
    <t>12/03/1963</t>
  </si>
  <si>
    <t>08/21/1978</t>
  </si>
  <si>
    <t>02/14/1965</t>
  </si>
  <si>
    <t>08/24/1944</t>
  </si>
  <si>
    <t>09/02/1961</t>
  </si>
  <si>
    <t>06/09/1968</t>
  </si>
  <si>
    <t>10/10/1961</t>
  </si>
  <si>
    <t>02/03/1941</t>
  </si>
  <si>
    <t>08/08/1985</t>
  </si>
  <si>
    <t>12/07/1959</t>
  </si>
  <si>
    <t>08/31/1957</t>
  </si>
  <si>
    <t>10/10/1957</t>
  </si>
  <si>
    <t>04/10/1967</t>
  </si>
  <si>
    <t>01/26/1981</t>
  </si>
  <si>
    <t>07/27/1964</t>
  </si>
  <si>
    <t>08/06/1960</t>
  </si>
  <si>
    <t>06/09/1969</t>
  </si>
  <si>
    <t>10/28/1959</t>
  </si>
  <si>
    <t>09/19/1967</t>
  </si>
  <si>
    <t>05/18/1987</t>
  </si>
  <si>
    <t>11/27/1976</t>
  </si>
  <si>
    <t>05/03/1960</t>
  </si>
  <si>
    <t>04/21/1986</t>
  </si>
  <si>
    <t>02/05/1980</t>
  </si>
  <si>
    <t>06/21/1979</t>
  </si>
  <si>
    <t>09/20/1989</t>
  </si>
  <si>
    <t>01/06/1967</t>
  </si>
  <si>
    <t>04/19/1995</t>
  </si>
  <si>
    <t>03/13/1941</t>
  </si>
  <si>
    <t>04/08/1962</t>
  </si>
  <si>
    <t>02/24/1966</t>
  </si>
  <si>
    <t>03/22/1961</t>
  </si>
  <si>
    <t>07/30/1956</t>
  </si>
  <si>
    <t>05/05/1974</t>
  </si>
  <si>
    <t>08/13/1975</t>
  </si>
  <si>
    <t>03/17/1995</t>
  </si>
  <si>
    <t>09/22/1973</t>
  </si>
  <si>
    <t>01/27/1980</t>
  </si>
  <si>
    <t>12/03/1982</t>
  </si>
  <si>
    <t>11/15/1981</t>
  </si>
  <si>
    <t>11/18/1982</t>
  </si>
  <si>
    <t>06/25/1956</t>
  </si>
  <si>
    <t>07/01/1994</t>
  </si>
  <si>
    <t>03/06/1950</t>
  </si>
  <si>
    <t>04/17/1960</t>
  </si>
  <si>
    <t>09/21/1978</t>
  </si>
  <si>
    <t>07/06/1949</t>
  </si>
  <si>
    <t>02/21/1993</t>
  </si>
  <si>
    <t>11/04/1948</t>
  </si>
  <si>
    <t>09/25/1952</t>
  </si>
  <si>
    <t>03/01/1951</t>
  </si>
  <si>
    <t>08/02/1934</t>
  </si>
  <si>
    <t>02/08/1967</t>
  </si>
  <si>
    <t>09/30/1974</t>
  </si>
  <si>
    <t>04/17/1963</t>
  </si>
  <si>
    <t>05/25/1975</t>
  </si>
  <si>
    <t>06/13/1973</t>
  </si>
  <si>
    <t>10/15/1983</t>
  </si>
  <si>
    <t>10/16/1991</t>
  </si>
  <si>
    <t>10/19/1977</t>
  </si>
  <si>
    <t>07/27/1943</t>
  </si>
  <si>
    <t>07/18/1979</t>
  </si>
  <si>
    <t>01/01/1979</t>
  </si>
  <si>
    <t>05/01/1949</t>
  </si>
  <si>
    <t>10/14/1963</t>
  </si>
  <si>
    <t>05/08/1954</t>
  </si>
  <si>
    <t>06/17/1963</t>
  </si>
  <si>
    <t>01/12/1957</t>
  </si>
  <si>
    <t>10/29/1969</t>
  </si>
  <si>
    <t>09/26/1971</t>
  </si>
  <si>
    <t>07/20/1946</t>
  </si>
  <si>
    <t>07/13/1953</t>
  </si>
  <si>
    <t>07/10/1976</t>
  </si>
  <si>
    <t>03/12/1946</t>
  </si>
  <si>
    <t>08/31/1940</t>
  </si>
  <si>
    <t>07/30/1971</t>
  </si>
  <si>
    <t>07/19/1984</t>
  </si>
  <si>
    <t>09/01/1967</t>
  </si>
  <si>
    <t>01/24/1992</t>
  </si>
  <si>
    <t>01/15/1956</t>
  </si>
  <si>
    <t>11/21/1947</t>
  </si>
  <si>
    <t>06/25/1955</t>
  </si>
  <si>
    <t>10/14/1962</t>
  </si>
  <si>
    <t>12/22/1948</t>
  </si>
  <si>
    <t>09/26/1933</t>
  </si>
  <si>
    <t>10/18/1976</t>
  </si>
  <si>
    <t>01/21/1965</t>
  </si>
  <si>
    <t>04/11/1977</t>
  </si>
  <si>
    <t>04/02/1958</t>
  </si>
  <si>
    <t>09/04/1977</t>
  </si>
  <si>
    <t>09/09/1984</t>
  </si>
  <si>
    <t>08/30/1944</t>
  </si>
  <si>
    <t>05/14/1975</t>
  </si>
  <si>
    <t>12/26/1957</t>
  </si>
  <si>
    <t>01/07/1960</t>
  </si>
  <si>
    <t>04/11/1965</t>
  </si>
  <si>
    <t>10/03/1958</t>
  </si>
  <si>
    <t>11/06/1977</t>
  </si>
  <si>
    <t>02/16/1939</t>
  </si>
  <si>
    <t>12/10/1972</t>
  </si>
  <si>
    <t>05/18/1971</t>
  </si>
  <si>
    <t>12/27/1959</t>
  </si>
  <si>
    <t>02/12/1970</t>
  </si>
  <si>
    <t>02/24/1942</t>
  </si>
  <si>
    <t>04/30/1959</t>
  </si>
  <si>
    <t>08/28/1979</t>
  </si>
  <si>
    <t>01/23/1971</t>
  </si>
  <si>
    <t>06/09/1935</t>
  </si>
  <si>
    <t>07/03/1973</t>
  </si>
  <si>
    <t>10/13/1958</t>
  </si>
  <si>
    <t>03/06/1942</t>
  </si>
  <si>
    <t>04/17/1990</t>
  </si>
  <si>
    <t>02/20/1977</t>
  </si>
  <si>
    <t>04/07/1995</t>
  </si>
  <si>
    <t>10/11/1954</t>
  </si>
  <si>
    <t>10/02/1953</t>
  </si>
  <si>
    <t>09/02/1997</t>
  </si>
  <si>
    <t>05/03/1945</t>
  </si>
  <si>
    <t>09/22/1942</t>
  </si>
  <si>
    <t>10/19/1954</t>
  </si>
  <si>
    <t>12/20/1962</t>
  </si>
  <si>
    <t>08/13/1983</t>
  </si>
  <si>
    <t>09/17/1961</t>
  </si>
  <si>
    <t>07/05/1968</t>
  </si>
  <si>
    <t>09/17/1972</t>
  </si>
  <si>
    <t>12/12/1966</t>
  </si>
  <si>
    <t>12/30/1963</t>
  </si>
  <si>
    <t>04/23/1965</t>
  </si>
  <si>
    <t>09/16/1941</t>
  </si>
  <si>
    <t>12/30/1950</t>
  </si>
  <si>
    <t>12/19/1967</t>
  </si>
  <si>
    <t>06/27/1944</t>
  </si>
  <si>
    <t>02/28/1985</t>
  </si>
  <si>
    <t>02/01/1952</t>
  </si>
  <si>
    <t>10/25/1975</t>
  </si>
  <si>
    <t>06/12/1995</t>
  </si>
  <si>
    <t>08/13/1947</t>
  </si>
  <si>
    <t>03/06/1953</t>
  </si>
  <si>
    <t>07/09/1962</t>
  </si>
  <si>
    <t>05/07/1972</t>
  </si>
  <si>
    <t>04/22/1951</t>
  </si>
  <si>
    <t>12/14/1979</t>
  </si>
  <si>
    <t>05/22/1953</t>
  </si>
  <si>
    <t>07/03/1986</t>
  </si>
  <si>
    <t>07/22/1950</t>
  </si>
  <si>
    <t>07/28/1975</t>
  </si>
  <si>
    <t>02/05/1952</t>
  </si>
  <si>
    <t>09/07/1937</t>
  </si>
  <si>
    <t>02/19/1964</t>
  </si>
  <si>
    <t>10/06/1946</t>
  </si>
  <si>
    <t>05/14/1954</t>
  </si>
  <si>
    <t>07/27/1978</t>
  </si>
  <si>
    <t>12/26/1946</t>
  </si>
  <si>
    <t>10/22/1952</t>
  </si>
  <si>
    <t>01/23/1940</t>
  </si>
  <si>
    <t>02/12/1977</t>
  </si>
  <si>
    <t>04/07/1945</t>
  </si>
  <si>
    <t>02/08/1962</t>
  </si>
  <si>
    <t>04/19/1972</t>
  </si>
  <si>
    <t>11/29/1963</t>
  </si>
  <si>
    <t>02/03/1977</t>
  </si>
  <si>
    <t>06/10/1958</t>
  </si>
  <si>
    <t>12/20/1946</t>
  </si>
  <si>
    <t>01/19/1955</t>
  </si>
  <si>
    <t>06/17/1941</t>
  </si>
  <si>
    <t>08/04/1942</t>
  </si>
  <si>
    <t>02/28/1954</t>
  </si>
  <si>
    <t>07/13/1972</t>
  </si>
  <si>
    <t>09/24/1986</t>
  </si>
  <si>
    <t>10/30/1963</t>
  </si>
  <si>
    <t>07/19/1959</t>
  </si>
  <si>
    <t>08/07/1963</t>
  </si>
  <si>
    <t>05/16/1970</t>
  </si>
  <si>
    <t>03/23/1951</t>
  </si>
  <si>
    <t>12/22/1982</t>
  </si>
  <si>
    <t>06/02/1948</t>
  </si>
  <si>
    <t>01/19/1967</t>
  </si>
  <si>
    <t>12/13/1955</t>
  </si>
  <si>
    <t>12/24/1947</t>
  </si>
  <si>
    <t>09/07/1951</t>
  </si>
  <si>
    <t>05/31/1982</t>
  </si>
  <si>
    <t>10/25/1974</t>
  </si>
  <si>
    <t>02/08/1959</t>
  </si>
  <si>
    <t>09/05/1979</t>
  </si>
  <si>
    <t>11/18/1979</t>
  </si>
  <si>
    <t>10/10/1948</t>
  </si>
  <si>
    <t>12/05/1963</t>
  </si>
  <si>
    <t>11/25/1973</t>
  </si>
  <si>
    <t>08/24/1950</t>
  </si>
  <si>
    <t>08/19/1945</t>
  </si>
  <si>
    <t>02/12/1969</t>
  </si>
  <si>
    <t>06/07/1955</t>
  </si>
  <si>
    <t>08/11/1974</t>
  </si>
  <si>
    <t>10/26/1955</t>
  </si>
  <si>
    <t>05/06/1958</t>
  </si>
  <si>
    <t>12/13/1949</t>
  </si>
  <si>
    <t>04/17/1988</t>
  </si>
  <si>
    <t>06/09/1951</t>
  </si>
  <si>
    <t>05/26/1961</t>
  </si>
  <si>
    <t>05/01/1942</t>
  </si>
  <si>
    <t>12/09/1988</t>
  </si>
  <si>
    <t>04/03/1952</t>
  </si>
  <si>
    <t>06/27/1960</t>
  </si>
  <si>
    <t>02/08/1971</t>
  </si>
  <si>
    <t>12/08/1970</t>
  </si>
  <si>
    <t>07/01/1979</t>
  </si>
  <si>
    <t>08/03/1972</t>
  </si>
  <si>
    <t>12/31/1966</t>
  </si>
  <si>
    <t>08/15/1968</t>
  </si>
  <si>
    <t>04/11/1969</t>
  </si>
  <si>
    <t>12/02/1965</t>
  </si>
  <si>
    <t>07/20/1984</t>
  </si>
  <si>
    <t>06/14/1986</t>
  </si>
  <si>
    <t>01/19/1988</t>
  </si>
  <si>
    <t>10/20/1961</t>
  </si>
  <si>
    <t>05/27/1970</t>
  </si>
  <si>
    <t>12/14/1978</t>
  </si>
  <si>
    <t>03/24/1962</t>
  </si>
  <si>
    <t>06/23/1959</t>
  </si>
  <si>
    <t>01/01/1974</t>
  </si>
  <si>
    <t>03/04/1954</t>
  </si>
  <si>
    <t>01/21/1948</t>
  </si>
  <si>
    <t>01/26/1944</t>
  </si>
  <si>
    <t>10/12/1986</t>
  </si>
  <si>
    <t>06/21/1966</t>
  </si>
  <si>
    <t>05/31/1948</t>
  </si>
  <si>
    <t>08/10/1942</t>
  </si>
  <si>
    <t>06/20/1970</t>
  </si>
  <si>
    <t>08/15/1996</t>
  </si>
  <si>
    <t>08/25/1952</t>
  </si>
  <si>
    <t>01/03/1979</t>
  </si>
  <si>
    <t>11/07/1956</t>
  </si>
  <si>
    <t>01/27/1974</t>
  </si>
  <si>
    <t>02/13/1947</t>
  </si>
  <si>
    <t>06/21/1972</t>
  </si>
  <si>
    <t>06/01/1938</t>
  </si>
  <si>
    <t>07/31/1972</t>
  </si>
  <si>
    <t>10/18/1955</t>
  </si>
  <si>
    <t>01/28/1961</t>
  </si>
  <si>
    <t>08/12/1937</t>
  </si>
  <si>
    <t>09/15/1963</t>
  </si>
  <si>
    <t>11/08/1977</t>
  </si>
  <si>
    <t>12/13/1945</t>
  </si>
  <si>
    <t>04/20/1964</t>
  </si>
  <si>
    <t>07/18/1960</t>
  </si>
  <si>
    <t>09/28/1971</t>
  </si>
  <si>
    <t>05/26/1972</t>
  </si>
  <si>
    <t>01/12/1975</t>
  </si>
  <si>
    <t>01/14/1953</t>
  </si>
  <si>
    <t>10/22/1949</t>
  </si>
  <si>
    <t>02/22/1981</t>
  </si>
  <si>
    <t>10/04/1996</t>
  </si>
  <si>
    <t>08/19/1984</t>
  </si>
  <si>
    <t>09/27/1949</t>
  </si>
  <si>
    <t>10/26/1979</t>
  </si>
  <si>
    <t>04/22/1938</t>
  </si>
  <si>
    <t>08/14/1988</t>
  </si>
  <si>
    <t>02/28/1960</t>
  </si>
  <si>
    <t>01/08/1956</t>
  </si>
  <si>
    <t>11/17/1983</t>
  </si>
  <si>
    <t>10/28/1975</t>
  </si>
  <si>
    <t>03/07/1975</t>
  </si>
  <si>
    <t>03/07/1983</t>
  </si>
  <si>
    <t>05/17/1951</t>
  </si>
  <si>
    <t>05/05/1986</t>
  </si>
  <si>
    <t>10/29/1968</t>
  </si>
  <si>
    <t>12/13/1990</t>
  </si>
  <si>
    <t>04/25/1962</t>
  </si>
  <si>
    <t>01/26/1988</t>
  </si>
  <si>
    <t>08/19/1969</t>
  </si>
  <si>
    <t>04/12/1985</t>
  </si>
  <si>
    <t>09/19/1957</t>
  </si>
  <si>
    <t>06/29/1987</t>
  </si>
  <si>
    <t>07/29/1977</t>
  </si>
  <si>
    <t>08/18/1993</t>
  </si>
  <si>
    <t>10/07/1973</t>
  </si>
  <si>
    <t>09/15/1993</t>
  </si>
  <si>
    <t>07/08/1974</t>
  </si>
  <si>
    <t>05/25/1985</t>
  </si>
  <si>
    <t>12/16/1947</t>
  </si>
  <si>
    <t>08/23/1989</t>
  </si>
  <si>
    <t>01/15/1982</t>
  </si>
  <si>
    <t>03/06/1955</t>
  </si>
  <si>
    <t>11/23/1993</t>
  </si>
  <si>
    <t>02/16/1980</t>
  </si>
  <si>
    <t>08/24/1990</t>
  </si>
  <si>
    <t>04/10/1980</t>
  </si>
  <si>
    <t>04/30/1988</t>
  </si>
  <si>
    <t>07/23/1992</t>
  </si>
  <si>
    <t>03/31/1964</t>
  </si>
  <si>
    <t>09/25/1982</t>
  </si>
  <si>
    <t>10/29/1971</t>
  </si>
  <si>
    <t>03/14/1956</t>
  </si>
  <si>
    <t>02/15/1968</t>
  </si>
  <si>
    <t>10/03/1969</t>
  </si>
  <si>
    <t>08/28/1978</t>
  </si>
  <si>
    <t>06/09/1984</t>
  </si>
  <si>
    <t>09/06/1957</t>
  </si>
  <si>
    <t>07/26/1965</t>
  </si>
  <si>
    <t>11/30/1979</t>
  </si>
  <si>
    <t>02/10/1972</t>
  </si>
  <si>
    <t>02/26/1967</t>
  </si>
  <si>
    <t>04/07/1957</t>
  </si>
  <si>
    <t>08/21/1990</t>
  </si>
  <si>
    <t>12/30/1961</t>
  </si>
  <si>
    <t>09/05/1972</t>
  </si>
  <si>
    <t>Needs Correct SS # Format</t>
  </si>
  <si>
    <t>084-42-1070</t>
  </si>
  <si>
    <t>147-54-8241</t>
  </si>
  <si>
    <t>101-54-6235</t>
  </si>
  <si>
    <t>105-46-5348</t>
  </si>
  <si>
    <t>075-72-9612</t>
  </si>
  <si>
    <t>474-35-5511</t>
  </si>
  <si>
    <t>120-86-6472</t>
  </si>
  <si>
    <t>589-72-5937</t>
  </si>
  <si>
    <t>238-96-0135</t>
  </si>
  <si>
    <t>096-60-7761</t>
  </si>
  <si>
    <t>102-62-7314</t>
  </si>
  <si>
    <t>082-76-1487</t>
  </si>
  <si>
    <t>005-46-5348</t>
  </si>
  <si>
    <t>110-84-2407</t>
  </si>
  <si>
    <t>129-66-6965</t>
  </si>
  <si>
    <t>110-62-9132</t>
  </si>
  <si>
    <t>076-68-6376</t>
  </si>
  <si>
    <t>067-82-0067</t>
  </si>
  <si>
    <t>122-70-6748</t>
  </si>
  <si>
    <t>092-90-1180</t>
  </si>
  <si>
    <t>077-52-1563</t>
  </si>
  <si>
    <t>095-80-0021</t>
  </si>
  <si>
    <t>121-54-1862</t>
  </si>
  <si>
    <t>069-56-1544</t>
  </si>
  <si>
    <t>104-64-7407</t>
  </si>
  <si>
    <t>129-58-2135</t>
  </si>
  <si>
    <t>151-13-2834</t>
  </si>
  <si>
    <t>123-60-1188</t>
  </si>
  <si>
    <t>075-82-8008</t>
  </si>
  <si>
    <t>100-72-1934</t>
  </si>
  <si>
    <t>115-90-7341</t>
  </si>
  <si>
    <t>093-58-4886</t>
  </si>
  <si>
    <t>071-74-6755</t>
  </si>
  <si>
    <t>120-75-3614</t>
  </si>
  <si>
    <t>074-84-8231</t>
  </si>
  <si>
    <t>073-78-0050</t>
  </si>
  <si>
    <t>057-82-0876</t>
  </si>
  <si>
    <t>075-92-6576</t>
  </si>
  <si>
    <t>050-90-0088</t>
  </si>
  <si>
    <t>068-62-9946</t>
  </si>
  <si>
    <t>116-84-7879</t>
  </si>
  <si>
    <t>119-84-0074</t>
  </si>
  <si>
    <t>089-84-7095</t>
  </si>
  <si>
    <t>056-48-6989</t>
  </si>
  <si>
    <t>000-00-0628</t>
  </si>
  <si>
    <t>240-68-4145</t>
  </si>
  <si>
    <t>061-70-2033</t>
  </si>
  <si>
    <t>729-07-8907</t>
  </si>
  <si>
    <t>077-44-8917</t>
  </si>
  <si>
    <t>000-00-0194</t>
  </si>
  <si>
    <t>066-86-4507</t>
  </si>
  <si>
    <t>243-75-7400</t>
  </si>
  <si>
    <t>068-64-8594</t>
  </si>
  <si>
    <t>080-64-8187</t>
  </si>
  <si>
    <t>000-00-0301</t>
  </si>
  <si>
    <t>093-82-5522</t>
  </si>
  <si>
    <t>062-68-9410</t>
  </si>
  <si>
    <t>449-27-3870</t>
  </si>
  <si>
    <t>219-68-5532</t>
  </si>
  <si>
    <t>116-52-7557</t>
  </si>
  <si>
    <t>075-94-2752</t>
  </si>
  <si>
    <t>095-58-2750</t>
  </si>
  <si>
    <t>097-54-9643</t>
  </si>
  <si>
    <t>099-68-2305</t>
  </si>
  <si>
    <t>000-00-7706</t>
  </si>
  <si>
    <t>154-72-0727</t>
  </si>
  <si>
    <t>054-96-4729</t>
  </si>
  <si>
    <t>098-94-3587</t>
  </si>
  <si>
    <t>125-32-0081</t>
  </si>
  <si>
    <t>123-56-8341</t>
  </si>
  <si>
    <t>000-00-5374</t>
  </si>
  <si>
    <t>057-58-4306</t>
  </si>
  <si>
    <t>088-48-0229</t>
  </si>
  <si>
    <t>102-52-2798</t>
  </si>
  <si>
    <t>089-86-3392</t>
  </si>
  <si>
    <t>071-60-6177</t>
  </si>
  <si>
    <t>060-58-0998</t>
  </si>
  <si>
    <t>082-56-0574</t>
  </si>
  <si>
    <t>000-00-3971</t>
  </si>
  <si>
    <t>101-68-1828</t>
  </si>
  <si>
    <t>073-58-8666</t>
  </si>
  <si>
    <t>125-66-6953</t>
  </si>
  <si>
    <t>127-96-7620</t>
  </si>
  <si>
    <t>133-58-3032</t>
  </si>
  <si>
    <t>096-70-2527</t>
  </si>
  <si>
    <t>084-54-3623</t>
  </si>
  <si>
    <t>730-03-4537</t>
  </si>
  <si>
    <t>098-56-3114</t>
  </si>
  <si>
    <t>131-70-0586</t>
  </si>
  <si>
    <t>062-58-7744</t>
  </si>
  <si>
    <t>059-70-2497</t>
  </si>
  <si>
    <t>045-90-4490</t>
  </si>
  <si>
    <t>072-60-5573</t>
  </si>
  <si>
    <t>134-80-1625</t>
  </si>
  <si>
    <t>097-56-8616</t>
  </si>
  <si>
    <t>076-62-1553</t>
  </si>
  <si>
    <t>121-76-1885</t>
  </si>
  <si>
    <t>092-68-7608</t>
  </si>
  <si>
    <t>065-92-7647</t>
  </si>
  <si>
    <t>133-70-9471</t>
  </si>
  <si>
    <t>132-92-0502</t>
  </si>
  <si>
    <t>591-88-9632</t>
  </si>
  <si>
    <t>133-90-8703</t>
  </si>
  <si>
    <t>140-86-9516</t>
  </si>
  <si>
    <t>418-19-6544</t>
  </si>
  <si>
    <t>084-62-0287</t>
  </si>
  <si>
    <t>125-66-9555</t>
  </si>
  <si>
    <t>111-64-5953</t>
  </si>
  <si>
    <t>158-55-4856</t>
  </si>
  <si>
    <t>069-62-9676</t>
  </si>
  <si>
    <t>000-00-2360</t>
  </si>
  <si>
    <t>215-27-4993</t>
  </si>
  <si>
    <t>055-70-1324</t>
  </si>
  <si>
    <t>115-86-0918</t>
  </si>
  <si>
    <t>216-96-9440</t>
  </si>
  <si>
    <t>089-62-5893</t>
  </si>
  <si>
    <t>101-60-6763</t>
  </si>
  <si>
    <t>132-84-9839</t>
  </si>
  <si>
    <t>114-48-4474</t>
  </si>
  <si>
    <t>095-52-8626</t>
  </si>
  <si>
    <t>128-48-9058</t>
  </si>
  <si>
    <t>097-56-1671</t>
  </si>
  <si>
    <t>068-60-1562</t>
  </si>
  <si>
    <t>082-60-0855</t>
  </si>
  <si>
    <t>082-60-7633</t>
  </si>
  <si>
    <t>000-00-3964</t>
  </si>
  <si>
    <t>116-58-1811</t>
  </si>
  <si>
    <t>562-89-4337</t>
  </si>
  <si>
    <t>000-00-7454</t>
  </si>
  <si>
    <t>108-66-5600</t>
  </si>
  <si>
    <t>120-58-2859</t>
  </si>
  <si>
    <t>104-66-4648</t>
  </si>
  <si>
    <t>091-58-4895</t>
  </si>
  <si>
    <t>151-94-5287</t>
  </si>
  <si>
    <t>100-58-9207</t>
  </si>
  <si>
    <t>072-72-0132</t>
  </si>
  <si>
    <t>052-72-7238</t>
  </si>
  <si>
    <t>218-02-4592</t>
  </si>
  <si>
    <t>062-78-4582</t>
  </si>
  <si>
    <t>090-70-3031</t>
  </si>
  <si>
    <t>115-66-0820</t>
  </si>
  <si>
    <t>072-48-5680</t>
  </si>
  <si>
    <t>000-00-5753</t>
  </si>
  <si>
    <t>105-96-4969</t>
  </si>
  <si>
    <t>377-88-6199</t>
  </si>
  <si>
    <t>126-55-4980</t>
  </si>
  <si>
    <t>258-48-2676</t>
  </si>
  <si>
    <t>353-86-7413</t>
  </si>
  <si>
    <t>256-37-0656</t>
  </si>
  <si>
    <t>038-56-5630</t>
  </si>
  <si>
    <t>087-76-3187</t>
  </si>
  <si>
    <t>097-30-1594</t>
  </si>
  <si>
    <t>866-91-7307</t>
  </si>
  <si>
    <t>143-80-4223</t>
  </si>
  <si>
    <t>071-64-5267</t>
  </si>
  <si>
    <t>120-78-7792</t>
  </si>
  <si>
    <t>057-80-3890</t>
  </si>
  <si>
    <t>141-84-5048</t>
  </si>
  <si>
    <t>534-17-8320</t>
  </si>
  <si>
    <t>595-89-3150</t>
  </si>
  <si>
    <t>114-40-3363</t>
  </si>
  <si>
    <t>590-52-6713</t>
  </si>
  <si>
    <t>041-84-6055</t>
  </si>
  <si>
    <t>777-76-4829</t>
  </si>
  <si>
    <t>057-86-3392</t>
  </si>
  <si>
    <t>107-80-9996</t>
  </si>
  <si>
    <t>056-64-3902</t>
  </si>
  <si>
    <t>577-02-8879</t>
  </si>
  <si>
    <t>135-13-2934</t>
  </si>
  <si>
    <t>191-86-5503</t>
  </si>
  <si>
    <t>145-76-8212</t>
  </si>
  <si>
    <t>143-96-6319</t>
  </si>
  <si>
    <t>092-76-9844</t>
  </si>
  <si>
    <t>050-66-3289</t>
  </si>
  <si>
    <t>541-29-3269</t>
  </si>
  <si>
    <t>454-33-4555</t>
  </si>
  <si>
    <t>071-62-6669</t>
  </si>
  <si>
    <t>767-03-5670</t>
  </si>
  <si>
    <t>109-64-3895</t>
  </si>
  <si>
    <t>074-84-5501</t>
  </si>
  <si>
    <t>098-88-0607</t>
  </si>
  <si>
    <t>564-73-0351</t>
  </si>
  <si>
    <t>531-43-5376</t>
  </si>
  <si>
    <t>000-00-0303</t>
  </si>
  <si>
    <t>070-56-8409</t>
  </si>
  <si>
    <t>119-84-0712</t>
  </si>
  <si>
    <t>073-52-8000</t>
  </si>
  <si>
    <t>006-58-7145</t>
  </si>
  <si>
    <t>124-40-5187</t>
  </si>
  <si>
    <t>134-58-3988</t>
  </si>
  <si>
    <t>048-08-6305</t>
  </si>
  <si>
    <t>595-43-4951</t>
  </si>
  <si>
    <t>000-00-0578</t>
  </si>
  <si>
    <t>122-86-8029</t>
  </si>
  <si>
    <t>067-72-0783</t>
  </si>
  <si>
    <t>069-46-7647</t>
  </si>
  <si>
    <t>000-00-2113</t>
  </si>
  <si>
    <t>081-68-4521</t>
  </si>
  <si>
    <t>840-12-9685</t>
  </si>
  <si>
    <t>078-68-2786</t>
  </si>
  <si>
    <t>066-50-6743</t>
  </si>
  <si>
    <t>464-65-6021</t>
  </si>
  <si>
    <t>127-84-4500</t>
  </si>
  <si>
    <t>124-64-6297</t>
  </si>
  <si>
    <t>121-72-9088</t>
  </si>
  <si>
    <t>130-70-9624</t>
  </si>
  <si>
    <t>054-78-6213</t>
  </si>
  <si>
    <t>099-64-0003</t>
  </si>
  <si>
    <t>132-60-9482</t>
  </si>
  <si>
    <t>812-99-2204</t>
  </si>
  <si>
    <t>022-33-7143</t>
  </si>
  <si>
    <t>054-48-0009</t>
  </si>
  <si>
    <t>743-67-8515</t>
  </si>
  <si>
    <t>069-56-4280</t>
  </si>
  <si>
    <t>119-56-0441</t>
  </si>
  <si>
    <t>000-00-0897</t>
  </si>
  <si>
    <t>062-72-4938</t>
  </si>
  <si>
    <t>059-74-1870</t>
  </si>
  <si>
    <t>099-94-8492</t>
  </si>
  <si>
    <t>086-82-4073</t>
  </si>
  <si>
    <t>086-70-8663</t>
  </si>
  <si>
    <t>127-68-9449</t>
  </si>
  <si>
    <t>130-96-9134</t>
  </si>
  <si>
    <t>104-94-3890</t>
  </si>
  <si>
    <t>078-58-6555</t>
  </si>
  <si>
    <t>085-60-1268</t>
  </si>
  <si>
    <t>147-55-5616</t>
  </si>
  <si>
    <t>000-00-9201</t>
  </si>
  <si>
    <t>103-80-5108</t>
  </si>
  <si>
    <t>104-58-3968</t>
  </si>
  <si>
    <t>112-54-6268</t>
  </si>
  <si>
    <t>260-11-0246</t>
  </si>
  <si>
    <t>247-52-3269</t>
  </si>
  <si>
    <t>065-50-9938</t>
  </si>
  <si>
    <t>025-46-5873</t>
  </si>
  <si>
    <t>063-58-1888</t>
  </si>
  <si>
    <t>120-54-8259</t>
  </si>
  <si>
    <t>098-50-1869</t>
  </si>
  <si>
    <t>070-58-0175</t>
  </si>
  <si>
    <t>202-58-8094</t>
  </si>
  <si>
    <t>128-60-2390</t>
  </si>
  <si>
    <t>051-84-2494</t>
  </si>
  <si>
    <t>088-72-2827</t>
  </si>
  <si>
    <t>056-56-5891</t>
  </si>
  <si>
    <t>084-48-8874</t>
  </si>
  <si>
    <t>584-92-5580</t>
  </si>
  <si>
    <t>103-38-4939</t>
  </si>
  <si>
    <t>014-70-1864</t>
  </si>
  <si>
    <t>582-90-7731</t>
  </si>
  <si>
    <t>104-40-9953</t>
  </si>
  <si>
    <t>087-72-6308</t>
  </si>
  <si>
    <t>126-48-0614</t>
  </si>
  <si>
    <t>061-50-6188</t>
  </si>
  <si>
    <t>062-54-8575</t>
  </si>
  <si>
    <t>110-50-1957</t>
  </si>
  <si>
    <t>590-20-6989</t>
  </si>
  <si>
    <t>118-64-6722</t>
  </si>
  <si>
    <t>133-58-6816</t>
  </si>
  <si>
    <t>054-64-7860</t>
  </si>
  <si>
    <t>580-31-0661</t>
  </si>
  <si>
    <t>420-96-6005</t>
  </si>
  <si>
    <t>073-76-1265</t>
  </si>
  <si>
    <t>085-58-3440</t>
  </si>
  <si>
    <t>079-58-4352</t>
  </si>
  <si>
    <t>105-86-0927</t>
  </si>
  <si>
    <t>116-52-2850</t>
  </si>
  <si>
    <t>113-64-6007</t>
  </si>
  <si>
    <t>106-48-1386</t>
  </si>
  <si>
    <t>077-22-0693</t>
  </si>
  <si>
    <t>127-80-6467</t>
  </si>
  <si>
    <t>132-76-7318</t>
  </si>
  <si>
    <t>078-58-6998</t>
  </si>
  <si>
    <t>060-72-1646</t>
  </si>
  <si>
    <t>096-54-3033</t>
  </si>
  <si>
    <t>578-06-6739</t>
  </si>
  <si>
    <t>111-46-4786</t>
  </si>
  <si>
    <t>123-76-3829</t>
  </si>
  <si>
    <t>000-00-0000</t>
  </si>
  <si>
    <t>000-00-7378</t>
  </si>
  <si>
    <t>090-60-3515</t>
  </si>
  <si>
    <t>101-58-4186</t>
  </si>
  <si>
    <t>073-50-5830</t>
  </si>
  <si>
    <t>105-50-0812</t>
  </si>
  <si>
    <t>050-38-3644</t>
  </si>
  <si>
    <t>146-60-3145</t>
  </si>
  <si>
    <t>138-48-5750</t>
  </si>
  <si>
    <t>124-40-4422</t>
  </si>
  <si>
    <t>108-64-5846</t>
  </si>
  <si>
    <t>125-82-9586</t>
  </si>
  <si>
    <t>098-98-4989</t>
  </si>
  <si>
    <t>057-56-7231</t>
  </si>
  <si>
    <t>080-58-3640</t>
  </si>
  <si>
    <t>092-58-2616</t>
  </si>
  <si>
    <t>062-32-5761</t>
  </si>
  <si>
    <t>015-54-1988</t>
  </si>
  <si>
    <t>069-58-7163</t>
  </si>
  <si>
    <t>076-54-8412</t>
  </si>
  <si>
    <t>096-56-9764</t>
  </si>
  <si>
    <t>050-54-7894</t>
  </si>
  <si>
    <t>000-00-1452</t>
  </si>
  <si>
    <t>067-70-6245</t>
  </si>
  <si>
    <t>100-58-4358</t>
  </si>
  <si>
    <t>107-70-5267</t>
  </si>
  <si>
    <t>129-58-7495</t>
  </si>
  <si>
    <t>110-54-1036</t>
  </si>
  <si>
    <t>079-36-9380</t>
  </si>
  <si>
    <t>116-56-9672</t>
  </si>
  <si>
    <t>062-68-2973</t>
  </si>
  <si>
    <t>127-52-2311</t>
  </si>
  <si>
    <t>077-58-3195</t>
  </si>
  <si>
    <t>584-73-2683</t>
  </si>
  <si>
    <t>131-32-6499</t>
  </si>
  <si>
    <t>000-00-1684</t>
  </si>
  <si>
    <t>255-58-8865</t>
  </si>
  <si>
    <t>059-60-3785</t>
  </si>
  <si>
    <t>124-96-6483</t>
  </si>
  <si>
    <t>076-34-3865</t>
  </si>
  <si>
    <t>115-84-9138</t>
  </si>
  <si>
    <t>072-92-4190</t>
  </si>
  <si>
    <t>103-84-5400</t>
  </si>
  <si>
    <t>122-78-2974</t>
  </si>
  <si>
    <t>580-21-5981</t>
  </si>
  <si>
    <t>085-76-7156</t>
  </si>
  <si>
    <t>130-48-7994</t>
  </si>
  <si>
    <t>000-00-2748</t>
  </si>
  <si>
    <t>082-58-6054</t>
  </si>
  <si>
    <t>074-82-6407</t>
  </si>
  <si>
    <t>233-76-1052</t>
  </si>
  <si>
    <t>093-68-7923</t>
  </si>
  <si>
    <t>212-35-5398</t>
  </si>
  <si>
    <t>256-85-6362</t>
  </si>
  <si>
    <t>119-48-1492</t>
  </si>
  <si>
    <t>109-68-6315</t>
  </si>
  <si>
    <t>089-70-5408</t>
  </si>
  <si>
    <t>091-64-5796</t>
  </si>
  <si>
    <t>122-62-1904</t>
  </si>
  <si>
    <t>108-66-3887</t>
  </si>
  <si>
    <t>055-64-9501</t>
  </si>
  <si>
    <t>089-52-0390</t>
  </si>
  <si>
    <t>000-00-9077</t>
  </si>
  <si>
    <t>125-56-1738</t>
  </si>
  <si>
    <t>094-34-3967</t>
  </si>
  <si>
    <t>065-72-6336</t>
  </si>
  <si>
    <t>082-84-6040</t>
  </si>
  <si>
    <t>119-48-0519</t>
  </si>
  <si>
    <t>581-15-9658</t>
  </si>
  <si>
    <t>111-86-9048</t>
  </si>
  <si>
    <t>123-64-8395</t>
  </si>
  <si>
    <t>068-58-6529</t>
  </si>
  <si>
    <t>073-56-9098</t>
  </si>
  <si>
    <t>074-74-9186</t>
  </si>
  <si>
    <t>061-50-8237</t>
  </si>
  <si>
    <t>080-70-7528</t>
  </si>
  <si>
    <t>164-72-0036</t>
  </si>
  <si>
    <t>076-60-1107</t>
  </si>
  <si>
    <t>083-94-0935</t>
  </si>
  <si>
    <t>058-72-0224</t>
  </si>
  <si>
    <t>108-62-6552</t>
  </si>
  <si>
    <t>062-64-7952</t>
  </si>
  <si>
    <t>000-00-8192</t>
  </si>
  <si>
    <t>122-62-6836</t>
  </si>
  <si>
    <t>071-46-3273</t>
  </si>
  <si>
    <t>090-84-9289</t>
  </si>
  <si>
    <t>223-56-2337</t>
  </si>
  <si>
    <t>000-00-7844</t>
  </si>
  <si>
    <t>059-58-9894</t>
  </si>
  <si>
    <t>099-48-9821</t>
  </si>
  <si>
    <t>095-58-3276</t>
  </si>
  <si>
    <t>085-58-9145</t>
  </si>
  <si>
    <t>101-84-3087</t>
  </si>
  <si>
    <t>000-00-0889</t>
  </si>
  <si>
    <t>116-66-2535</t>
  </si>
  <si>
    <t>084-92-6353</t>
  </si>
  <si>
    <t>438-49-9018</t>
  </si>
  <si>
    <t>100-54-7668</t>
  </si>
  <si>
    <t>050-84-9419</t>
  </si>
  <si>
    <t>359-58-3514</t>
  </si>
  <si>
    <t>130-98-8445</t>
  </si>
  <si>
    <t>103-84-2067</t>
  </si>
  <si>
    <t>070-40-1704</t>
  </si>
  <si>
    <t>080-72-5732</t>
  </si>
  <si>
    <t>449-94-2903</t>
  </si>
  <si>
    <t>124-26-0192</t>
  </si>
  <si>
    <t>076-58-8477</t>
  </si>
  <si>
    <t>063-58-3885</t>
  </si>
  <si>
    <t>086-62-9196</t>
  </si>
  <si>
    <t>000-00-3685</t>
  </si>
  <si>
    <t>120-66-3972</t>
  </si>
  <si>
    <t>130-76-9259</t>
  </si>
  <si>
    <t>000-00-2744</t>
  </si>
  <si>
    <t>075-88-0209</t>
  </si>
  <si>
    <t>059-42-2516</t>
  </si>
  <si>
    <t>000-00-0427</t>
  </si>
  <si>
    <t>117-68-8378</t>
  </si>
  <si>
    <t>584-08-3286</t>
  </si>
  <si>
    <t>056-62-8785</t>
  </si>
  <si>
    <t>116-54-1124</t>
  </si>
  <si>
    <t>106-32-1676</t>
  </si>
  <si>
    <t>090-84-8536</t>
  </si>
  <si>
    <t>100-46-9791</t>
  </si>
  <si>
    <t>090-68-1494</t>
  </si>
  <si>
    <t>064-58-1257</t>
  </si>
  <si>
    <t>119-72-0141</t>
  </si>
  <si>
    <t>129-56-5517</t>
  </si>
  <si>
    <t>096-36-3603</t>
  </si>
  <si>
    <t>368-98-8464</t>
  </si>
  <si>
    <t>057-54-9162</t>
  </si>
  <si>
    <t>114-96-7528</t>
  </si>
  <si>
    <t>125-40-4339</t>
  </si>
  <si>
    <t>066-54-2135</t>
  </si>
  <si>
    <t>066-58-9399</t>
  </si>
  <si>
    <t>071-44-6621</t>
  </si>
  <si>
    <t>580-31-6801</t>
  </si>
  <si>
    <t>050-92-6559</t>
  </si>
  <si>
    <t>093-82-7646</t>
  </si>
  <si>
    <t>000-00-7216</t>
  </si>
  <si>
    <t>099-44-7045</t>
  </si>
  <si>
    <t>426-65-1711</t>
  </si>
  <si>
    <t>062-52-4199</t>
  </si>
  <si>
    <t>099-52-9805</t>
  </si>
  <si>
    <t>104-80-7661</t>
  </si>
  <si>
    <t>128-96-0875</t>
  </si>
  <si>
    <t>087-98-5687</t>
  </si>
  <si>
    <t>104-86-4962</t>
  </si>
  <si>
    <t>076-82-6777</t>
  </si>
  <si>
    <t>091-92-7998</t>
  </si>
  <si>
    <t>058-90-0140</t>
  </si>
  <si>
    <t>103-70-6917</t>
  </si>
  <si>
    <t>120-70-4658</t>
  </si>
  <si>
    <t>433-73-3540</t>
  </si>
  <si>
    <t>055-60-2755</t>
  </si>
  <si>
    <t>125-90-1439</t>
  </si>
  <si>
    <t>351-66-8317</t>
  </si>
  <si>
    <t>057-60-4094</t>
  </si>
  <si>
    <t>580-12-6089</t>
  </si>
  <si>
    <t>204-66-1234</t>
  </si>
  <si>
    <t>107-40-3379</t>
  </si>
  <si>
    <t>115-36-7644</t>
  </si>
  <si>
    <t>061-34-2606</t>
  </si>
  <si>
    <t>090-72-9973</t>
  </si>
  <si>
    <t>078-58-9506</t>
  </si>
  <si>
    <t>073-58-2540</t>
  </si>
  <si>
    <t>094-02-9016</t>
  </si>
  <si>
    <t>059-66-6674</t>
  </si>
  <si>
    <t>102-50-9783</t>
  </si>
  <si>
    <t>132-60-7715</t>
  </si>
  <si>
    <t>054-40-6814</t>
  </si>
  <si>
    <t>123-72-3552</t>
  </si>
  <si>
    <t>067-58-3872</t>
  </si>
  <si>
    <t>598-30-1105</t>
  </si>
  <si>
    <t>127-78-2850</t>
  </si>
  <si>
    <t>057-34-1734</t>
  </si>
  <si>
    <t>114-92-7155</t>
  </si>
  <si>
    <t>124-60-8702</t>
  </si>
  <si>
    <t>050-36-4562</t>
  </si>
  <si>
    <t>090-58-8842</t>
  </si>
  <si>
    <t>323-92-4671</t>
  </si>
  <si>
    <t>075-46-2203</t>
  </si>
  <si>
    <t>103-44-9046</t>
  </si>
  <si>
    <t>118-64-5781</t>
  </si>
  <si>
    <t>069-86-3579</t>
  </si>
  <si>
    <t>427-63-2649</t>
  </si>
  <si>
    <t>121-40-2091</t>
  </si>
  <si>
    <t>122-84-9811</t>
  </si>
  <si>
    <t>096-30-0971</t>
  </si>
  <si>
    <t>000-00-0654</t>
  </si>
  <si>
    <t>000-00-0871</t>
  </si>
  <si>
    <t>051-84-2585</t>
  </si>
  <si>
    <t>106-46-8617</t>
  </si>
  <si>
    <t>000-00-7800</t>
  </si>
  <si>
    <t>000-00-4767</t>
  </si>
  <si>
    <t>056-84-1403</t>
  </si>
  <si>
    <t>089-88-3569</t>
  </si>
  <si>
    <t>114-70-4705</t>
  </si>
  <si>
    <t>074-50-5405</t>
  </si>
  <si>
    <t>089-78-8620</t>
  </si>
  <si>
    <t>123-58-5412</t>
  </si>
  <si>
    <t>133-94-2927</t>
  </si>
  <si>
    <t>085-52-2717</t>
  </si>
  <si>
    <t>134-60-5523</t>
  </si>
  <si>
    <t>134-92-0590</t>
  </si>
  <si>
    <t>064-48-9922</t>
  </si>
  <si>
    <t>086-72-2995</t>
  </si>
  <si>
    <t>119-76-9003</t>
  </si>
  <si>
    <t>076-82-7319</t>
  </si>
  <si>
    <t>562-39-4465</t>
  </si>
  <si>
    <t>110-82-1239</t>
  </si>
  <si>
    <t>094-76-4249</t>
  </si>
  <si>
    <t>115-40-5657</t>
  </si>
  <si>
    <t>118-76-8379</t>
  </si>
  <si>
    <t>074-66-7666</t>
  </si>
  <si>
    <t>116-48-9612</t>
  </si>
  <si>
    <t>122-92-9571</t>
  </si>
  <si>
    <t>000-00-3535</t>
  </si>
  <si>
    <t>053-94-7379</t>
  </si>
  <si>
    <t>466-94-5262</t>
  </si>
  <si>
    <t>082-74-2167</t>
  </si>
  <si>
    <t>108-80-0060</t>
  </si>
  <si>
    <t>063-58-1778</t>
  </si>
  <si>
    <t>126-66-9842</t>
  </si>
  <si>
    <t>000-00-8489</t>
  </si>
  <si>
    <t>087-50-0677</t>
  </si>
  <si>
    <t>058-82-8103</t>
  </si>
  <si>
    <t>238-47-0292</t>
  </si>
  <si>
    <t>090-84-3408</t>
  </si>
  <si>
    <t>105-68-4147</t>
  </si>
  <si>
    <t>102-69-2252</t>
  </si>
  <si>
    <t>262-93-0699</t>
  </si>
  <si>
    <t>106-76-9017</t>
  </si>
  <si>
    <t>110-60-4539</t>
  </si>
  <si>
    <t>147-11-9870</t>
  </si>
  <si>
    <t>084-78-2051</t>
  </si>
  <si>
    <t>088-94-2041</t>
  </si>
  <si>
    <t>11/28/2016</t>
  </si>
  <si>
    <t>01/01/2017</t>
  </si>
  <si>
    <t>08/15/2018</t>
  </si>
  <si>
    <t>07/11/2018</t>
  </si>
  <si>
    <t>07/06/2019</t>
  </si>
  <si>
    <t>09/20/2017</t>
  </si>
  <si>
    <t>10/31/2018</t>
  </si>
  <si>
    <t>07/19/2019</t>
  </si>
  <si>
    <t>06/23/2016</t>
  </si>
  <si>
    <t>08/04/2017</t>
  </si>
  <si>
    <t>08/10/2016</t>
  </si>
  <si>
    <t>01/11/2017</t>
  </si>
  <si>
    <t>CAT3: Cases Involving Rent-Regulated Housing Or Housing Subsidies Vouchers</t>
  </si>
  <si>
    <t>FJC Waiver</t>
  </si>
  <si>
    <t>Income Waiver</t>
  </si>
  <si>
    <t>Zip Code Waiver</t>
  </si>
  <si>
    <t>CAT1: HRA Referral</t>
  </si>
  <si>
    <t>Compliance at 18-1879063</t>
  </si>
  <si>
    <t>Compliance is in 18-1879049</t>
  </si>
  <si>
    <t>Compliance in 18-1875994 attestation section</t>
  </si>
  <si>
    <t>Compliance is in 18-1879056</t>
  </si>
  <si>
    <t>need income waiver</t>
  </si>
  <si>
    <t>FY19 Compliance upload 18-1878669</t>
  </si>
  <si>
    <t>Compliance docs in 18-1876259</t>
  </si>
  <si>
    <t>Income Waiver denied on 7/9/19</t>
  </si>
  <si>
    <t>Compliance Forms are LS 19-1903926</t>
  </si>
  <si>
    <t>Compliance Forms are LS 19-1904941</t>
  </si>
  <si>
    <t>Compliance in 18-1878653</t>
  </si>
  <si>
    <t>Client never met with any staff member. Advised over the phone.</t>
  </si>
  <si>
    <t>DO-Docs signed and uploaded</t>
  </si>
  <si>
    <t>Compliance docs located in parent file 18-1878374</t>
  </si>
  <si>
    <t>Releases in 18-1875383</t>
  </si>
  <si>
    <t>Compliance Docs located in file 18-1877136</t>
  </si>
  <si>
    <t>compliance docs located in parent file 18-1878374</t>
  </si>
  <si>
    <t>DO-Noted that waiver was approved / Compliance docs located in parent file #18-1874152</t>
  </si>
  <si>
    <t>Group HP case. Notes in 19-1911193. All compliance forms have been uploaded.</t>
  </si>
  <si>
    <t>Building-wide rent reduction application. Notes are in case 19-1911193. All compliance forms have been uploaded.</t>
  </si>
  <si>
    <t>Compliance Docs located in file 18-1873579</t>
  </si>
  <si>
    <t>Letter to the landlord regarding conditions. Notes in case 19-1911193. Compliance forms have been uploaded.</t>
  </si>
  <si>
    <t>Need income waiver for non-pay client associated with a building wide initiative.</t>
  </si>
  <si>
    <t>DO-noted that waiver was approved - Compliance docs in parent file 18-1875098</t>
  </si>
  <si>
    <t>releases and DHCI in 18-1878370</t>
  </si>
  <si>
    <t>Compliance doc located in file #18-1877829</t>
  </si>
  <si>
    <t>Compliance docs located in parent file #18-1878370</t>
  </si>
  <si>
    <t>Compliance docs located in file 18-1875239</t>
  </si>
  <si>
    <t>Need income waiver for client who is part of a group initiative.</t>
  </si>
  <si>
    <t>See file #18-1879507 for compliance docs</t>
  </si>
  <si>
    <t>Upload in compliance folder</t>
  </si>
  <si>
    <t>Intake release forms are in Attestation-compliance folder</t>
  </si>
  <si>
    <t>City FHEPS Case #:10154731</t>
  </si>
  <si>
    <t>intake/release forms are in Attestation-compliance folder of parent file #19-1887512</t>
  </si>
  <si>
    <t>Need income waiver for client who is part of a building wide initiative</t>
  </si>
  <si>
    <t>Needs income waiver for building wide/group work</t>
  </si>
  <si>
    <t>intake/releases uploaded</t>
  </si>
  <si>
    <t>Releases are uploaded</t>
  </si>
  <si>
    <t>compliance docs are in attestation folder</t>
  </si>
  <si>
    <t>HRA release/Intake packet at 19-1898908</t>
  </si>
  <si>
    <t>need income waiver for TRC</t>
  </si>
  <si>
    <t>Unsigned Consent to Release  - Cannot Report</t>
  </si>
  <si>
    <t>Advice Only</t>
  </si>
  <si>
    <t>releases/packet uploaded</t>
  </si>
  <si>
    <t>Income waiver required for TRC</t>
  </si>
  <si>
    <t>Compliance forms are in LS 19-1908611</t>
  </si>
  <si>
    <t>Compliance Docs located in companion file #19-1897431</t>
  </si>
  <si>
    <t>upload in 18-1876941</t>
  </si>
  <si>
    <t>upload in 18-1876793</t>
  </si>
  <si>
    <t>Brief Service</t>
  </si>
  <si>
    <t>All forms are uploaded</t>
  </si>
  <si>
    <t>Compliance docs located in companion file #19-1901098</t>
  </si>
  <si>
    <t>HRA Consent form &amp; Attestation located in Parent File 17-1854274</t>
  </si>
  <si>
    <t>upload in 18-1876828</t>
  </si>
  <si>
    <t>DO</t>
  </si>
  <si>
    <t>Need income waiver for client who is part of a building wide initiative.</t>
  </si>
  <si>
    <t>Income waiver needed for building wide work - Compliance docs located in parent file #19-1898331</t>
  </si>
  <si>
    <t>Income waiver needed for building wide affirmative action</t>
  </si>
  <si>
    <t>Income waiver needed - compliance docs located in companion file #19-1898334</t>
  </si>
  <si>
    <t>upload in 18-1876799</t>
  </si>
  <si>
    <t>Needs income waiver</t>
  </si>
  <si>
    <t>upload in 18-1876913</t>
  </si>
  <si>
    <t>compliance doc in 18-1881489</t>
  </si>
  <si>
    <t>Need income waiver for client who is a part of building wide initiative</t>
  </si>
  <si>
    <t>uploaded in 18-1876925</t>
  </si>
  <si>
    <t>upload in compliance folder</t>
  </si>
  <si>
    <t>Compliance forms are in LS 18-1878923</t>
  </si>
  <si>
    <t>Compliance in 18-1878923</t>
  </si>
  <si>
    <t>Compliance docs located in parent file #19-1905068</t>
  </si>
  <si>
    <t>see 18-1879063 for comp docs</t>
  </si>
  <si>
    <t>comp docs in 18-1879063</t>
  </si>
  <si>
    <t>Compliance forms are in 19-1896646.</t>
  </si>
  <si>
    <t>Compliance forms can be found in 19-1896646</t>
  </si>
  <si>
    <t>Compliance forms are LS 19-1895315</t>
  </si>
  <si>
    <t>upload in 17-1852369</t>
  </si>
  <si>
    <t>DHCI form below and rest of Compliance docs located in parent file 19-1896750</t>
  </si>
  <si>
    <t>DO-Docs signed and uploaded-File is under the compliance folder as "Attestation"</t>
  </si>
  <si>
    <t>Compliance forms are in LS 18-1885061</t>
  </si>
  <si>
    <t>Complaince Form is in LS 19-1895329</t>
  </si>
  <si>
    <t>Out-of-date forms in 17-1852369</t>
  </si>
  <si>
    <t>Compliance Forms are in LS 19-1900103</t>
  </si>
  <si>
    <t>18-1871414)</t>
  </si>
  <si>
    <t>DHCI below ; other forms are in 19-1896750</t>
  </si>
  <si>
    <t>Compliance docs located in parent file 19-1896646 - Need income waiver</t>
  </si>
  <si>
    <t>Compliance forms are in LS 19-1903231</t>
  </si>
  <si>
    <t>Upload in 17-1852179</t>
  </si>
  <si>
    <t>Compliance forms are in LS 19-1901098</t>
  </si>
  <si>
    <t>Compliance forms are in LS 19-1899074</t>
  </si>
  <si>
    <t>upload in 17-1852179</t>
  </si>
  <si>
    <t>Compliance upload 18-1878637</t>
  </si>
  <si>
    <t>upload in 18-1879051</t>
  </si>
  <si>
    <t>Compliance Forms are in 19-1896646</t>
  </si>
  <si>
    <t>Compliance forms are in 19-1896739</t>
  </si>
  <si>
    <t>compliance forms located in parent file 19-1896739</t>
  </si>
  <si>
    <t>Compliance forms are in 19-1896778</t>
  </si>
  <si>
    <t>compliance docs located in parent file #18-1885168</t>
  </si>
  <si>
    <t>Compliance Docs located in parent file #18-1885168</t>
  </si>
  <si>
    <t>compliance docs in 18-1872064</t>
  </si>
  <si>
    <t>Compliance upload 18-1876272</t>
  </si>
  <si>
    <t>compliance docs located in parent file #18-1885030</t>
  </si>
  <si>
    <t>Compliance Docs located in parent file #18-1885030</t>
  </si>
  <si>
    <t>Compliance Forms are in 19-1896739</t>
  </si>
  <si>
    <t>Compliance forms are in LS 19-1905076.  Needs income waiver</t>
  </si>
  <si>
    <t>COmpliance forms are in LS 19-1905076</t>
  </si>
  <si>
    <t>Compliance forms are in 19-1895344</t>
  </si>
  <si>
    <t>Compliance upload 18-1878669</t>
  </si>
  <si>
    <t>Part of a previously approved building wide initiative</t>
  </si>
  <si>
    <t>upload in 17-1852920</t>
  </si>
  <si>
    <t>upload in 18-1879056</t>
  </si>
  <si>
    <t>Compliance Forms are in LS 19-1904941.</t>
  </si>
  <si>
    <t>Compliance Forms are in LS 19-1895314</t>
  </si>
  <si>
    <t>Compliance forms in LS 19-1903926</t>
  </si>
  <si>
    <t>Compliance forms are in LS 18-1878653.</t>
  </si>
  <si>
    <t>Compliance upload 18-1878653</t>
  </si>
  <si>
    <t>Income waiver for bldg</t>
  </si>
  <si>
    <t>upload in 18-1871730</t>
  </si>
  <si>
    <t>compliance at 18-1876272</t>
  </si>
  <si>
    <t>need income waiver for participant in building wide initiative</t>
  </si>
  <si>
    <t>compliance docs are in retainer folder</t>
  </si>
  <si>
    <t>Does a housing issue via Single Stop get SS or TRC funding code?</t>
  </si>
  <si>
    <t>compliancedocs: HRA release in 17-0828947 RR-7/20/17</t>
  </si>
  <si>
    <t>compliance docs in Case No: (19-1895470</t>
  </si>
  <si>
    <t>DHCI waived for Bnkcy clients in building wide NEBHDCO actions</t>
  </si>
  <si>
    <t>18-1871414</t>
  </si>
  <si>
    <t>AB No Release</t>
  </si>
  <si>
    <t>Compliance docs located in parent file #18-1875686</t>
  </si>
  <si>
    <t>Release uploaded SRB</t>
  </si>
  <si>
    <t>Compliance docs located in companion file #19-1899074</t>
  </si>
  <si>
    <t>not sure if we can bill since case is about damages in a former apt?</t>
  </si>
  <si>
    <t>Sent by email to Sylvia</t>
  </si>
  <si>
    <t>Compliance Forms are in LS 18-1885016</t>
  </si>
  <si>
    <t>Compliance Docs located in parent file #19-1892341 incl retainer &amp; attestation</t>
  </si>
  <si>
    <t>compliancedocs: hra release in 15-0780976  rr-7/20/17</t>
  </si>
  <si>
    <t>Client got advice and outside referral over the phone. No one met with him in person &amp; no compliance docs obtained</t>
  </si>
  <si>
    <t>Releases are in the attestation folder</t>
  </si>
  <si>
    <t>See attestation at https://lsnyc.legalserver.org/matter/dynamic-profile/view/1899590</t>
  </si>
  <si>
    <t>reviewed SRB 12.12.16</t>
  </si>
  <si>
    <t>PA case # 34203610A</t>
  </si>
  <si>
    <t>No TNo TRC funding because cant get retainer</t>
  </si>
  <si>
    <t>Over 200%</t>
  </si>
  <si>
    <t>Retainer at 16-0804064</t>
  </si>
  <si>
    <t>50%+1 income waiver requested</t>
  </si>
  <si>
    <t>50% +1 income waiver needed</t>
  </si>
  <si>
    <t>Income waiver required</t>
  </si>
  <si>
    <t>Client is part of building wide initiative at 1074 Eastern Pkwy - Income waiver has been requested</t>
  </si>
  <si>
    <t>unable to obtain retainer despite best efforts</t>
  </si>
  <si>
    <t>Releases in (17-0831758)</t>
  </si>
  <si>
    <t>This file is a part of Non-pay action File #19-1903654</t>
  </si>
  <si>
    <t>PA advocacy for index # LT-058694-19/KI</t>
  </si>
  <si>
    <t>non-resident. DV victim</t>
  </si>
  <si>
    <t>PA Advocacy for Index No. LT-059006-19/KI.</t>
  </si>
  <si>
    <t>Companion file to #19-1907227</t>
  </si>
  <si>
    <t>PA Advocacy for Index LT-073440-19/KI</t>
  </si>
  <si>
    <t>This file is companion to Eviction case # 19-1899803</t>
  </si>
  <si>
    <t>Assistance provided to Jim McC on Holdover case file #18-1871668</t>
  </si>
  <si>
    <t>PA advocacy for index # LT-076809-19/KI</t>
  </si>
  <si>
    <t>PA Advocacy for Index LT-065317-19/KI</t>
  </si>
  <si>
    <t>Compliance forms and all other documents can be found in original case 18-1872177</t>
  </si>
  <si>
    <t>PA Advocacy for Index # LT-073248-19/KI</t>
  </si>
  <si>
    <t>This file is part of Housing Court case 19-1904189</t>
  </si>
  <si>
    <t>PA advocacy for index # LT-073674-19/KI</t>
  </si>
  <si>
    <t>PA advocacy for index # LT-066745-18/KI</t>
  </si>
  <si>
    <t>PA Advocacy for Index # LT-017910-18/KI</t>
  </si>
  <si>
    <t>Wavier for APT Facial Recognition. No DHCI required.</t>
  </si>
  <si>
    <t>Income waiver required. Waiver obtained re No DHCI required.</t>
  </si>
  <si>
    <t>DHCI waiver obtained. Need income waiver</t>
  </si>
  <si>
    <t>Waiver obtained re No DHCI required</t>
  </si>
  <si>
    <t>Building wide waiver obtained for DHCI form -Compliance Doc located in companion file #19-1897349</t>
  </si>
  <si>
    <t>Wavier for APT Facial Recognition. No DHCI required. Compliance forms are in 19-1897190</t>
  </si>
  <si>
    <t>Compliance forms are LS 19-1901977</t>
  </si>
  <si>
    <t>Compliance forms are in original LS 19-1892094</t>
  </si>
  <si>
    <t>Waiver obtained re No DHCI required. Attestation &amp; Release are housed in parent file #19-1891565</t>
  </si>
  <si>
    <t>Wavier for APT Facial recognition. No DHCI required</t>
  </si>
  <si>
    <t>Wavier for APT Facial recognition. No DHCI required.</t>
  </si>
  <si>
    <t>Wavier for APT facial recognition. No DHCI required.</t>
  </si>
  <si>
    <t>Compliance forms are in original LS 19-1892521</t>
  </si>
  <si>
    <t>Waiver for APT Facial Recognition. No DHCI required.</t>
  </si>
  <si>
    <t>Compliance forms are in original LS 19-1892863</t>
  </si>
  <si>
    <t>Compliance forms are in 19-1898243</t>
  </si>
  <si>
    <t>Waiver obtained re No DHCI required. Attestation &amp; Release are housed in parent file #19-1891580</t>
  </si>
  <si>
    <t>Waiver obtained re No DHCI required. Attestation &amp; Release are housed in parent file #19-1891586</t>
  </si>
  <si>
    <t>Compliance forms are in 19-1898259</t>
  </si>
  <si>
    <t>Compliance Forms are in original LS 19-1891914</t>
  </si>
  <si>
    <t>Waiver for DHCI obtained for facial recognition building wide initiative- Income waiver required</t>
  </si>
  <si>
    <t>Building wide waiver obtained for DHCI form - Compliance Docs located in companion file #19-1897534</t>
  </si>
  <si>
    <t>Building wide waiver obtained for DHCI form</t>
  </si>
  <si>
    <t>Compliance Forms are in original LS 19-1890575</t>
  </si>
  <si>
    <t>No DHCI required -Waiver obtained for APT facial recognition building wide initiative</t>
  </si>
  <si>
    <t>Compliance forms are in 19-1902042</t>
  </si>
  <si>
    <t>Compliance Forms are in original LS 19-1890581</t>
  </si>
  <si>
    <t>Compliance Docs located in parent file #18-1886406</t>
  </si>
  <si>
    <t>Waiver for no DHCI required</t>
  </si>
  <si>
    <t>Waiver for No DHCI required - Compliance docs in parent file #19-1893258</t>
  </si>
  <si>
    <t>Compliance forms ar ein original LS 19-1890587</t>
  </si>
  <si>
    <t>Complaince forms are in original LS 19-1890550</t>
  </si>
  <si>
    <t>upload in 17-1835050</t>
  </si>
  <si>
    <t>Compliance forms are in original LS 19-1892069</t>
  </si>
  <si>
    <t>Building wide waiver obtained for DHCI form - Compliance Docs located in companion file #19-1897406</t>
  </si>
  <si>
    <t>Compliance Forms are in 19-1897205</t>
  </si>
  <si>
    <t>Wavier for APT Facial Recognition.No DHCI required.</t>
  </si>
  <si>
    <t>Waiver obtained for DHCI - Waiver required for income</t>
  </si>
  <si>
    <t>Building wide waiver obtained for DHCI form - Compliance docs located in companion file #19-1897609</t>
  </si>
  <si>
    <t>Compliance forms are in 19-1898268</t>
  </si>
  <si>
    <t>Compliance forms are in 19-1902158</t>
  </si>
  <si>
    <t>Need income waiver for client in a building wide initiative</t>
  </si>
  <si>
    <t>No DHCI required -Waiver obtained for APT facial recognition group wide initiative</t>
  </si>
  <si>
    <t>Compliances forms are in original LS 19-1891891</t>
  </si>
  <si>
    <t>Compliance forms are in 19-1898966</t>
  </si>
  <si>
    <t>Compliance forms are in original LS 19-1892764</t>
  </si>
  <si>
    <t>Compliance Forms are in original LS 19-1892761</t>
  </si>
  <si>
    <t>Wavier for APT Facial Recogniton. No DHCI Required. Income waiver required</t>
  </si>
  <si>
    <t>Wavier for APT Facial Recogniton. No DHCI required.</t>
  </si>
  <si>
    <t>Income waiver needed for this master file of building wide initiative</t>
  </si>
  <si>
    <t>Compliance forms are in 19-1898951</t>
  </si>
  <si>
    <t>Compliance forms are in 19-1898845</t>
  </si>
  <si>
    <t>Waiver obtained for APT facial recognition group wide initiative - No DHCI required</t>
  </si>
  <si>
    <t>Compliance Forms are in orginial LS 19-1891940</t>
  </si>
  <si>
    <t>Compliance forms are in original LS 19-1890543</t>
  </si>
  <si>
    <t>Building wide waiver obtained for DHCI form -Compliance Docs located in companion file #19-1897337</t>
  </si>
  <si>
    <t>Compliance forms are in original LS 19-1892850</t>
  </si>
  <si>
    <t>Compliance Docs located in parent file #18-1886163</t>
  </si>
  <si>
    <t>Compliance forms are in 19-1898982</t>
  </si>
  <si>
    <t>Compliance Forms are in original LS 19-1890628</t>
  </si>
  <si>
    <t>Atlantic Plaza Towers facial recognition advocacy</t>
  </si>
  <si>
    <t>Need income waiver. Waiver obtained re No DHCI required</t>
  </si>
  <si>
    <t>Opposition to Facial Recogntion. Wavier for APT Facial Recognition. No DHCI Required.</t>
  </si>
  <si>
    <t>Waiver obtained - No DHCI required Compliance Docs located in parent file #19-1890567</t>
  </si>
  <si>
    <t>50+1% income waiver requested</t>
  </si>
  <si>
    <t>Compliance forms are in LS 19-1902001</t>
  </si>
  <si>
    <t>Wavier for facial recognition. No DHCI required.</t>
  </si>
  <si>
    <t>Waiver obtained re No DHCI required. Attestation &amp; Release are housed in parent file #19-1891594</t>
  </si>
  <si>
    <t>Building wide waiver obtained for DHCI form. Retainer, Attestation &amp; Release located in companion file #19-1897410</t>
  </si>
  <si>
    <t>Compliance forms are in 19-1898368</t>
  </si>
  <si>
    <t>Waiver obtained - No DHCI required Compliance Docs located in parent file #19-1890532</t>
  </si>
  <si>
    <t>Complaince forms are in original LS 18-1886541</t>
  </si>
  <si>
    <t>Waiver obtained re No DHCI required. Attestation &amp; Release are housed in parent file #19-1891559</t>
  </si>
  <si>
    <t>Waiver obtained - No DHCI required</t>
  </si>
  <si>
    <t>Building wide waiver obtained for DHCI form - Compliance docs located in companion file #19-1897605</t>
  </si>
  <si>
    <t>Wavier for APT Facial recognition.No DHCI required.</t>
  </si>
  <si>
    <t>Income waiver required. DHCI waiver obtained</t>
  </si>
  <si>
    <t>Compliance forms are in 19-1898404</t>
  </si>
  <si>
    <t>Waiver obtained re No DHCI required. Attestation &amp; Release are housed in parent file #19-1891541</t>
  </si>
  <si>
    <t>Compliance forms are in 19-1902056</t>
  </si>
  <si>
    <t>Compliance Forms are in original LS 19-1890584</t>
  </si>
  <si>
    <t>Compliance forms are in original LS 19-1892641</t>
  </si>
  <si>
    <t>Waiver obtained re No DHCI required. Attestation &amp; Release are housed in parent file #19-1891550</t>
  </si>
  <si>
    <t>Building wide waiver obtained for DHCI form -Compliance Docs located in companion file #19-1897393</t>
  </si>
  <si>
    <t>Compliance forms are in 19-1898251</t>
  </si>
  <si>
    <t>Compliance forms are in 19-1898848</t>
  </si>
  <si>
    <t>Compliance forms are in original LS 18-1886109</t>
  </si>
  <si>
    <t>Waiver obtained re No DHCI required. Attestation &amp; Release are housed in parent file #19-1891662</t>
  </si>
  <si>
    <t>Compliance forms are in 19-1898987</t>
  </si>
  <si>
    <t>Building wide waiver obtained for DHCI form - Compliance Docs located in companion file #19-1897528</t>
  </si>
  <si>
    <t>DHCI requirement waived re building wide initiative in opposition to Facial Recognition</t>
  </si>
  <si>
    <t>Compliance forms are in 19-1902026</t>
  </si>
  <si>
    <t>Compliance forms are in 19-1897175</t>
  </si>
  <si>
    <t>Compliance forms are in original LS 19-1892678</t>
  </si>
  <si>
    <t>Compliance forms are in original LS 19-1892667</t>
  </si>
  <si>
    <t>old form - minors with benefits but no PA number entered</t>
  </si>
  <si>
    <t>Waiver for APT Facial Recognition. DHCI not required.</t>
  </si>
  <si>
    <t>Waiver obtained re No DHCI required. Attestation &amp; Release are housed in parent file #19-1891491</t>
  </si>
  <si>
    <t>Compliance Docs found in parent file 18-1878029</t>
  </si>
  <si>
    <t>Building wide waiver obtained for DHCI form - Compliance Docs located in companion file #19-1897518</t>
  </si>
  <si>
    <t>Waiver obtained re No DHCI required. Attestation &amp; Release are housed in parent file #19-1891507</t>
  </si>
  <si>
    <t>Waiver obtained re No DHCI required.</t>
  </si>
  <si>
    <t>Waiver obtained - No DHCI required Compliance Docs located in parent file #19-1890552</t>
  </si>
  <si>
    <t>Compliance Docs located in parent file #18-1886734</t>
  </si>
  <si>
    <t>Compliance forms are 19-1897167</t>
  </si>
  <si>
    <t>Compliance forms are in 19-1898037</t>
  </si>
  <si>
    <t>Compliance forms are in 19-1898956</t>
  </si>
  <si>
    <t>DHCI waiver obtained for facial recognition group work</t>
  </si>
  <si>
    <t>Waiver obtained re No DHCI required. Attestation &amp; Release are housed in parent file #19-1891604</t>
  </si>
  <si>
    <t>Income waiver required. Waiver obtained re DHCI not required</t>
  </si>
  <si>
    <t>Compliance forms are in original LS 19-1889442</t>
  </si>
  <si>
    <t>Compliance Docs located in parent file #19-1887097</t>
  </si>
  <si>
    <t>Income waiver needed. Wavier for APT Facial Recognition. No DHCI required.</t>
  </si>
  <si>
    <t>Wavier for APT Facial Recognition. No DHCI or SSN required.</t>
  </si>
  <si>
    <t>Compliance Docs located in parent file #18-1886536</t>
  </si>
  <si>
    <t>Waiver obtained for DHCI form</t>
  </si>
  <si>
    <t>Compliance forms are in original LS 19-1892080</t>
  </si>
  <si>
    <t>Compliance forms are in LS 19-1902020</t>
  </si>
  <si>
    <t>Compliance forms are in original LS 19-1890585</t>
  </si>
  <si>
    <t>Opposition to facial recogntiton. Wavier for APT Facial Recognition. No DHCI required.</t>
  </si>
  <si>
    <t>Compliance forms are in original LS 19-1892650</t>
  </si>
  <si>
    <t>Compliance forms are in LS 19-1901993</t>
  </si>
  <si>
    <t>Compliance forms are in 19-1897843</t>
  </si>
  <si>
    <t>Compliance forms are in 19-1898383</t>
  </si>
  <si>
    <t>Compliance forms are in 19-1897154</t>
  </si>
  <si>
    <t>Waiver obtained - No DHCI required Compliance Docs located in parent file #19-1890630</t>
  </si>
  <si>
    <t>Waiver obtained - No DHCI required Compliance Docs located in parent file #19-1890579</t>
  </si>
  <si>
    <t>Wavier for APT facial regonition. No DHCI required.</t>
  </si>
  <si>
    <t>Compliance forms are in 19-1898022</t>
  </si>
  <si>
    <t>Waiver for APT Facial recognition. No DHCI required.</t>
  </si>
  <si>
    <t>Waiver obtained re No DHCI required. Attestation &amp; Release are housed in parent file #19-1891500</t>
  </si>
  <si>
    <t>Wavier for APT Facial Recognition. No DHCI or SSN required. Compliance Docs located in parent file #19-1890555</t>
  </si>
  <si>
    <t>Waiver obtained - No DHCI required Compliance Docs located in parent file #19-1890561</t>
  </si>
  <si>
    <t>Compliance forms are in original LS 19-1892004</t>
  </si>
  <si>
    <t>Compliance forms are in 19-1898376</t>
  </si>
  <si>
    <t>Wavier for APt facial recognition. No DHCI required.</t>
  </si>
  <si>
    <t>Compliance forms are in original LS 19-1891991</t>
  </si>
  <si>
    <t>Compliance forms are in original LS 18-1886113</t>
  </si>
  <si>
    <t>Compliance forms are in 19-1898732</t>
  </si>
  <si>
    <t>Compliance forms are in 19-1898976</t>
  </si>
  <si>
    <t>Compliance forms are in original LS 19-1890177</t>
  </si>
  <si>
    <t>Building wide waiver obtained for DHCI form - Compliance Docs located in Companion file #19-1897400</t>
  </si>
  <si>
    <t>Building wide waiver obtained for DHCI form - Needs income waiver</t>
  </si>
  <si>
    <t>Building wide waiver obtained for DHCI form - Compliance Docs located in companion file #19-1897516</t>
  </si>
  <si>
    <t>Compliance forms are in 19-1898826</t>
  </si>
  <si>
    <t>Waiver obtained for DHCI and SSN</t>
  </si>
  <si>
    <t>Compliance forms are in 19-1897702</t>
  </si>
  <si>
    <t>Compliance Forms are in orginial LS 19-1891925</t>
  </si>
  <si>
    <t>Compliance forms are in LS 19-1902048</t>
  </si>
  <si>
    <t>Compliance form are in original LS 19-1890535</t>
  </si>
  <si>
    <t>Compliance Docs located in parent file #18-1878029</t>
  </si>
  <si>
    <t>Compliance forms are in original LS 19-1891983</t>
  </si>
  <si>
    <t>Waiver obtained re No DHCI required. Attestation &amp; Release are housed in parent file #19-1891635</t>
  </si>
  <si>
    <t>Compliance forms are LS 19-1901986</t>
  </si>
  <si>
    <t>Compliance forms are in 19-1898394</t>
  </si>
  <si>
    <t>Waiver obtained for DHCI re APT bldg wide initiative</t>
  </si>
  <si>
    <t>Opposition to facial recognition. Wavier for APT facial recogniton. No DHCI required.</t>
  </si>
  <si>
    <t>Waiver obtained - No DHCI required Compliance Docs located in parent file #19-1890540</t>
  </si>
  <si>
    <t>50% +1 income waiver requested</t>
  </si>
  <si>
    <t>Compliance docs located in companion file #18-1876512</t>
  </si>
  <si>
    <t>Compliance docs located in companion file #19-1895283</t>
  </si>
  <si>
    <t>Client needs income &amp; zip code waivers - Compliance docs located in companion file #18-1880097</t>
  </si>
  <si>
    <t>Need income waiver - Compliance docs located in companion file #18-1885317</t>
  </si>
  <si>
    <t>DHCI Form, Releases &amp; attestation located in companion file #19-1891794</t>
  </si>
  <si>
    <t>Income waiver needed for building wide work. Compliance docs located in companion file #18-1882158</t>
  </si>
  <si>
    <t>upload in 17-1853915</t>
  </si>
  <si>
    <t>Compliance docs located in parent file #18-1876504</t>
  </si>
  <si>
    <t>Compliance docs located in companion file #18-1882154</t>
  </si>
  <si>
    <t>Income waiver required for client in a Duckler building wide initiative</t>
  </si>
  <si>
    <t>Waiver obtained for Dukler building wide HP initiative</t>
  </si>
  <si>
    <t>Compliance docs are located in companion file #18-1879255</t>
  </si>
  <si>
    <t>Client needs income waiver re group rep  - Compliance docs located in companion file #18-1879248</t>
  </si>
  <si>
    <t>Compliance Forms are in LS 18-1879657</t>
  </si>
  <si>
    <t>Compliance Forms are in LS-18-1879657</t>
  </si>
  <si>
    <t>Income Waiver denied on 7/9/19- Compliance docs located in parent file #18-1880271</t>
  </si>
  <si>
    <t>Need income waiver  - compliance docs located in file #18-1876938</t>
  </si>
  <si>
    <t>Need income waiver - Compliance docs located in companion file #18-1876516</t>
  </si>
  <si>
    <t>Compliance docs located in companion file #19-1895289</t>
  </si>
  <si>
    <t>Compliance docs located in companion file #18-1882164</t>
  </si>
  <si>
    <t>Compliance docs located in companion file #18-1880272</t>
  </si>
  <si>
    <t>Compliance docs located in companion file #18-1884207</t>
  </si>
  <si>
    <t>Compliance docs located in companion file #19-1899643 - Income waiver as part of building wide initiative.</t>
  </si>
  <si>
    <t>needs to be ZZ closed; prior FY</t>
  </si>
  <si>
    <t>Need income waiver - Compliance docs located in companion file #18-1876511</t>
  </si>
  <si>
    <t>Never met with client in person. No compliance docs obtained.</t>
  </si>
  <si>
    <t>Never met with client. No compliance docs obtained.</t>
  </si>
  <si>
    <t>No compliance docs as never met with client in person. Advice provided by Central Intake</t>
  </si>
  <si>
    <t>Never met with client in person. Gave simple advice over the phone. No physical file &amp; no compliance docs</t>
  </si>
  <si>
    <t>Compliance docs, incl Attestation, located in companion file #18-1885020</t>
  </si>
  <si>
    <t>Compliance docs in parent file #18-1876080</t>
  </si>
  <si>
    <t>09/13/2017</t>
  </si>
  <si>
    <t>11/02/2018</t>
  </si>
  <si>
    <t>08/16/2019</t>
  </si>
  <si>
    <t>06/27/2019</t>
  </si>
  <si>
    <t>10/08/2019</t>
  </si>
  <si>
    <t>06/05/2019</t>
  </si>
  <si>
    <t>06/16/2019</t>
  </si>
  <si>
    <t>04/24/2018</t>
  </si>
  <si>
    <t>06/11/2019</t>
  </si>
  <si>
    <t>09/20/2019</t>
  </si>
  <si>
    <t>07/15/2019</t>
  </si>
  <si>
    <t>11/20/2018</t>
  </si>
  <si>
    <t>05/10/2019</t>
  </si>
  <si>
    <t>06/17/2019</t>
  </si>
  <si>
    <t>10/19/2018</t>
  </si>
  <si>
    <t>06/14/2019</t>
  </si>
  <si>
    <t>07/31/2019</t>
  </si>
  <si>
    <t>08/09/2019</t>
  </si>
  <si>
    <t>10/02/2018</t>
  </si>
  <si>
    <t>07/05/2019</t>
  </si>
  <si>
    <t>05/14/2019</t>
  </si>
  <si>
    <t>03/20/2019</t>
  </si>
  <si>
    <t>06/15/2019</t>
  </si>
  <si>
    <t>05/25/2017</t>
  </si>
  <si>
    <t>10/04/2019</t>
  </si>
  <si>
    <t>02/19/2018</t>
  </si>
  <si>
    <t>07/22/2019</t>
  </si>
  <si>
    <t>11/03/2017</t>
  </si>
  <si>
    <t>04/20/2019</t>
  </si>
  <si>
    <t>09/13/2019</t>
  </si>
  <si>
    <t>03/18/2019</t>
  </si>
  <si>
    <t>04/07/2017</t>
  </si>
  <si>
    <t>04/17/2018</t>
  </si>
  <si>
    <t>02/08/2019</t>
  </si>
  <si>
    <t>01/08/2019</t>
  </si>
  <si>
    <t>08/28/2018</t>
  </si>
  <si>
    <t>08/06/2019</t>
  </si>
  <si>
    <t>08/07/2019</t>
  </si>
  <si>
    <t>03/06/2017</t>
  </si>
  <si>
    <t>12/09/2016</t>
  </si>
  <si>
    <t>08/12/2019</t>
  </si>
  <si>
    <t>03/22/2018</t>
  </si>
  <si>
    <t>05/09/2019</t>
  </si>
  <si>
    <t>11/08/2018</t>
  </si>
  <si>
    <t>08/14/2019</t>
  </si>
  <si>
    <t>09/20/2016</t>
  </si>
  <si>
    <t>01/10/2018</t>
  </si>
  <si>
    <t>01/19/2016</t>
  </si>
  <si>
    <t>03/21/2018</t>
  </si>
  <si>
    <t>09/11/2018</t>
  </si>
  <si>
    <t>06/19/2018</t>
  </si>
  <si>
    <t>05/15/2019</t>
  </si>
  <si>
    <t>01/04/2017</t>
  </si>
  <si>
    <t>08/02/2019</t>
  </si>
  <si>
    <t>03/26/2018</t>
  </si>
  <si>
    <t>10/20/2016</t>
  </si>
  <si>
    <t>07/20/2018</t>
  </si>
  <si>
    <t>03/12/2018</t>
  </si>
  <si>
    <t>01/13/2019</t>
  </si>
  <si>
    <t>10/13/2016</t>
  </si>
  <si>
    <t>09/06/2016</t>
  </si>
  <si>
    <t>09/17/2018</t>
  </si>
  <si>
    <t>12/03/2018</t>
  </si>
  <si>
    <t>07/23/2019</t>
  </si>
  <si>
    <t>06/23/2017</t>
  </si>
  <si>
    <t>04/16/2018</t>
  </si>
  <si>
    <t>01/07/2019</t>
  </si>
  <si>
    <t>08/20/2018</t>
  </si>
  <si>
    <t>02/07/2017</t>
  </si>
  <si>
    <t>05/08/2019</t>
  </si>
  <si>
    <t>02/01/2019</t>
  </si>
  <si>
    <t>08/08/2019</t>
  </si>
  <si>
    <t>03/19/2019</t>
  </si>
  <si>
    <t>06/26/2019</t>
  </si>
  <si>
    <t>12/05/2018</t>
  </si>
  <si>
    <t>Khanam, Aysha</t>
  </si>
  <si>
    <t>Dong, Sean</t>
  </si>
  <si>
    <t>Ross, Jasmine</t>
  </si>
  <si>
    <t>Amponsah, Oheneba</t>
  </si>
  <si>
    <t>Lane, Diane</t>
  </si>
  <si>
    <t>Santana, Bridgette</t>
  </si>
  <si>
    <t>Neilson, Kathryn</t>
  </si>
  <si>
    <t>Hernandez, Marisol</t>
  </si>
  <si>
    <t>Lopez, Gabriel</t>
  </si>
  <si>
    <t>Guzman Velazquez, Leida</t>
  </si>
  <si>
    <t>Villanueva, Anthony</t>
  </si>
  <si>
    <t>Hernandez, Elizabeth</t>
  </si>
  <si>
    <t>Escobar, Sarah</t>
  </si>
  <si>
    <t>Ortega, Luis</t>
  </si>
  <si>
    <t>Baldova, Maria</t>
  </si>
  <si>
    <t>Pierre, Haenley</t>
  </si>
  <si>
    <t>Frias De Sosa, Yajaira</t>
  </si>
  <si>
    <t>Duman, Shirley</t>
  </si>
  <si>
    <t>Morales-Robinson, Ana</t>
  </si>
  <si>
    <t>Wilson-Wieland, Cherille</t>
  </si>
  <si>
    <t>Djourab, Atteib</t>
  </si>
  <si>
    <t>Tan, Andrea</t>
  </si>
  <si>
    <t>Wong, Angela</t>
  </si>
  <si>
    <t>Oquendo, Joann</t>
  </si>
  <si>
    <t>Moss, Julieta</t>
  </si>
  <si>
    <t>Richardson, Ryan</t>
  </si>
  <si>
    <t>Barreda, Catherine</t>
  </si>
  <si>
    <t>Josephson, Edward</t>
  </si>
  <si>
    <t>Ramos, Yolanda</t>
  </si>
  <si>
    <t>Prado, Steven</t>
  </si>
  <si>
    <t>Figueroa, Sylvia</t>
  </si>
  <si>
    <t>Vazquez, Angel</t>
  </si>
  <si>
    <t>Guadalupe, Marilyn</t>
  </si>
  <si>
    <t>Medina, Marta</t>
  </si>
  <si>
    <t>Baez, Jeaneshia</t>
  </si>
  <si>
    <t>Molnar, Shandanette</t>
  </si>
  <si>
    <t>Pongnon, Miouly</t>
  </si>
  <si>
    <t>Lee, Alicia</t>
  </si>
  <si>
    <t>Ventura, Alejandro</t>
  </si>
  <si>
    <t>Nachman, Fraidy</t>
  </si>
  <si>
    <t>Hansen-Eder, Arlene</t>
  </si>
  <si>
    <t>Lee, Soo Hyun</t>
  </si>
  <si>
    <t>Vergeli, Evelyn</t>
  </si>
  <si>
    <t>Pujols, Isabel</t>
  </si>
  <si>
    <t>Coludro, Zulma</t>
  </si>
  <si>
    <t>Santos, Marisol</t>
  </si>
  <si>
    <t>Bernardez, Florencita</t>
  </si>
  <si>
    <t>Pozo, Caridad</t>
  </si>
  <si>
    <t>Rodriguez, Ana</t>
  </si>
  <si>
    <t>Rodney, Gabby</t>
  </si>
  <si>
    <t>Suriel, Sal</t>
  </si>
  <si>
    <t>Needs HRA Release</t>
  </si>
  <si>
    <t>No Release - Remove Elig Date</t>
  </si>
  <si>
    <t>Yes</t>
  </si>
  <si>
    <t>No</t>
  </si>
  <si>
    <t xml:space="preserve"> </t>
  </si>
  <si>
    <t>02/23/2019</t>
  </si>
  <si>
    <t>11/30/2017</t>
  </si>
  <si>
    <t>05/01/2018</t>
  </si>
  <si>
    <t>03/01/2018</t>
  </si>
  <si>
    <t>12/08/2018</t>
  </si>
  <si>
    <t>05/11/2019</t>
  </si>
  <si>
    <t>08/28/2017</t>
  </si>
  <si>
    <t>06/07/2017</t>
  </si>
  <si>
    <t>02/01/2018</t>
  </si>
  <si>
    <t>09/20/2018</t>
  </si>
  <si>
    <t>01/20/2018</t>
  </si>
  <si>
    <t>01/07/2018</t>
  </si>
  <si>
    <t>11/13/2018</t>
  </si>
  <si>
    <t>11/30/2019</t>
  </si>
  <si>
    <t>12/01/2018</t>
  </si>
  <si>
    <t>09/01/2019</t>
  </si>
  <si>
    <t>02/24/2017</t>
  </si>
  <si>
    <t>01/15/2018</t>
  </si>
  <si>
    <t>12/17/2018</t>
  </si>
  <si>
    <t>02/10/2020</t>
  </si>
  <si>
    <t>10/05/2017</t>
  </si>
  <si>
    <t>01/01/2018</t>
  </si>
  <si>
    <t>02/19/2019</t>
  </si>
  <si>
    <t>04/03/2019</t>
  </si>
  <si>
    <t>03/15/2018</t>
  </si>
  <si>
    <t>07/27/2018</t>
  </si>
  <si>
    <t>06/30/2019</t>
  </si>
  <si>
    <t>12/21/2018</t>
  </si>
  <si>
    <t>12/20/2018</t>
  </si>
  <si>
    <t>08/01/2018</t>
  </si>
  <si>
    <t>08/08/2018</t>
  </si>
  <si>
    <t>06/26/2017</t>
  </si>
  <si>
    <t>08/19/2018</t>
  </si>
  <si>
    <t>10/18/2018</t>
  </si>
  <si>
    <t>09/14/2018</t>
  </si>
  <si>
    <t>08/16/2018</t>
  </si>
  <si>
    <t>01/01/2019</t>
  </si>
  <si>
    <t>02/22/2018</t>
  </si>
  <si>
    <t>09/21/2017</t>
  </si>
  <si>
    <t>08/10/2018</t>
  </si>
  <si>
    <t>11/10/2018</t>
  </si>
  <si>
    <t>06/16/2018</t>
  </si>
  <si>
    <t>06/17/2018</t>
  </si>
  <si>
    <t>01/09/2017</t>
  </si>
  <si>
    <t>03/26/2017</t>
  </si>
  <si>
    <t>10/01/2017</t>
  </si>
  <si>
    <t>06/28/2018</t>
  </si>
  <si>
    <t>06/01/2019</t>
  </si>
  <si>
    <t>04/15/2019</t>
  </si>
  <si>
    <t>06/09/2018</t>
  </si>
  <si>
    <t>01/02/2019</t>
  </si>
  <si>
    <t>08/22/2018</t>
  </si>
  <si>
    <t>08/03/2019</t>
  </si>
  <si>
    <t>09/01/2018</t>
  </si>
  <si>
    <t>01/19/2019</t>
  </si>
  <si>
    <t>12/23/2018</t>
  </si>
  <si>
    <t>01/09/2018</t>
  </si>
  <si>
    <t>03/18/2018</t>
  </si>
  <si>
    <t>11/23/2018</t>
  </si>
  <si>
    <t>06/30/2018</t>
  </si>
  <si>
    <t>08/23/2018</t>
  </si>
  <si>
    <t>01/22/2018</t>
  </si>
  <si>
    <t>07/31/2017</t>
  </si>
  <si>
    <t>07/01/2018</t>
  </si>
  <si>
    <t>06/15/2017</t>
  </si>
  <si>
    <t>07/26/2017</t>
  </si>
  <si>
    <t>01/23/2017</t>
  </si>
  <si>
    <t>03/05/2018</t>
  </si>
  <si>
    <t>08/18/2016</t>
  </si>
  <si>
    <t>08/30/2016</t>
  </si>
  <si>
    <t>06/30/2017</t>
  </si>
  <si>
    <t>06/30/2016</t>
  </si>
  <si>
    <t>06/10/2016</t>
  </si>
  <si>
    <t>01/15/2019</t>
  </si>
  <si>
    <t>02/18/2019</t>
  </si>
  <si>
    <t>06/08/2015</t>
  </si>
  <si>
    <t>12/17/2015</t>
  </si>
  <si>
    <t>12/01/2017</t>
  </si>
  <si>
    <t>09/30/2017</t>
  </si>
  <si>
    <t>03/07/2018</t>
  </si>
  <si>
    <t>02/06/2018</t>
  </si>
  <si>
    <t>09/01/2017</t>
  </si>
  <si>
    <t>04/12/2013</t>
  </si>
  <si>
    <t>02/03/2017</t>
  </si>
  <si>
    <t>07/01/2017</t>
  </si>
  <si>
    <t>09/15/2019</t>
  </si>
  <si>
    <t>11/04/2017</t>
  </si>
  <si>
    <t>11/20/2015</t>
  </si>
  <si>
    <t>05/09/2016</t>
  </si>
  <si>
    <t>05/31/2019</t>
  </si>
  <si>
    <t>02/20/2019</t>
  </si>
  <si>
    <t>12/12/2017</t>
  </si>
  <si>
    <t>12/22/2018</t>
  </si>
  <si>
    <t>06/14/2017</t>
  </si>
  <si>
    <t>12/11/2018</t>
  </si>
  <si>
    <t>12/26/2018</t>
  </si>
  <si>
    <t>02/09/2019</t>
  </si>
  <si>
    <t>10/27/2018</t>
  </si>
  <si>
    <t>11/01/2017</t>
  </si>
  <si>
    <t>01/26/2017</t>
  </si>
  <si>
    <t>01/25/2019</t>
  </si>
  <si>
    <t>09/21/2019</t>
  </si>
  <si>
    <t>01/01/2013</t>
  </si>
  <si>
    <t>05/10/2017</t>
  </si>
  <si>
    <t>Needs Housing Type of Case</t>
  </si>
  <si>
    <t>Holdover</t>
  </si>
  <si>
    <t>Other Civil Court</t>
  </si>
  <si>
    <t>Tenant Rights</t>
  </si>
  <si>
    <t>Non-payment</t>
  </si>
  <si>
    <t>No Case</t>
  </si>
  <si>
    <t>DHCR Proceeding</t>
  </si>
  <si>
    <t>Section 8 other</t>
  </si>
  <si>
    <t>Sec. 8 Termination</t>
  </si>
  <si>
    <t>HP Action</t>
  </si>
  <si>
    <t>DHCR Administrative Action</t>
  </si>
  <si>
    <t>SCRIE/DRIE</t>
  </si>
  <si>
    <t>Non-Litigation Advocacy</t>
  </si>
  <si>
    <t>Affirmative Litigation Supreme</t>
  </si>
  <si>
    <t>Human Rights Complaint</t>
  </si>
  <si>
    <t>Affirmative Litigation Federal</t>
  </si>
  <si>
    <t>7A Proceeding</t>
  </si>
  <si>
    <t>Mitchell-Lama Termination</t>
  </si>
  <si>
    <t>Illegal Lockout</t>
  </si>
  <si>
    <t>Article 78</t>
  </si>
  <si>
    <t>PA Issue: Other</t>
  </si>
  <si>
    <t>Other</t>
  </si>
  <si>
    <t>PA Issue: FEPS</t>
  </si>
  <si>
    <t>PA Issue: RAU</t>
  </si>
  <si>
    <t>PA Issue: City FEPS/SEPS</t>
  </si>
  <si>
    <t>Other Administrative Proceeding</t>
  </si>
  <si>
    <t>Needs Level of Service</t>
  </si>
  <si>
    <t>Representation - State Court</t>
  </si>
  <si>
    <t>Representation - Federal Court</t>
  </si>
  <si>
    <t>Representation - Admin. Agency</t>
  </si>
  <si>
    <t>Hold For Review</t>
  </si>
  <si>
    <t>Out-of-Court Advocacy</t>
  </si>
  <si>
    <t>Advice</t>
  </si>
  <si>
    <t>Needs Building Case Answer</t>
  </si>
  <si>
    <t>Prefer Not To Answer</t>
  </si>
  <si>
    <t>Needs Referral Source</t>
  </si>
  <si>
    <t>Must be FJC</t>
  </si>
  <si>
    <t>Returning Client</t>
  </si>
  <si>
    <t>Community Organization</t>
  </si>
  <si>
    <t>Word of mouth</t>
  </si>
  <si>
    <t>Outreach</t>
  </si>
  <si>
    <t>Friends/Family</t>
  </si>
  <si>
    <t>FJC Housing Intake</t>
  </si>
  <si>
    <t>Court Referral-NON HRA</t>
  </si>
  <si>
    <t>Other City Agency</t>
  </si>
  <si>
    <t>In-House</t>
  </si>
  <si>
    <t>Self-referred</t>
  </si>
  <si>
    <t>Legal Services</t>
  </si>
  <si>
    <t>Court</t>
  </si>
  <si>
    <t>3-1-1</t>
  </si>
  <si>
    <t>HRA</t>
  </si>
  <si>
    <t>Tenant Support Unit</t>
  </si>
  <si>
    <t>HRA ELS Part F Brooklyn</t>
  </si>
  <si>
    <t>HRA ELS (Assigned Counsel)</t>
  </si>
  <si>
    <t>Elected Official</t>
  </si>
  <si>
    <t>Home base</t>
  </si>
  <si>
    <t>ADP Hotline</t>
  </si>
  <si>
    <t>3011 TRC FJC Initiative</t>
  </si>
  <si>
    <t>Needs Rent Amount</t>
  </si>
  <si>
    <t>Needs Units</t>
  </si>
  <si>
    <t>Needs To Be Number</t>
  </si>
  <si>
    <t>0</t>
  </si>
  <si>
    <t>6 units</t>
  </si>
  <si>
    <t>Needs Form of Regulation</t>
  </si>
  <si>
    <t>Rent Stabilized</t>
  </si>
  <si>
    <t>Unregulated</t>
  </si>
  <si>
    <t>Rent Controlled</t>
  </si>
  <si>
    <t>HDFC</t>
  </si>
  <si>
    <t>Unknown</t>
  </si>
  <si>
    <t>Other Subsidized Housing</t>
  </si>
  <si>
    <t>Supportive Housing</t>
  </si>
  <si>
    <t>Project-based Sec. 8</t>
  </si>
  <si>
    <t>Low Income Tax Credit</t>
  </si>
  <si>
    <t>Unregulated – Co-Op</t>
  </si>
  <si>
    <t>Public Housing</t>
  </si>
  <si>
    <t>Public Housing/NYCHA</t>
  </si>
  <si>
    <t>Mitchell-Lama</t>
  </si>
  <si>
    <t>Unregulated – Other</t>
  </si>
  <si>
    <t>Needs Type of Subsidy</t>
  </si>
  <si>
    <t>None</t>
  </si>
  <si>
    <t>Section 8</t>
  </si>
  <si>
    <t>HASA</t>
  </si>
  <si>
    <t>City FEPS</t>
  </si>
  <si>
    <t>LINC</t>
  </si>
  <si>
    <t>FEPS</t>
  </si>
  <si>
    <t>DRIE/SCRIE</t>
  </si>
  <si>
    <t>SEPS</t>
  </si>
  <si>
    <t>HUD VASH</t>
  </si>
  <si>
    <t>Needs Years In Apartment</t>
  </si>
  <si>
    <t>Needs Valid Number</t>
  </si>
  <si>
    <t>Needs Language</t>
  </si>
  <si>
    <t>English</t>
  </si>
  <si>
    <t>Spanish</t>
  </si>
  <si>
    <t>French</t>
  </si>
  <si>
    <t>Arabic</t>
  </si>
  <si>
    <t>Japanese</t>
  </si>
  <si>
    <t xml:space="preserve">Chinese </t>
  </si>
  <si>
    <t>Dutch</t>
  </si>
  <si>
    <t>Russian</t>
  </si>
  <si>
    <t>Needs Posture of Case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</si>
  <si>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</si>
  <si>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</si>
  <si>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</si>
  <si>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</si>
  <si>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Post-Judgment, Tenant Out of Possession</t>
  </si>
  <si>
    <t>Needs Income Verification</t>
  </si>
  <si>
    <t>DHCI Form</t>
  </si>
  <si>
    <t>Active CA/SNAP</t>
  </si>
  <si>
    <t>Needs Correct PA # Format</t>
  </si>
  <si>
    <t>5940670 C</t>
  </si>
  <si>
    <t>none</t>
  </si>
  <si>
    <t>Not available</t>
  </si>
  <si>
    <t>2514538E</t>
  </si>
  <si>
    <t>not available</t>
  </si>
  <si>
    <t>unavailable</t>
  </si>
  <si>
    <t>will provide</t>
  </si>
  <si>
    <t>unknown</t>
  </si>
  <si>
    <t>037048355E</t>
  </si>
  <si>
    <t>9281839-C</t>
  </si>
  <si>
    <t>Unavailable</t>
  </si>
  <si>
    <t>00016600288B</t>
  </si>
  <si>
    <t>00037201694J</t>
  </si>
  <si>
    <t>015934905J</t>
  </si>
  <si>
    <t>2171609HCL</t>
  </si>
  <si>
    <t>000245902C</t>
  </si>
  <si>
    <t>010388752H</t>
  </si>
  <si>
    <t>8970740-A</t>
  </si>
  <si>
    <t>37542346RJ -19</t>
  </si>
  <si>
    <t>008414814H</t>
  </si>
  <si>
    <t>4179881-1</t>
  </si>
  <si>
    <t>006139334 E</t>
  </si>
  <si>
    <t>WV10058W</t>
  </si>
  <si>
    <t>00037751899 I</t>
  </si>
  <si>
    <t>008743010E</t>
  </si>
  <si>
    <t>007172896I</t>
  </si>
  <si>
    <t>030060214B</t>
  </si>
  <si>
    <t>Needs to provide</t>
  </si>
  <si>
    <t>00030223547I</t>
  </si>
  <si>
    <t>00037408902H</t>
  </si>
  <si>
    <t>002960083A</t>
  </si>
  <si>
    <t>16241685D</t>
  </si>
  <si>
    <t>035334052E</t>
  </si>
  <si>
    <t>00015368528 E</t>
  </si>
  <si>
    <t>V35891T</t>
  </si>
  <si>
    <t>S308506</t>
  </si>
  <si>
    <t>008136303I</t>
  </si>
  <si>
    <t>037358662H</t>
  </si>
  <si>
    <t>1448589 A</t>
  </si>
  <si>
    <t>7230391 A</t>
  </si>
  <si>
    <t>N/a</t>
  </si>
  <si>
    <t>003995994F</t>
  </si>
  <si>
    <t>7000177-01-01</t>
  </si>
  <si>
    <t>008584520E</t>
  </si>
  <si>
    <t>4034579F</t>
  </si>
  <si>
    <t>00005967951e</t>
  </si>
  <si>
    <t>12318083I</t>
  </si>
  <si>
    <t>4647469-1</t>
  </si>
  <si>
    <t>No available</t>
  </si>
  <si>
    <t>036869011B</t>
  </si>
  <si>
    <t>036982304C</t>
  </si>
  <si>
    <t>12480289D</t>
  </si>
  <si>
    <t>12480289 D</t>
  </si>
  <si>
    <t>00011517556E</t>
  </si>
  <si>
    <t>9592685D</t>
  </si>
  <si>
    <t>004324947D</t>
  </si>
  <si>
    <t>0058419944G</t>
  </si>
  <si>
    <t>00022009745F</t>
  </si>
  <si>
    <t>36040282-A</t>
  </si>
  <si>
    <t>9833470-1</t>
  </si>
  <si>
    <t>002548716G</t>
  </si>
  <si>
    <t>9948658B</t>
  </si>
  <si>
    <t>18089865C</t>
  </si>
  <si>
    <t>000345730G</t>
  </si>
  <si>
    <t>00009296327B</t>
  </si>
  <si>
    <t>0000625824OI</t>
  </si>
  <si>
    <t>00033547058J</t>
  </si>
  <si>
    <t>no</t>
  </si>
  <si>
    <t>7573934C</t>
  </si>
  <si>
    <t>10802715C</t>
  </si>
  <si>
    <t>9230562C-01</t>
  </si>
  <si>
    <t>009809162C</t>
  </si>
  <si>
    <t>010980725F</t>
  </si>
  <si>
    <t>011917778A</t>
  </si>
  <si>
    <t>33220945B</t>
  </si>
  <si>
    <t>14373073 H</t>
  </si>
  <si>
    <t>ZG93804U &amp; 12210107</t>
  </si>
  <si>
    <t>018625994B</t>
  </si>
  <si>
    <t>Not Available</t>
  </si>
  <si>
    <t>036812101 I</t>
  </si>
  <si>
    <t>2915811A</t>
  </si>
  <si>
    <t>032263748J</t>
  </si>
  <si>
    <t>001310701G</t>
  </si>
  <si>
    <t>8635595-F</t>
  </si>
  <si>
    <t>18494021B</t>
  </si>
  <si>
    <t>UC08287E</t>
  </si>
  <si>
    <t>00037671577H</t>
  </si>
  <si>
    <t>37627759G</t>
  </si>
  <si>
    <t>ZR61034H</t>
  </si>
  <si>
    <t>002701704F</t>
  </si>
  <si>
    <t>10839771C</t>
  </si>
  <si>
    <t>6004868123 /185941196</t>
  </si>
  <si>
    <t>007351849A</t>
  </si>
  <si>
    <t>14963141I</t>
  </si>
  <si>
    <t>4743012J</t>
  </si>
  <si>
    <t>004743012J</t>
  </si>
  <si>
    <t>00036758422E</t>
  </si>
  <si>
    <t>008586546 H</t>
  </si>
  <si>
    <t>00008531415B</t>
  </si>
  <si>
    <t>WK31684D</t>
  </si>
  <si>
    <t>8970740A</t>
  </si>
  <si>
    <t>009637380I</t>
  </si>
  <si>
    <t>018026914E</t>
  </si>
  <si>
    <t>client to provide</t>
  </si>
  <si>
    <t>007390332A</t>
  </si>
  <si>
    <t>006548550A</t>
  </si>
  <si>
    <t>37572302A</t>
  </si>
  <si>
    <t>2952457G</t>
  </si>
  <si>
    <t>000745939J</t>
  </si>
  <si>
    <t>9318140C</t>
  </si>
  <si>
    <t>00037540753D</t>
  </si>
  <si>
    <t>1018097E</t>
  </si>
  <si>
    <t>6959187D</t>
  </si>
  <si>
    <t>0007557622D</t>
  </si>
  <si>
    <t>6004868732145134295</t>
  </si>
  <si>
    <t>000992875F</t>
  </si>
  <si>
    <t>008895026G</t>
  </si>
  <si>
    <t>33502288A / 17979163 H</t>
  </si>
  <si>
    <t>011375659H</t>
  </si>
  <si>
    <t>not avail</t>
  </si>
  <si>
    <t>004483522B</t>
  </si>
  <si>
    <t>37453640 H</t>
  </si>
  <si>
    <t>034725982C</t>
  </si>
  <si>
    <t>Needs Correct Case # Format</t>
  </si>
  <si>
    <t>LT-068560-18/KI</t>
  </si>
  <si>
    <t>LT-081179-19/KI</t>
  </si>
  <si>
    <t>040820/19</t>
  </si>
  <si>
    <t>040820/2019</t>
  </si>
  <si>
    <t>LT-085502-17/KI</t>
  </si>
  <si>
    <t>LT-081490-18/KI</t>
  </si>
  <si>
    <t>LT-098894-17/KI</t>
  </si>
  <si>
    <t>19-1895371</t>
  </si>
  <si>
    <t>LT-090956-18/KI</t>
  </si>
  <si>
    <t>LT-058694-19/KI</t>
  </si>
  <si>
    <t>077933-18/KI</t>
  </si>
  <si>
    <t>CV-064598-19/KI</t>
  </si>
  <si>
    <t>LT-063862-19/KI</t>
  </si>
  <si>
    <t>LT-074202-19/KI</t>
  </si>
  <si>
    <t>LT-077604-19/KI</t>
  </si>
  <si>
    <t>LT-069755-19/KI</t>
  </si>
  <si>
    <t>LT-059294-19/KI</t>
  </si>
  <si>
    <t>LT-096221-18/KI</t>
  </si>
  <si>
    <t>LT-084636-19/KI</t>
  </si>
  <si>
    <t>LT-000287-19/KI</t>
  </si>
  <si>
    <t>LT-002013-15/KI</t>
  </si>
  <si>
    <t>No case</t>
  </si>
  <si>
    <t>GP-210025-R</t>
  </si>
  <si>
    <t>LT-006147-18/KI</t>
  </si>
  <si>
    <t>LT-050911-16/KI</t>
  </si>
  <si>
    <t>19-40820</t>
  </si>
  <si>
    <t>LT-079443-17/KI</t>
  </si>
  <si>
    <t>5479/16</t>
  </si>
  <si>
    <t>LT-060707-17/KI</t>
  </si>
  <si>
    <t>GP-210048-R</t>
  </si>
  <si>
    <t>LT-099814-17/KI</t>
  </si>
  <si>
    <t>LT-085378-19/KI</t>
  </si>
  <si>
    <t>LT-080844-19/KI</t>
  </si>
  <si>
    <t>LT-076747-19/KI</t>
  </si>
  <si>
    <t>LT-074647-19/KI</t>
  </si>
  <si>
    <t>LT-085791-19/KI</t>
  </si>
  <si>
    <t>40820/2019</t>
  </si>
  <si>
    <t>LT-078894-19/KI</t>
  </si>
  <si>
    <t>LT-064585-19/KI</t>
  </si>
  <si>
    <t>521089/2017</t>
  </si>
  <si>
    <t>LT-007444-18/KI</t>
  </si>
  <si>
    <t>64581/19</t>
  </si>
  <si>
    <t>047991/2019</t>
  </si>
  <si>
    <t>045154/2019</t>
  </si>
  <si>
    <t>037984/2018</t>
  </si>
  <si>
    <t>no case</t>
  </si>
  <si>
    <t>LT-082168-18/KI</t>
  </si>
  <si>
    <t>LT-075689-18/KI</t>
  </si>
  <si>
    <t>LT-053962-19/KI</t>
  </si>
  <si>
    <t>LT-067042-18/KI</t>
  </si>
  <si>
    <t>LT-054825-19/KI</t>
  </si>
  <si>
    <t>LT-054459-19/KI</t>
  </si>
  <si>
    <t>LT-088662-18/KI</t>
  </si>
  <si>
    <t>LT-082985-19/KI</t>
  </si>
  <si>
    <t>LT-095560-18/KI</t>
  </si>
  <si>
    <t>LT-069256-19/KI</t>
  </si>
  <si>
    <t>LT-084112-19/KI</t>
  </si>
  <si>
    <t>LT-059006-19/KI</t>
  </si>
  <si>
    <t>LT-083963-18/KI</t>
  </si>
  <si>
    <t>LT-077440-19/KI</t>
  </si>
  <si>
    <t>LT-088600-18/KI</t>
  </si>
  <si>
    <t>LT-093578-18/KI</t>
  </si>
  <si>
    <t>LT-069262-19/KI</t>
  </si>
  <si>
    <t>LT-082926-19/KI</t>
  </si>
  <si>
    <t>LT-075815-17/KI</t>
  </si>
  <si>
    <t>LT-088031-18/KI</t>
  </si>
  <si>
    <t>LT-050261-19/KI</t>
  </si>
  <si>
    <t>LT-084995-19/KI</t>
  </si>
  <si>
    <t>LT-075894-19/KI</t>
  </si>
  <si>
    <t>LT-091041-17/KI</t>
  </si>
  <si>
    <t>LT-001912-16/KI</t>
  </si>
  <si>
    <t>LT-050967-19/KI</t>
  </si>
  <si>
    <t>LT-080172-18/KI</t>
  </si>
  <si>
    <t>none yet</t>
  </si>
  <si>
    <t>LT-074239-19/KI</t>
  </si>
  <si>
    <t>LT-081553-19/KI</t>
  </si>
  <si>
    <t>LT-051847-19/KI</t>
  </si>
  <si>
    <t>LT-062456-19/KI</t>
  </si>
  <si>
    <t>LT-080728-19/KI</t>
  </si>
  <si>
    <t>LT-077394-19/KI</t>
  </si>
  <si>
    <t>LT-072629-17/KI</t>
  </si>
  <si>
    <t>LT-097407-18/KI</t>
  </si>
  <si>
    <t>LT-062145-19/KI</t>
  </si>
  <si>
    <t>LT-055204-19/KI</t>
  </si>
  <si>
    <t>LT-063808-19/KI</t>
  </si>
  <si>
    <t>LT-057176-19/KI</t>
  </si>
  <si>
    <t>LT-080471-18/KI</t>
  </si>
  <si>
    <t>LT-075388-19/KI</t>
  </si>
  <si>
    <t>LT-077476-19/KI</t>
  </si>
  <si>
    <t>LT-074854-17/KI</t>
  </si>
  <si>
    <t>LT-082957-19/KI</t>
  </si>
  <si>
    <t>LT-061436-18/KI</t>
  </si>
  <si>
    <t>LT-082830-19/KI</t>
  </si>
  <si>
    <t>LT-078530-18/KI</t>
  </si>
  <si>
    <t>LT-087502-18/KI</t>
  </si>
  <si>
    <t>LT-088674-18/KI</t>
  </si>
  <si>
    <t>LT-089484-18/KI</t>
  </si>
  <si>
    <t>LT-086826-18/KI</t>
  </si>
  <si>
    <t>LT-089594-18/KI</t>
  </si>
  <si>
    <t>LT-076250-18/KI</t>
  </si>
  <si>
    <t>LT-094403-17/KI</t>
  </si>
  <si>
    <t>LT-083775-19/KI</t>
  </si>
  <si>
    <t>LT-080223-19/KI</t>
  </si>
  <si>
    <t>LT-072591-19/KI</t>
  </si>
  <si>
    <t>LT-080097-19/KI</t>
  </si>
  <si>
    <t>LT-085791-18/KI</t>
  </si>
  <si>
    <t>None yet</t>
  </si>
  <si>
    <t>LT-067366-19/KI</t>
  </si>
  <si>
    <t>LT-087846-18/KI</t>
  </si>
  <si>
    <t>LT-079200-19/KI</t>
  </si>
  <si>
    <t>LT-051481-19/KI</t>
  </si>
  <si>
    <t>LT-052092-18/KI</t>
  </si>
  <si>
    <t>LT-083037-18/KI</t>
  </si>
  <si>
    <t>LT-074368-18/KI</t>
  </si>
  <si>
    <t>LT-068239-19/KI</t>
  </si>
  <si>
    <t>LT-080838-19/KI</t>
  </si>
  <si>
    <t>LT-082954-19/KI</t>
  </si>
  <si>
    <t>LT-083011-19/KI</t>
  </si>
  <si>
    <t>LT-095269-18/KI</t>
  </si>
  <si>
    <t>LT-072171-19/KI</t>
  </si>
  <si>
    <t>LT-077612-19/KI</t>
  </si>
  <si>
    <t>LT-003808-18/KI</t>
  </si>
  <si>
    <t>002704/2018</t>
  </si>
  <si>
    <t>LT-073833-17/KI</t>
  </si>
  <si>
    <t>LT-071954-17/KI</t>
  </si>
  <si>
    <t>LT-064594-19/KI</t>
  </si>
  <si>
    <t>003378-18/KI</t>
  </si>
  <si>
    <t>2704/2018</t>
  </si>
  <si>
    <t>LT 00455/2018</t>
  </si>
  <si>
    <t>LT-071311-18/KI</t>
  </si>
  <si>
    <t>LT-080159-19/KI</t>
  </si>
  <si>
    <t>LT-077664-19/KI</t>
  </si>
  <si>
    <t>002704/2019</t>
  </si>
  <si>
    <t>LT-000198-18/KI</t>
  </si>
  <si>
    <t>LT-003539-18/KI</t>
  </si>
  <si>
    <t>GS-210043-B</t>
  </si>
  <si>
    <t>5201089/17(SC)</t>
  </si>
  <si>
    <t>FN-210028-RT</t>
  </si>
  <si>
    <t>FR-210086-OM</t>
  </si>
  <si>
    <t>HP-003539-18/KI</t>
  </si>
  <si>
    <t>HN 2100270 R</t>
  </si>
  <si>
    <t>EP-210063-OM</t>
  </si>
  <si>
    <t>GS-210042-B</t>
  </si>
  <si>
    <t>LT-003477-18/KI</t>
  </si>
  <si>
    <t>521089(SC)</t>
  </si>
  <si>
    <t>S17727</t>
  </si>
  <si>
    <t>NO CASE</t>
  </si>
  <si>
    <t>HN-2100270-R</t>
  </si>
  <si>
    <t>LT-064591-19/KI</t>
  </si>
  <si>
    <t>LT-099629-15/KI</t>
  </si>
  <si>
    <t>LT-066617-17/KI</t>
  </si>
  <si>
    <t>LT-073346-18/KI</t>
  </si>
  <si>
    <t>LT-065697-16/KI</t>
  </si>
  <si>
    <t>LT-057015-18/KI</t>
  </si>
  <si>
    <t>LT-065493-18/KI</t>
  </si>
  <si>
    <t>LT-074234-19/KI</t>
  </si>
  <si>
    <t>LT-086587-16/KI</t>
  </si>
  <si>
    <t>LT-050439-17/KI</t>
  </si>
  <si>
    <t>LT-059273-19/KI</t>
  </si>
  <si>
    <t>459/2019</t>
  </si>
  <si>
    <t>LT-103456-15/KI</t>
  </si>
  <si>
    <t>LT-050926-16/KI</t>
  </si>
  <si>
    <t>5479-16</t>
  </si>
  <si>
    <t>LT-050929-16/KI</t>
  </si>
  <si>
    <t>LT-050915-16/KI</t>
  </si>
  <si>
    <t>57324/16</t>
  </si>
  <si>
    <t>LT-068930-17/KI</t>
  </si>
  <si>
    <t>LT-079371-19/KI</t>
  </si>
  <si>
    <t>29959-17</t>
  </si>
  <si>
    <t>LT-077855-19/KI</t>
  </si>
  <si>
    <t>LT-805551-16/BX</t>
  </si>
  <si>
    <t>LT-049141-15/BX</t>
  </si>
  <si>
    <t>LT-013609-16/BX</t>
  </si>
  <si>
    <t>300015/2019</t>
  </si>
  <si>
    <t>LT-062501-15/BX</t>
  </si>
  <si>
    <t>40822/2019</t>
  </si>
  <si>
    <t>LT-067757-18/BX</t>
  </si>
  <si>
    <t>LT-043868-16/BX</t>
  </si>
  <si>
    <t>LT-070975-19/KI</t>
  </si>
  <si>
    <t>LT-082427-18/KI</t>
  </si>
  <si>
    <t>LT-054705-19/KI</t>
  </si>
  <si>
    <t>596382/2015</t>
  </si>
  <si>
    <t>LT-202296-15/KI</t>
  </si>
  <si>
    <t>LT-094203-18/KI</t>
  </si>
  <si>
    <t>LT-055593-18/KI</t>
  </si>
  <si>
    <t>LT-077020-17/KI</t>
  </si>
  <si>
    <t>LT-088141-17/KI</t>
  </si>
  <si>
    <t>LT-083501-19/KI</t>
  </si>
  <si>
    <t>LT-062516-17/KI</t>
  </si>
  <si>
    <t>LT-076152-18/KI</t>
  </si>
  <si>
    <t>LT-017910-18/KI</t>
  </si>
  <si>
    <t>LT-082646-18/KI</t>
  </si>
  <si>
    <t>LT-098584-17/KI</t>
  </si>
  <si>
    <t>LT-074634-18/KI</t>
  </si>
  <si>
    <t>LT-083567-17/KI</t>
  </si>
  <si>
    <t>HP 671/16</t>
  </si>
  <si>
    <t>LT-067082-15/KI</t>
  </si>
  <si>
    <t>LT-078007-17/KI</t>
  </si>
  <si>
    <t>not yet</t>
  </si>
  <si>
    <t>LT-090138-14/KI</t>
  </si>
  <si>
    <t>LT-079051-17/KI</t>
  </si>
  <si>
    <t>HP 2906/17</t>
  </si>
  <si>
    <t>81895/17</t>
  </si>
  <si>
    <t>K&amp;T 99406/15</t>
  </si>
  <si>
    <t>LT-080269-19/KI</t>
  </si>
  <si>
    <t>LT-051296-16/KI</t>
  </si>
  <si>
    <t>LT-075062-19/KI</t>
  </si>
  <si>
    <t>LT-002246-17/KI</t>
  </si>
  <si>
    <t>LT-062212-17/KI</t>
  </si>
  <si>
    <t>LT-083648-18/KI</t>
  </si>
  <si>
    <t>LT-062844-19/KI</t>
  </si>
  <si>
    <t>LT-059384-19/KI</t>
  </si>
  <si>
    <t>LT-002378-19/KI</t>
  </si>
  <si>
    <t>LT-056822-18/KI</t>
  </si>
  <si>
    <t>LT-065694-17/KI</t>
  </si>
  <si>
    <t>LT-052349-18/KI</t>
  </si>
  <si>
    <t>LT-069122-17/KI</t>
  </si>
  <si>
    <t>LT-077712-19/KI</t>
  </si>
  <si>
    <t>LT-087861-18/KI</t>
  </si>
  <si>
    <t>LT-075190-19/KI</t>
  </si>
  <si>
    <t>LT-088054-17/KI</t>
  </si>
  <si>
    <t>LT-090458-18/KI</t>
  </si>
  <si>
    <t>LT-056992-19/KI</t>
  </si>
  <si>
    <t>060836/2017</t>
  </si>
  <si>
    <t>LT-058916-17/KI</t>
  </si>
  <si>
    <t>85560/2015</t>
  </si>
  <si>
    <t>LT-066796-16/KI</t>
  </si>
  <si>
    <t>Will provide</t>
  </si>
  <si>
    <t>LT-066517-19/KI</t>
  </si>
  <si>
    <t>LT-061701-19/KI</t>
  </si>
  <si>
    <t>LT-065200-19/KI</t>
  </si>
  <si>
    <t>LT-055076-18/KI</t>
  </si>
  <si>
    <t>LT-051869-19/KI</t>
  </si>
  <si>
    <t>LT-088140-18/KI</t>
  </si>
  <si>
    <t>LT-059492-19/KI</t>
  </si>
  <si>
    <t>LT-051116-18/KI</t>
  </si>
  <si>
    <t>LT-051332-19/KI</t>
  </si>
  <si>
    <t>LT-079777-18/KI</t>
  </si>
  <si>
    <t>LT-064850-18/KI</t>
  </si>
  <si>
    <t>LT-061783-19/KI</t>
  </si>
  <si>
    <t>LT-092177-18/KI</t>
  </si>
  <si>
    <t>LT-053103-19/KI</t>
  </si>
  <si>
    <t>055797/19</t>
  </si>
  <si>
    <t>LT-073440-19/KI</t>
  </si>
  <si>
    <t>LT-066319-19/KI</t>
  </si>
  <si>
    <t>LT-081766-19/KI</t>
  </si>
  <si>
    <t>LT-076809-19/KI</t>
  </si>
  <si>
    <t>LT-055564-19/KI</t>
  </si>
  <si>
    <t>No Case Yet</t>
  </si>
  <si>
    <t>LT-065317-19/KI</t>
  </si>
  <si>
    <t>LT-072629-18/KI</t>
  </si>
  <si>
    <t>LT-73248-19/KI</t>
  </si>
  <si>
    <t>LT-073248-19/KI</t>
  </si>
  <si>
    <t>LT-067359-19/KI</t>
  </si>
  <si>
    <t>LT-073674-19/KI</t>
  </si>
  <si>
    <t>LT-066745-18/KI</t>
  </si>
  <si>
    <t>GS-2100050-D</t>
  </si>
  <si>
    <t>GS-2100080-D</t>
  </si>
  <si>
    <t>HP-003261-17/KI</t>
  </si>
  <si>
    <t>LT-058125-19/KI</t>
  </si>
  <si>
    <t>GS-210016-B</t>
  </si>
  <si>
    <t>LT-093805-17/KI</t>
  </si>
  <si>
    <t>GS-210008-OD</t>
  </si>
  <si>
    <t>LT-3261-17/KI</t>
  </si>
  <si>
    <t>HP-000202-19/KI</t>
  </si>
  <si>
    <t>LT-000943-18/KI</t>
  </si>
  <si>
    <t>LT-064518-19/KI</t>
  </si>
  <si>
    <t>LT-059221-19/KI</t>
  </si>
  <si>
    <t>LT-094758-17/KI</t>
  </si>
  <si>
    <t>040822/2019</t>
  </si>
  <si>
    <t>LT-057216-18/KI</t>
  </si>
  <si>
    <t>no current case</t>
  </si>
  <si>
    <t>LT-066784-17/KI</t>
  </si>
  <si>
    <t>LT-081444-19/KI</t>
  </si>
  <si>
    <t>0001579/2017</t>
  </si>
  <si>
    <t>LT-081194-19/KI</t>
  </si>
  <si>
    <t>GS-210136-S</t>
  </si>
  <si>
    <t>GS-210137-S</t>
  </si>
  <si>
    <t>LT-000278-19/KI</t>
  </si>
  <si>
    <t>GS-210134-S</t>
  </si>
  <si>
    <t>287-19/KI</t>
  </si>
  <si>
    <t>78915/17 KI</t>
  </si>
  <si>
    <t>LT-00447-19/QU</t>
  </si>
  <si>
    <t>GX-110098-OM</t>
  </si>
  <si>
    <t>LT-074016-19/QU</t>
  </si>
  <si>
    <t>LT-061952-19/QU</t>
  </si>
  <si>
    <t>LT-056405-19/QU</t>
  </si>
  <si>
    <t>LT-069019-19/QU</t>
  </si>
  <si>
    <t>LT-66608-18/QU</t>
  </si>
  <si>
    <t>LT-063006-19/QU</t>
  </si>
  <si>
    <t>LT-070434-19/QU</t>
  </si>
  <si>
    <t>LT-073534/19</t>
  </si>
  <si>
    <t>LT-085172-19/KI</t>
  </si>
  <si>
    <t>LT-077610-19/KI</t>
  </si>
  <si>
    <t>LT-079142-19/KI</t>
  </si>
  <si>
    <t>LT-081566-18/KI</t>
  </si>
  <si>
    <t>LT-092019-18/KI</t>
  </si>
  <si>
    <t>LT-059655-19/KI</t>
  </si>
  <si>
    <t>LT-066620-19/KI</t>
  </si>
  <si>
    <t>LT-069664-18/KI</t>
  </si>
  <si>
    <t>LT-081608-18/KI</t>
  </si>
  <si>
    <t>LT-057620-19/KI</t>
  </si>
  <si>
    <t>LT-075721-18/KI</t>
  </si>
  <si>
    <t>LT-058764-19/KI</t>
  </si>
  <si>
    <t>LT-075243-19/KI</t>
  </si>
  <si>
    <t>LT-086193-17/KI</t>
  </si>
  <si>
    <t>LT-075409-18/KI</t>
  </si>
  <si>
    <t>LT-081216-18/KI</t>
  </si>
  <si>
    <t>LT-054080-19/KI</t>
  </si>
  <si>
    <t>LT-077969-19/KI</t>
  </si>
  <si>
    <t>LT-065396-17/KI</t>
  </si>
  <si>
    <t>LT-065115-19/KI</t>
  </si>
  <si>
    <t>LT-076975-18/KI</t>
  </si>
  <si>
    <t>LT-089058-18/KI</t>
  </si>
  <si>
    <t>LT-088036-18/KI</t>
  </si>
  <si>
    <t>LT-087605-18/KI</t>
  </si>
  <si>
    <t>LT-079168-19/KI</t>
  </si>
  <si>
    <t>LT-053763-19/KI</t>
  </si>
  <si>
    <t>LT-082440-19/KI</t>
  </si>
  <si>
    <t>LT-061559-19/KI</t>
  </si>
  <si>
    <t>LT-092672-18/KI</t>
  </si>
  <si>
    <t>LT-071114-18/KI</t>
  </si>
  <si>
    <t>LT-096205-18/KI</t>
  </si>
  <si>
    <t>LT-072237-19/KI</t>
  </si>
  <si>
    <t>LT-058173-19/KI</t>
  </si>
  <si>
    <t>LT-074615-18/KI</t>
  </si>
  <si>
    <t>LT-066112-19/KI</t>
  </si>
  <si>
    <t>LT-053906-19/KI</t>
  </si>
  <si>
    <t>LT-063191-19/KI</t>
  </si>
  <si>
    <t>LT-067041-18/KI</t>
  </si>
  <si>
    <t>LT-052841-19/KI</t>
  </si>
  <si>
    <t>LT-066271-19/KI</t>
  </si>
  <si>
    <t>LT-004552-19/KI</t>
  </si>
  <si>
    <t>LT-076720-17/KI</t>
  </si>
  <si>
    <t>LT-064533-19/KI</t>
  </si>
  <si>
    <t>LT-068935-17/KI</t>
  </si>
  <si>
    <t>LT-090519-18/KI</t>
  </si>
  <si>
    <t>Needs Activity Indicator</t>
  </si>
  <si>
    <t>Filed for an Emergency Order to Show Cause</t>
  </si>
  <si>
    <t>Filed/Argued/Supplemented Dispositive or other Substantive Motion</t>
  </si>
  <si>
    <t>Needs Services Rendered</t>
  </si>
  <si>
    <t>Case Resolved without Judgment of Eviction Against Client</t>
  </si>
  <si>
    <t>Obtained Renewal of Lease, Other</t>
  </si>
  <si>
    <t>Case Discontinued/Dismissed/Landlord Fails to Prosecute</t>
  </si>
  <si>
    <t>Needs Outcome &amp; Date</t>
  </si>
  <si>
    <t>Open</t>
  </si>
  <si>
    <t>Closed</t>
  </si>
  <si>
    <t>Client Allowed to Remain in Residence</t>
  </si>
  <si>
    <t>Client Required to be Displaced from Residence</t>
  </si>
  <si>
    <t>2019-08-21</t>
  </si>
  <si>
    <t>2019-10-31</t>
  </si>
  <si>
    <t>2018-10-19</t>
  </si>
  <si>
    <t>2018-06-30</t>
  </si>
  <si>
    <t>2018-10-01</t>
  </si>
  <si>
    <t>2018-11-28</t>
  </si>
  <si>
    <t>2019-11-08</t>
  </si>
  <si>
    <t>2018-05-10</t>
  </si>
  <si>
    <t>2019-12-02</t>
  </si>
  <si>
    <t>2019-10-30</t>
  </si>
  <si>
    <t>2018-12-18</t>
  </si>
  <si>
    <t>2019-02-15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</si>
</sst>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11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20.7109375" style="1" customWidth="1"/>
    <col min="2" max="64" width="25.7109375" customWidth="1"/>
  </cols>
  <sheetData>
    <row r="1" spans="1:6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spans="1:67">
      <c r="A2" s="1">
        <f>HYPERLINK("https://lsnyc.legalserver.org/matter/dynamic-profile/view/1869885","18-1869885")</f>
        <v>0</v>
      </c>
      <c r="B2" t="s">
        <v>67</v>
      </c>
      <c r="C2" t="s">
        <v>93</v>
      </c>
      <c r="D2" t="s">
        <v>97</v>
      </c>
      <c r="F2" t="s">
        <v>478</v>
      </c>
      <c r="G2" t="s">
        <v>1013</v>
      </c>
      <c r="H2" t="s">
        <v>1556</v>
      </c>
      <c r="I2" t="s">
        <v>1918</v>
      </c>
      <c r="J2" t="s">
        <v>2205</v>
      </c>
      <c r="K2">
        <v>11223</v>
      </c>
      <c r="N2" t="s">
        <v>2233</v>
      </c>
      <c r="O2" t="s">
        <v>2243</v>
      </c>
      <c r="Q2" t="s">
        <v>2931</v>
      </c>
      <c r="R2">
        <v>1</v>
      </c>
      <c r="S2">
        <v>0</v>
      </c>
      <c r="T2">
        <v>187.81</v>
      </c>
      <c r="V2" t="s">
        <v>3456</v>
      </c>
      <c r="W2">
        <v>22800</v>
      </c>
      <c r="Y2">
        <v>38.25</v>
      </c>
      <c r="Z2" t="s">
        <v>113</v>
      </c>
      <c r="AA2" t="s">
        <v>90</v>
      </c>
      <c r="AC2" t="s">
        <v>3942</v>
      </c>
      <c r="AD2" t="s">
        <v>97</v>
      </c>
      <c r="AF2" t="s">
        <v>4050</v>
      </c>
      <c r="AH2" t="s">
        <v>4076</v>
      </c>
      <c r="AJ2" t="s">
        <v>3943</v>
      </c>
      <c r="AL2" t="s">
        <v>4086</v>
      </c>
      <c r="AM2" t="s">
        <v>2230</v>
      </c>
      <c r="AO2">
        <v>1122.77</v>
      </c>
      <c r="AQ2">
        <v>63</v>
      </c>
      <c r="AS2" t="s">
        <v>4113</v>
      </c>
      <c r="AU2" t="s">
        <v>4128</v>
      </c>
      <c r="AW2">
        <v>8</v>
      </c>
      <c r="AY2" t="s">
        <v>4140</v>
      </c>
      <c r="BB2" t="s">
        <v>4154</v>
      </c>
      <c r="BG2" t="s">
        <v>4282</v>
      </c>
      <c r="BM2" t="s">
        <v>4627</v>
      </c>
    </row>
    <row r="3" spans="1:67">
      <c r="A3" s="1">
        <f>HYPERLINK("https://lsnyc.legalserver.org/matter/dynamic-profile/view/1913612","19-1913612")</f>
        <v>0</v>
      </c>
      <c r="B3" t="s">
        <v>67</v>
      </c>
      <c r="C3" t="s">
        <v>93</v>
      </c>
      <c r="D3" t="s">
        <v>98</v>
      </c>
      <c r="F3" t="s">
        <v>479</v>
      </c>
      <c r="G3" t="s">
        <v>1014</v>
      </c>
      <c r="H3" t="s">
        <v>1557</v>
      </c>
      <c r="I3" t="s">
        <v>1919</v>
      </c>
      <c r="J3" t="s">
        <v>2205</v>
      </c>
      <c r="K3">
        <v>11233</v>
      </c>
      <c r="N3" t="s">
        <v>2233</v>
      </c>
      <c r="O3" t="s">
        <v>2244</v>
      </c>
      <c r="Q3" t="s">
        <v>2932</v>
      </c>
      <c r="R3">
        <v>1</v>
      </c>
      <c r="S3">
        <v>0</v>
      </c>
      <c r="T3">
        <v>25.71</v>
      </c>
      <c r="W3">
        <v>3211</v>
      </c>
      <c r="Y3">
        <v>0</v>
      </c>
      <c r="AA3" t="s">
        <v>90</v>
      </c>
      <c r="AC3" t="s">
        <v>3942</v>
      </c>
      <c r="AD3" t="s">
        <v>139</v>
      </c>
      <c r="AF3" t="s">
        <v>4050</v>
      </c>
      <c r="AG3" t="s">
        <v>4075</v>
      </c>
      <c r="AJ3" t="s">
        <v>3943</v>
      </c>
      <c r="AL3" t="s">
        <v>4086</v>
      </c>
      <c r="AM3" t="s">
        <v>2230</v>
      </c>
      <c r="AN3" t="s">
        <v>4107</v>
      </c>
      <c r="AO3">
        <v>0</v>
      </c>
      <c r="AQ3">
        <v>13</v>
      </c>
      <c r="AS3" t="s">
        <v>4113</v>
      </c>
      <c r="AU3" t="s">
        <v>4128</v>
      </c>
      <c r="AW3">
        <v>7</v>
      </c>
      <c r="AY3" t="s">
        <v>4140</v>
      </c>
      <c r="BA3" t="s">
        <v>4149</v>
      </c>
      <c r="BC3" t="s">
        <v>4155</v>
      </c>
      <c r="BD3" t="s">
        <v>4157</v>
      </c>
      <c r="BE3" t="s">
        <v>4158</v>
      </c>
      <c r="BG3" t="s">
        <v>4283</v>
      </c>
      <c r="BM3" t="s">
        <v>4627</v>
      </c>
    </row>
    <row r="4" spans="1:67">
      <c r="A4" s="1">
        <f>HYPERLINK("https://lsnyc.legalserver.org/matter/dynamic-profile/view/1895340","19-1895340")</f>
        <v>0</v>
      </c>
      <c r="B4" t="s">
        <v>67</v>
      </c>
      <c r="C4" t="s">
        <v>93</v>
      </c>
      <c r="D4" t="s">
        <v>99</v>
      </c>
      <c r="F4" t="s">
        <v>480</v>
      </c>
      <c r="G4" t="s">
        <v>1015</v>
      </c>
      <c r="H4" t="s">
        <v>1558</v>
      </c>
      <c r="I4" t="s">
        <v>1920</v>
      </c>
      <c r="J4" t="s">
        <v>2205</v>
      </c>
      <c r="K4">
        <v>11221</v>
      </c>
      <c r="N4" t="s">
        <v>2234</v>
      </c>
      <c r="O4" t="s">
        <v>2245</v>
      </c>
      <c r="Q4" t="s">
        <v>2933</v>
      </c>
      <c r="R4">
        <v>5</v>
      </c>
      <c r="S4">
        <v>2</v>
      </c>
      <c r="T4">
        <v>133.3</v>
      </c>
      <c r="W4">
        <v>52000</v>
      </c>
      <c r="X4" t="s">
        <v>3461</v>
      </c>
      <c r="Y4">
        <v>3</v>
      </c>
      <c r="Z4" t="s">
        <v>453</v>
      </c>
      <c r="AA4" t="s">
        <v>90</v>
      </c>
      <c r="AC4" t="s">
        <v>3942</v>
      </c>
      <c r="AD4" t="s">
        <v>99</v>
      </c>
      <c r="AF4" t="s">
        <v>4051</v>
      </c>
      <c r="AH4" t="s">
        <v>4077</v>
      </c>
      <c r="AJ4" t="s">
        <v>3942</v>
      </c>
      <c r="AL4" t="s">
        <v>4087</v>
      </c>
      <c r="AM4" t="s">
        <v>2230</v>
      </c>
      <c r="AO4">
        <v>834</v>
      </c>
      <c r="AQ4">
        <v>12</v>
      </c>
      <c r="AS4" t="s">
        <v>4113</v>
      </c>
      <c r="AU4" t="s">
        <v>4128</v>
      </c>
      <c r="AW4">
        <v>26</v>
      </c>
      <c r="AY4" t="s">
        <v>4140</v>
      </c>
      <c r="BC4" t="s">
        <v>4155</v>
      </c>
      <c r="BE4" t="s">
        <v>4128</v>
      </c>
      <c r="BF4" t="s">
        <v>4281</v>
      </c>
      <c r="BG4" t="s">
        <v>4284</v>
      </c>
      <c r="BM4" t="s">
        <v>4627</v>
      </c>
    </row>
    <row r="5" spans="1:67">
      <c r="A5" s="1">
        <f>HYPERLINK("https://lsnyc.legalserver.org/matter/dynamic-profile/view/1895274","19-1895274")</f>
        <v>0</v>
      </c>
      <c r="B5" t="s">
        <v>67</v>
      </c>
      <c r="C5" t="s">
        <v>93</v>
      </c>
      <c r="D5" t="s">
        <v>99</v>
      </c>
      <c r="F5" t="s">
        <v>481</v>
      </c>
      <c r="G5" t="s">
        <v>1016</v>
      </c>
      <c r="H5" t="s">
        <v>1559</v>
      </c>
      <c r="I5" t="s">
        <v>1921</v>
      </c>
      <c r="J5" t="s">
        <v>2205</v>
      </c>
      <c r="K5">
        <v>11221</v>
      </c>
      <c r="N5" t="s">
        <v>2233</v>
      </c>
      <c r="O5" t="s">
        <v>2246</v>
      </c>
      <c r="Q5" t="s">
        <v>2934</v>
      </c>
      <c r="R5">
        <v>3</v>
      </c>
      <c r="S5">
        <v>0</v>
      </c>
      <c r="T5">
        <v>134.08</v>
      </c>
      <c r="W5">
        <v>28600</v>
      </c>
      <c r="Y5">
        <v>21.2</v>
      </c>
      <c r="Z5" t="s">
        <v>395</v>
      </c>
      <c r="AA5" t="s">
        <v>70</v>
      </c>
      <c r="AC5" t="s">
        <v>3942</v>
      </c>
      <c r="AD5" t="s">
        <v>3945</v>
      </c>
      <c r="AF5" t="s">
        <v>4052</v>
      </c>
      <c r="AH5" t="s">
        <v>4077</v>
      </c>
      <c r="AJ5" t="s">
        <v>3942</v>
      </c>
      <c r="AL5" t="s">
        <v>4070</v>
      </c>
      <c r="AM5" t="s">
        <v>2230</v>
      </c>
      <c r="AO5">
        <v>1292.5</v>
      </c>
      <c r="AP5" t="s">
        <v>4108</v>
      </c>
      <c r="AQ5" t="s">
        <v>4110</v>
      </c>
      <c r="AR5" t="s">
        <v>4112</v>
      </c>
      <c r="AU5" t="s">
        <v>4128</v>
      </c>
      <c r="AW5">
        <v>13</v>
      </c>
      <c r="AY5" t="s">
        <v>4140</v>
      </c>
      <c r="BC5" t="s">
        <v>4155</v>
      </c>
      <c r="BG5" t="s">
        <v>4285</v>
      </c>
      <c r="BM5" t="s">
        <v>4627</v>
      </c>
    </row>
    <row r="6" spans="1:67">
      <c r="A6" s="1">
        <f>HYPERLINK("https://lsnyc.legalserver.org/matter/dynamic-profile/view/1851112","17-1851112")</f>
        <v>0</v>
      </c>
      <c r="B6" t="s">
        <v>67</v>
      </c>
      <c r="C6" t="s">
        <v>93</v>
      </c>
      <c r="D6" t="s">
        <v>100</v>
      </c>
      <c r="F6" t="s">
        <v>482</v>
      </c>
      <c r="G6" t="s">
        <v>1017</v>
      </c>
      <c r="H6" t="s">
        <v>1560</v>
      </c>
      <c r="I6" t="s">
        <v>1922</v>
      </c>
      <c r="J6" t="s">
        <v>2205</v>
      </c>
      <c r="K6">
        <v>11233</v>
      </c>
      <c r="N6" t="s">
        <v>2233</v>
      </c>
      <c r="O6" t="s">
        <v>2247</v>
      </c>
      <c r="Q6" t="s">
        <v>2935</v>
      </c>
      <c r="R6">
        <v>1</v>
      </c>
      <c r="S6">
        <v>1</v>
      </c>
      <c r="T6">
        <v>138.49</v>
      </c>
      <c r="W6">
        <v>22490</v>
      </c>
      <c r="Y6">
        <v>110.25</v>
      </c>
      <c r="Z6" t="s">
        <v>423</v>
      </c>
      <c r="AA6" t="s">
        <v>90</v>
      </c>
      <c r="AC6" t="s">
        <v>3942</v>
      </c>
      <c r="AD6" t="s">
        <v>3946</v>
      </c>
      <c r="AF6" t="s">
        <v>4050</v>
      </c>
      <c r="AH6" t="s">
        <v>4076</v>
      </c>
      <c r="AJ6" t="s">
        <v>3943</v>
      </c>
      <c r="AL6" t="s">
        <v>4088</v>
      </c>
      <c r="AM6" t="s">
        <v>2230</v>
      </c>
      <c r="AO6">
        <v>1175</v>
      </c>
      <c r="AQ6">
        <v>6</v>
      </c>
      <c r="AS6" t="s">
        <v>4113</v>
      </c>
      <c r="AU6" t="s">
        <v>4128</v>
      </c>
      <c r="AW6">
        <v>8</v>
      </c>
      <c r="AY6" t="s">
        <v>4140</v>
      </c>
      <c r="BB6" t="s">
        <v>4154</v>
      </c>
      <c r="BE6" t="s">
        <v>4159</v>
      </c>
      <c r="BG6" t="s">
        <v>4286</v>
      </c>
      <c r="BM6" t="s">
        <v>4627</v>
      </c>
    </row>
    <row r="7" spans="1:67">
      <c r="A7" s="1">
        <f>HYPERLINK("https://lsnyc.legalserver.org/matter/dynamic-profile/view/1876323","18-1876323")</f>
        <v>0</v>
      </c>
      <c r="B7" t="s">
        <v>67</v>
      </c>
      <c r="C7" t="s">
        <v>93</v>
      </c>
      <c r="D7" t="s">
        <v>101</v>
      </c>
      <c r="F7" t="s">
        <v>483</v>
      </c>
      <c r="G7" t="s">
        <v>1018</v>
      </c>
      <c r="H7" t="s">
        <v>1561</v>
      </c>
      <c r="I7" t="s">
        <v>1923</v>
      </c>
      <c r="J7" t="s">
        <v>2205</v>
      </c>
      <c r="K7">
        <v>11212</v>
      </c>
      <c r="N7" t="s">
        <v>2233</v>
      </c>
      <c r="O7" t="s">
        <v>2248</v>
      </c>
      <c r="Q7" t="s">
        <v>2936</v>
      </c>
      <c r="R7">
        <v>2</v>
      </c>
      <c r="S7">
        <v>0</v>
      </c>
      <c r="T7">
        <v>139.73</v>
      </c>
      <c r="W7">
        <v>23000</v>
      </c>
      <c r="Y7">
        <v>24.6</v>
      </c>
      <c r="Z7" t="s">
        <v>470</v>
      </c>
      <c r="AA7" t="s">
        <v>90</v>
      </c>
      <c r="AC7" t="s">
        <v>3942</v>
      </c>
      <c r="AD7" t="s">
        <v>471</v>
      </c>
      <c r="AF7" t="s">
        <v>4053</v>
      </c>
      <c r="AH7" t="s">
        <v>4076</v>
      </c>
      <c r="AJ7" t="s">
        <v>3943</v>
      </c>
      <c r="AK7" t="s">
        <v>4084</v>
      </c>
      <c r="AM7" t="s">
        <v>2230</v>
      </c>
      <c r="AO7">
        <v>1268.75</v>
      </c>
      <c r="AP7" t="s">
        <v>4108</v>
      </c>
      <c r="AQ7" t="s">
        <v>4110</v>
      </c>
      <c r="AS7" t="s">
        <v>4113</v>
      </c>
      <c r="AT7" t="s">
        <v>4127</v>
      </c>
      <c r="AW7">
        <v>6</v>
      </c>
      <c r="AY7" t="s">
        <v>4140</v>
      </c>
      <c r="BA7" t="s">
        <v>4149</v>
      </c>
      <c r="BC7" t="s">
        <v>4155</v>
      </c>
      <c r="BG7" t="s">
        <v>4287</v>
      </c>
      <c r="BM7" t="s">
        <v>4627</v>
      </c>
      <c r="BN7" t="s">
        <v>4629</v>
      </c>
      <c r="BO7" t="s">
        <v>4631</v>
      </c>
    </row>
    <row r="8" spans="1:67">
      <c r="A8" s="1">
        <f>HYPERLINK("https://lsnyc.legalserver.org/matter/dynamic-profile/view/1914162","19-1914162")</f>
        <v>0</v>
      </c>
      <c r="B8" t="s">
        <v>67</v>
      </c>
      <c r="C8" t="s">
        <v>93</v>
      </c>
      <c r="D8" t="s">
        <v>102</v>
      </c>
      <c r="F8" t="s">
        <v>484</v>
      </c>
      <c r="G8" t="s">
        <v>1019</v>
      </c>
      <c r="H8" t="s">
        <v>1562</v>
      </c>
      <c r="I8" t="s">
        <v>1920</v>
      </c>
      <c r="J8" t="s">
        <v>2205</v>
      </c>
      <c r="K8">
        <v>11212</v>
      </c>
      <c r="N8" t="s">
        <v>2233</v>
      </c>
      <c r="O8" t="s">
        <v>2249</v>
      </c>
      <c r="Q8" t="s">
        <v>2937</v>
      </c>
      <c r="R8">
        <v>1</v>
      </c>
      <c r="S8">
        <v>2</v>
      </c>
      <c r="T8">
        <v>97.27</v>
      </c>
      <c r="W8">
        <v>20748</v>
      </c>
      <c r="Y8">
        <v>1</v>
      </c>
      <c r="Z8" t="s">
        <v>102</v>
      </c>
      <c r="AA8" t="s">
        <v>3889</v>
      </c>
      <c r="AB8" t="s">
        <v>3940</v>
      </c>
      <c r="AC8" t="s">
        <v>3943</v>
      </c>
      <c r="AF8" t="s">
        <v>4053</v>
      </c>
      <c r="AG8" t="s">
        <v>4075</v>
      </c>
      <c r="AJ8" t="s">
        <v>3943</v>
      </c>
      <c r="AK8" t="s">
        <v>4084</v>
      </c>
      <c r="AM8" t="s">
        <v>2230</v>
      </c>
      <c r="AO8">
        <v>1100</v>
      </c>
      <c r="AQ8">
        <v>6</v>
      </c>
      <c r="AS8" t="s">
        <v>4113</v>
      </c>
      <c r="AT8" t="s">
        <v>4127</v>
      </c>
      <c r="AW8">
        <v>9</v>
      </c>
      <c r="AY8" t="s">
        <v>4140</v>
      </c>
      <c r="BA8" t="s">
        <v>4149</v>
      </c>
      <c r="BB8" t="s">
        <v>4154</v>
      </c>
      <c r="BC8" t="s">
        <v>4128</v>
      </c>
      <c r="BF8" t="s">
        <v>4281</v>
      </c>
      <c r="BM8" t="s">
        <v>4627</v>
      </c>
    </row>
    <row r="9" spans="1:67">
      <c r="A9" s="1">
        <f>HYPERLINK("https://lsnyc.legalserver.org/matter/dynamic-profile/view/1895320","19-1895320")</f>
        <v>0</v>
      </c>
      <c r="B9" t="s">
        <v>67</v>
      </c>
      <c r="C9" t="s">
        <v>93</v>
      </c>
      <c r="D9" t="s">
        <v>99</v>
      </c>
      <c r="F9" t="s">
        <v>485</v>
      </c>
      <c r="G9" t="s">
        <v>1020</v>
      </c>
      <c r="H9" t="s">
        <v>1563</v>
      </c>
      <c r="I9" t="s">
        <v>1920</v>
      </c>
      <c r="J9" t="s">
        <v>2205</v>
      </c>
      <c r="K9">
        <v>11221</v>
      </c>
      <c r="N9" t="s">
        <v>2234</v>
      </c>
      <c r="O9" t="s">
        <v>2250</v>
      </c>
      <c r="Q9" t="s">
        <v>2938</v>
      </c>
      <c r="R9">
        <v>1</v>
      </c>
      <c r="S9">
        <v>0</v>
      </c>
      <c r="T9">
        <v>150.68</v>
      </c>
      <c r="W9">
        <v>18820</v>
      </c>
      <c r="X9" t="s">
        <v>3462</v>
      </c>
      <c r="Y9">
        <v>0</v>
      </c>
      <c r="AA9" t="s">
        <v>90</v>
      </c>
      <c r="AC9" t="s">
        <v>3942</v>
      </c>
      <c r="AD9" t="s">
        <v>99</v>
      </c>
      <c r="AF9" t="s">
        <v>4051</v>
      </c>
      <c r="AH9" t="s">
        <v>4077</v>
      </c>
      <c r="AJ9" t="s">
        <v>3942</v>
      </c>
      <c r="AL9" t="s">
        <v>4087</v>
      </c>
      <c r="AM9" t="s">
        <v>2230</v>
      </c>
      <c r="AO9">
        <v>790</v>
      </c>
      <c r="AQ9">
        <v>13</v>
      </c>
      <c r="AS9" t="s">
        <v>4113</v>
      </c>
      <c r="AU9" t="s">
        <v>4128</v>
      </c>
      <c r="AW9">
        <v>20</v>
      </c>
      <c r="AY9" t="s">
        <v>4140</v>
      </c>
      <c r="BC9" t="s">
        <v>4155</v>
      </c>
      <c r="BE9" t="s">
        <v>4128</v>
      </c>
      <c r="BF9" t="s">
        <v>4281</v>
      </c>
      <c r="BM9" t="s">
        <v>4627</v>
      </c>
    </row>
    <row r="10" spans="1:67">
      <c r="A10" s="1">
        <f>HYPERLINK("https://lsnyc.legalserver.org/matter/dynamic-profile/view/1856175","18-1856175")</f>
        <v>0</v>
      </c>
      <c r="B10" t="s">
        <v>67</v>
      </c>
      <c r="C10" t="s">
        <v>93</v>
      </c>
      <c r="D10" t="s">
        <v>103</v>
      </c>
      <c r="F10" t="s">
        <v>486</v>
      </c>
      <c r="G10" t="s">
        <v>1021</v>
      </c>
      <c r="H10" t="s">
        <v>1564</v>
      </c>
      <c r="I10" t="s">
        <v>1924</v>
      </c>
      <c r="J10" t="s">
        <v>2205</v>
      </c>
      <c r="K10">
        <v>11233</v>
      </c>
      <c r="N10" t="s">
        <v>2233</v>
      </c>
      <c r="O10" t="s">
        <v>2251</v>
      </c>
      <c r="Q10" t="s">
        <v>2939</v>
      </c>
      <c r="R10">
        <v>3</v>
      </c>
      <c r="S10">
        <v>0</v>
      </c>
      <c r="T10">
        <v>95.84</v>
      </c>
      <c r="W10">
        <v>19570</v>
      </c>
      <c r="Y10">
        <v>94.92</v>
      </c>
      <c r="Z10" t="s">
        <v>463</v>
      </c>
      <c r="AA10" t="s">
        <v>90</v>
      </c>
      <c r="AC10" t="s">
        <v>3942</v>
      </c>
      <c r="AD10" t="s">
        <v>103</v>
      </c>
      <c r="AF10" t="s">
        <v>4050</v>
      </c>
      <c r="AH10" t="s">
        <v>4076</v>
      </c>
      <c r="AJ10" t="s">
        <v>3943</v>
      </c>
      <c r="AL10" t="s">
        <v>4086</v>
      </c>
      <c r="AM10" t="s">
        <v>2230</v>
      </c>
      <c r="AO10">
        <v>370.26</v>
      </c>
      <c r="AQ10">
        <v>6</v>
      </c>
      <c r="AS10" t="s">
        <v>4113</v>
      </c>
      <c r="AT10" t="s">
        <v>4127</v>
      </c>
      <c r="AW10">
        <v>41</v>
      </c>
      <c r="AY10" t="s">
        <v>4140</v>
      </c>
      <c r="BB10" t="s">
        <v>4154</v>
      </c>
      <c r="BD10" t="s">
        <v>4157</v>
      </c>
      <c r="BE10">
        <v>3499647</v>
      </c>
      <c r="BG10" t="s">
        <v>4288</v>
      </c>
      <c r="BM10" t="s">
        <v>4627</v>
      </c>
    </row>
    <row r="11" spans="1:67">
      <c r="A11" s="1">
        <f>HYPERLINK("https://lsnyc.legalserver.org/matter/dynamic-profile/view/1895385","19-1895385")</f>
        <v>0</v>
      </c>
      <c r="B11" t="s">
        <v>67</v>
      </c>
      <c r="C11" t="s">
        <v>93</v>
      </c>
      <c r="D11" t="s">
        <v>99</v>
      </c>
      <c r="F11" t="s">
        <v>487</v>
      </c>
      <c r="G11" t="s">
        <v>1022</v>
      </c>
      <c r="H11" t="s">
        <v>1558</v>
      </c>
      <c r="I11" t="s">
        <v>1925</v>
      </c>
      <c r="J11" t="s">
        <v>2205</v>
      </c>
      <c r="K11">
        <v>11221</v>
      </c>
      <c r="N11" t="s">
        <v>2234</v>
      </c>
      <c r="O11" t="s">
        <v>2252</v>
      </c>
      <c r="Q11" t="s">
        <v>2940</v>
      </c>
      <c r="R11">
        <v>1</v>
      </c>
      <c r="S11">
        <v>0</v>
      </c>
      <c r="T11">
        <v>166.53</v>
      </c>
      <c r="W11">
        <v>20800</v>
      </c>
      <c r="X11" t="s">
        <v>3463</v>
      </c>
      <c r="Y11">
        <v>60.5</v>
      </c>
      <c r="Z11" t="s">
        <v>173</v>
      </c>
      <c r="AA11" t="s">
        <v>90</v>
      </c>
      <c r="AC11" t="s">
        <v>3942</v>
      </c>
      <c r="AD11" t="s">
        <v>99</v>
      </c>
      <c r="AF11" t="s">
        <v>4051</v>
      </c>
      <c r="AH11" t="s">
        <v>4077</v>
      </c>
      <c r="AJ11" t="s">
        <v>3942</v>
      </c>
      <c r="AL11" t="s">
        <v>4089</v>
      </c>
      <c r="AM11" t="s">
        <v>2230</v>
      </c>
      <c r="AO11">
        <v>763</v>
      </c>
      <c r="AQ11">
        <v>12</v>
      </c>
      <c r="AS11" t="s">
        <v>4113</v>
      </c>
      <c r="AU11" t="s">
        <v>4128</v>
      </c>
      <c r="AW11">
        <v>10</v>
      </c>
      <c r="AY11" t="s">
        <v>4140</v>
      </c>
      <c r="BC11" t="s">
        <v>4155</v>
      </c>
      <c r="BF11" t="s">
        <v>4281</v>
      </c>
      <c r="BG11" t="s">
        <v>4289</v>
      </c>
      <c r="BM11" t="s">
        <v>4627</v>
      </c>
    </row>
    <row r="12" spans="1:67">
      <c r="A12" s="1">
        <f>HYPERLINK("https://lsnyc.legalserver.org/matter/dynamic-profile/view/1895988","19-1895988")</f>
        <v>0</v>
      </c>
      <c r="B12" t="s">
        <v>67</v>
      </c>
      <c r="C12" t="s">
        <v>93</v>
      </c>
      <c r="D12" t="s">
        <v>104</v>
      </c>
      <c r="F12" t="s">
        <v>488</v>
      </c>
      <c r="G12" t="s">
        <v>1023</v>
      </c>
      <c r="H12" t="s">
        <v>1565</v>
      </c>
      <c r="I12" t="s">
        <v>1926</v>
      </c>
      <c r="J12" t="s">
        <v>2205</v>
      </c>
      <c r="K12">
        <v>11212</v>
      </c>
      <c r="N12" t="s">
        <v>2233</v>
      </c>
      <c r="O12" t="s">
        <v>2253</v>
      </c>
      <c r="P12" t="s">
        <v>2930</v>
      </c>
      <c r="R12">
        <v>2</v>
      </c>
      <c r="S12">
        <v>2</v>
      </c>
      <c r="T12">
        <v>170.87</v>
      </c>
      <c r="W12">
        <v>44000</v>
      </c>
      <c r="Y12">
        <v>22.5</v>
      </c>
      <c r="Z12" t="s">
        <v>361</v>
      </c>
      <c r="AA12" t="s">
        <v>70</v>
      </c>
      <c r="AC12" t="s">
        <v>3942</v>
      </c>
      <c r="AD12" t="s">
        <v>175</v>
      </c>
      <c r="AF12" t="s">
        <v>4053</v>
      </c>
      <c r="AH12" t="s">
        <v>4076</v>
      </c>
      <c r="AI12" t="s">
        <v>4082</v>
      </c>
      <c r="AL12" t="s">
        <v>4086</v>
      </c>
      <c r="AM12" t="s">
        <v>2230</v>
      </c>
      <c r="AN12" t="s">
        <v>4107</v>
      </c>
      <c r="AO12">
        <v>0</v>
      </c>
      <c r="AQ12">
        <v>42</v>
      </c>
      <c r="AS12" t="s">
        <v>4113</v>
      </c>
      <c r="AT12" t="s">
        <v>4127</v>
      </c>
      <c r="AV12" t="s">
        <v>4137</v>
      </c>
      <c r="AW12">
        <v>0</v>
      </c>
      <c r="AY12" t="s">
        <v>4140</v>
      </c>
      <c r="BB12" t="s">
        <v>4154</v>
      </c>
      <c r="BG12" t="s">
        <v>4290</v>
      </c>
      <c r="BM12" t="s">
        <v>4627</v>
      </c>
    </row>
    <row r="13" spans="1:67">
      <c r="A13" s="1">
        <f>HYPERLINK("https://lsnyc.legalserver.org/matter/dynamic-profile/view/1908072","19-1908072")</f>
        <v>0</v>
      </c>
      <c r="B13" t="s">
        <v>67</v>
      </c>
      <c r="C13" t="s">
        <v>93</v>
      </c>
      <c r="D13" t="s">
        <v>105</v>
      </c>
      <c r="F13" t="s">
        <v>489</v>
      </c>
      <c r="G13" t="s">
        <v>1024</v>
      </c>
      <c r="H13" t="s">
        <v>1566</v>
      </c>
      <c r="I13" t="s">
        <v>1927</v>
      </c>
      <c r="J13" t="s">
        <v>2205</v>
      </c>
      <c r="K13">
        <v>11233</v>
      </c>
      <c r="N13" t="s">
        <v>2233</v>
      </c>
      <c r="O13" t="s">
        <v>2254</v>
      </c>
      <c r="Q13" t="s">
        <v>2941</v>
      </c>
      <c r="R13">
        <v>1</v>
      </c>
      <c r="S13">
        <v>0</v>
      </c>
      <c r="T13">
        <v>175.53</v>
      </c>
      <c r="W13">
        <v>21924</v>
      </c>
      <c r="Y13">
        <v>6.5</v>
      </c>
      <c r="Z13" t="s">
        <v>192</v>
      </c>
      <c r="AA13" t="s">
        <v>3890</v>
      </c>
      <c r="AC13" t="s">
        <v>3942</v>
      </c>
      <c r="AD13" t="s">
        <v>246</v>
      </c>
      <c r="AF13" t="s">
        <v>4053</v>
      </c>
      <c r="AH13" t="s">
        <v>4076</v>
      </c>
      <c r="AJ13" t="s">
        <v>3943</v>
      </c>
      <c r="AK13" t="s">
        <v>4084</v>
      </c>
      <c r="AM13" t="s">
        <v>2230</v>
      </c>
      <c r="AO13">
        <v>1132</v>
      </c>
      <c r="AQ13">
        <v>6</v>
      </c>
      <c r="AS13" t="s">
        <v>4113</v>
      </c>
      <c r="AT13" t="s">
        <v>4127</v>
      </c>
      <c r="AW13">
        <v>10</v>
      </c>
      <c r="AY13" t="s">
        <v>4140</v>
      </c>
      <c r="BA13" t="s">
        <v>4150</v>
      </c>
      <c r="BC13" t="s">
        <v>4155</v>
      </c>
      <c r="BG13" t="s">
        <v>4291</v>
      </c>
      <c r="BM13" t="s">
        <v>4627</v>
      </c>
    </row>
    <row r="14" spans="1:67">
      <c r="A14" s="1">
        <f>HYPERLINK("https://lsnyc.legalserver.org/matter/dynamic-profile/view/1845584","17-1845584")</f>
        <v>0</v>
      </c>
      <c r="B14" t="s">
        <v>67</v>
      </c>
      <c r="C14" t="s">
        <v>93</v>
      </c>
      <c r="D14" t="s">
        <v>106</v>
      </c>
      <c r="F14" t="s">
        <v>490</v>
      </c>
      <c r="G14" t="s">
        <v>1025</v>
      </c>
      <c r="H14" t="s">
        <v>1567</v>
      </c>
      <c r="I14" t="s">
        <v>1928</v>
      </c>
      <c r="J14" t="s">
        <v>2205</v>
      </c>
      <c r="K14">
        <v>11210</v>
      </c>
      <c r="N14" t="s">
        <v>2233</v>
      </c>
      <c r="O14" t="s">
        <v>2255</v>
      </c>
      <c r="Q14" t="s">
        <v>2942</v>
      </c>
      <c r="R14">
        <v>2</v>
      </c>
      <c r="S14">
        <v>0</v>
      </c>
      <c r="T14">
        <v>182.02</v>
      </c>
      <c r="W14">
        <v>29560</v>
      </c>
      <c r="Y14">
        <v>0.1</v>
      </c>
      <c r="Z14" t="s">
        <v>3814</v>
      </c>
      <c r="AA14" t="s">
        <v>90</v>
      </c>
      <c r="AC14" t="s">
        <v>3942</v>
      </c>
      <c r="AD14" t="s">
        <v>3947</v>
      </c>
      <c r="AE14" t="s">
        <v>4049</v>
      </c>
      <c r="AH14" t="s">
        <v>3510</v>
      </c>
      <c r="AI14" t="s">
        <v>4082</v>
      </c>
      <c r="AK14" t="s">
        <v>4084</v>
      </c>
      <c r="AM14" t="s">
        <v>2230</v>
      </c>
      <c r="AO14">
        <v>1350</v>
      </c>
      <c r="AQ14">
        <v>12</v>
      </c>
      <c r="AS14" t="s">
        <v>4113</v>
      </c>
      <c r="AT14" t="s">
        <v>4127</v>
      </c>
      <c r="AW14">
        <v>4</v>
      </c>
      <c r="AY14" t="s">
        <v>4140</v>
      </c>
      <c r="BB14" t="s">
        <v>4154</v>
      </c>
      <c r="BF14" t="s">
        <v>4281</v>
      </c>
      <c r="BM14" t="s">
        <v>4627</v>
      </c>
    </row>
    <row r="15" spans="1:67">
      <c r="A15" s="1">
        <f>HYPERLINK("https://lsnyc.legalserver.org/matter/dynamic-profile/view/1875900","18-1875900")</f>
        <v>0</v>
      </c>
      <c r="B15" t="s">
        <v>67</v>
      </c>
      <c r="C15" t="s">
        <v>93</v>
      </c>
      <c r="D15" t="s">
        <v>107</v>
      </c>
      <c r="F15" t="s">
        <v>491</v>
      </c>
      <c r="G15" t="s">
        <v>1026</v>
      </c>
      <c r="H15" t="s">
        <v>1568</v>
      </c>
      <c r="I15" t="s">
        <v>1929</v>
      </c>
      <c r="J15" t="s">
        <v>2205</v>
      </c>
      <c r="K15">
        <v>11237</v>
      </c>
      <c r="N15" t="s">
        <v>2233</v>
      </c>
      <c r="O15" t="s">
        <v>2256</v>
      </c>
      <c r="P15" t="s">
        <v>2930</v>
      </c>
      <c r="R15">
        <v>5</v>
      </c>
      <c r="S15">
        <v>0</v>
      </c>
      <c r="T15">
        <v>75.12</v>
      </c>
      <c r="W15">
        <v>22100</v>
      </c>
      <c r="Y15">
        <v>13</v>
      </c>
      <c r="Z15" t="s">
        <v>367</v>
      </c>
      <c r="AA15" t="s">
        <v>3891</v>
      </c>
      <c r="AC15" t="s">
        <v>3942</v>
      </c>
      <c r="AD15" t="s">
        <v>107</v>
      </c>
      <c r="AF15" t="s">
        <v>4053</v>
      </c>
      <c r="AH15" t="s">
        <v>3510</v>
      </c>
      <c r="AJ15" t="s">
        <v>3943</v>
      </c>
      <c r="AK15" t="s">
        <v>4084</v>
      </c>
      <c r="AM15" t="s">
        <v>2230</v>
      </c>
      <c r="AN15" t="s">
        <v>4107</v>
      </c>
      <c r="AO15">
        <v>0</v>
      </c>
      <c r="AP15" t="s">
        <v>4108</v>
      </c>
      <c r="AQ15" t="s">
        <v>4110</v>
      </c>
      <c r="AR15" t="s">
        <v>4112</v>
      </c>
      <c r="AT15" t="s">
        <v>4127</v>
      </c>
      <c r="AV15" t="s">
        <v>4137</v>
      </c>
      <c r="AW15">
        <v>0</v>
      </c>
      <c r="AY15" t="s">
        <v>4140</v>
      </c>
      <c r="BB15" t="s">
        <v>4154</v>
      </c>
      <c r="BF15" t="s">
        <v>4281</v>
      </c>
      <c r="BG15" t="s">
        <v>4292</v>
      </c>
      <c r="BM15" t="s">
        <v>4627</v>
      </c>
    </row>
    <row r="16" spans="1:67">
      <c r="A16" s="1">
        <f>HYPERLINK("https://lsnyc.legalserver.org/matter/dynamic-profile/view/1895315","19-1895315")</f>
        <v>0</v>
      </c>
      <c r="B16" t="s">
        <v>67</v>
      </c>
      <c r="C16" t="s">
        <v>93</v>
      </c>
      <c r="D16" t="s">
        <v>99</v>
      </c>
      <c r="F16" t="s">
        <v>481</v>
      </c>
      <c r="G16" t="s">
        <v>1027</v>
      </c>
      <c r="H16" t="s">
        <v>1559</v>
      </c>
      <c r="I16" t="s">
        <v>1921</v>
      </c>
      <c r="J16" t="s">
        <v>2205</v>
      </c>
      <c r="K16">
        <v>11221</v>
      </c>
      <c r="N16" t="s">
        <v>2233</v>
      </c>
      <c r="O16" t="s">
        <v>2246</v>
      </c>
      <c r="Q16" t="s">
        <v>2943</v>
      </c>
      <c r="R16">
        <v>2</v>
      </c>
      <c r="S16">
        <v>0</v>
      </c>
      <c r="T16">
        <v>184.51</v>
      </c>
      <c r="W16">
        <v>31200</v>
      </c>
      <c r="Y16">
        <v>12</v>
      </c>
      <c r="Z16" t="s">
        <v>252</v>
      </c>
      <c r="AA16" t="s">
        <v>90</v>
      </c>
      <c r="AC16" t="s">
        <v>3942</v>
      </c>
      <c r="AD16" t="s">
        <v>99</v>
      </c>
      <c r="AF16" t="s">
        <v>4051</v>
      </c>
      <c r="AH16" t="s">
        <v>4076</v>
      </c>
      <c r="AJ16" t="s">
        <v>3942</v>
      </c>
      <c r="AK16" t="s">
        <v>4084</v>
      </c>
      <c r="AM16" t="s">
        <v>2230</v>
      </c>
      <c r="AO16">
        <v>1292.5</v>
      </c>
      <c r="AQ16">
        <v>16</v>
      </c>
      <c r="AS16" t="s">
        <v>4113</v>
      </c>
      <c r="AU16" t="s">
        <v>4128</v>
      </c>
      <c r="AW16">
        <v>10</v>
      </c>
      <c r="AY16" t="s">
        <v>4140</v>
      </c>
      <c r="BC16" t="s">
        <v>4155</v>
      </c>
      <c r="BG16" t="s">
        <v>4293</v>
      </c>
      <c r="BM16" t="s">
        <v>4627</v>
      </c>
    </row>
    <row r="17" spans="1:65">
      <c r="A17" s="1">
        <f>HYPERLINK("https://lsnyc.legalserver.org/matter/dynamic-profile/view/1902656","19-1902656")</f>
        <v>0</v>
      </c>
      <c r="B17" t="s">
        <v>67</v>
      </c>
      <c r="C17" t="s">
        <v>93</v>
      </c>
      <c r="D17" t="s">
        <v>108</v>
      </c>
      <c r="F17" t="s">
        <v>492</v>
      </c>
      <c r="G17" t="s">
        <v>1028</v>
      </c>
      <c r="H17" t="s">
        <v>1569</v>
      </c>
      <c r="I17" t="s">
        <v>1930</v>
      </c>
      <c r="J17" t="s">
        <v>2205</v>
      </c>
      <c r="K17">
        <v>11233</v>
      </c>
      <c r="N17" t="s">
        <v>2233</v>
      </c>
      <c r="O17" t="s">
        <v>2257</v>
      </c>
      <c r="Q17" t="s">
        <v>2944</v>
      </c>
      <c r="R17">
        <v>1</v>
      </c>
      <c r="S17">
        <v>0</v>
      </c>
      <c r="T17">
        <v>0</v>
      </c>
      <c r="W17">
        <v>0</v>
      </c>
      <c r="Y17">
        <v>5</v>
      </c>
      <c r="Z17" t="s">
        <v>171</v>
      </c>
      <c r="AA17" t="s">
        <v>90</v>
      </c>
      <c r="AC17" t="s">
        <v>3942</v>
      </c>
      <c r="AD17" t="s">
        <v>108</v>
      </c>
      <c r="AF17" t="s">
        <v>4054</v>
      </c>
      <c r="AG17" t="s">
        <v>4075</v>
      </c>
      <c r="AJ17" t="s">
        <v>3943</v>
      </c>
      <c r="AL17" t="s">
        <v>4090</v>
      </c>
      <c r="AM17" t="s">
        <v>2230</v>
      </c>
      <c r="AO17">
        <v>333</v>
      </c>
      <c r="AQ17">
        <v>6</v>
      </c>
      <c r="AS17" t="s">
        <v>4114</v>
      </c>
      <c r="AU17" t="s">
        <v>4129</v>
      </c>
      <c r="AW17">
        <v>10</v>
      </c>
      <c r="AY17" t="s">
        <v>4140</v>
      </c>
      <c r="BA17" t="s">
        <v>4149</v>
      </c>
      <c r="BC17" t="s">
        <v>4155</v>
      </c>
      <c r="BE17" t="s">
        <v>4160</v>
      </c>
      <c r="BF17" t="s">
        <v>4281</v>
      </c>
      <c r="BG17" t="s">
        <v>4128</v>
      </c>
      <c r="BM17" t="s">
        <v>4627</v>
      </c>
    </row>
    <row r="18" spans="1:65">
      <c r="A18" s="1">
        <f>HYPERLINK("https://lsnyc.legalserver.org/matter/dynamic-profile/view/1864351","18-1864351")</f>
        <v>0</v>
      </c>
      <c r="B18" t="s">
        <v>67</v>
      </c>
      <c r="C18" t="s">
        <v>93</v>
      </c>
      <c r="D18" t="s">
        <v>109</v>
      </c>
      <c r="F18" t="s">
        <v>493</v>
      </c>
      <c r="G18" t="s">
        <v>972</v>
      </c>
      <c r="H18" t="s">
        <v>1570</v>
      </c>
      <c r="I18" t="s">
        <v>1927</v>
      </c>
      <c r="J18" t="s">
        <v>2205</v>
      </c>
      <c r="K18">
        <v>11233</v>
      </c>
      <c r="N18" t="s">
        <v>2233</v>
      </c>
      <c r="O18" t="s">
        <v>2258</v>
      </c>
      <c r="Q18" t="s">
        <v>2945</v>
      </c>
      <c r="R18">
        <v>2</v>
      </c>
      <c r="S18">
        <v>1</v>
      </c>
      <c r="T18">
        <v>115.32</v>
      </c>
      <c r="U18" t="s">
        <v>3444</v>
      </c>
      <c r="V18" t="s">
        <v>3457</v>
      </c>
      <c r="W18">
        <v>23964</v>
      </c>
      <c r="Y18">
        <v>3</v>
      </c>
      <c r="Z18" t="s">
        <v>109</v>
      </c>
      <c r="AA18" t="s">
        <v>67</v>
      </c>
      <c r="AC18" t="s">
        <v>3942</v>
      </c>
      <c r="AD18" t="s">
        <v>3948</v>
      </c>
      <c r="AF18" t="s">
        <v>4055</v>
      </c>
      <c r="AH18" t="s">
        <v>4078</v>
      </c>
      <c r="AI18" t="s">
        <v>4082</v>
      </c>
      <c r="AL18" t="s">
        <v>4091</v>
      </c>
      <c r="AM18" t="s">
        <v>4106</v>
      </c>
      <c r="AO18">
        <v>1477</v>
      </c>
      <c r="AQ18">
        <v>15</v>
      </c>
      <c r="AS18" t="s">
        <v>4113</v>
      </c>
      <c r="AU18" t="s">
        <v>4130</v>
      </c>
      <c r="AW18">
        <v>9</v>
      </c>
      <c r="AY18" t="s">
        <v>4140</v>
      </c>
      <c r="BB18" t="s">
        <v>4154</v>
      </c>
      <c r="BD18" t="s">
        <v>4157</v>
      </c>
      <c r="BE18">
        <v>8844652</v>
      </c>
      <c r="BF18" t="s">
        <v>4281</v>
      </c>
      <c r="BM18" t="s">
        <v>4627</v>
      </c>
    </row>
    <row r="19" spans="1:65">
      <c r="A19" s="1">
        <f>HYPERLINK("https://lsnyc.legalserver.org/matter/dynamic-profile/view/1895326","19-1895326")</f>
        <v>0</v>
      </c>
      <c r="B19" t="s">
        <v>67</v>
      </c>
      <c r="C19" t="s">
        <v>93</v>
      </c>
      <c r="D19" t="s">
        <v>99</v>
      </c>
      <c r="F19" t="s">
        <v>494</v>
      </c>
      <c r="G19" t="s">
        <v>1029</v>
      </c>
      <c r="H19" t="s">
        <v>1563</v>
      </c>
      <c r="I19" t="s">
        <v>1931</v>
      </c>
      <c r="J19" t="s">
        <v>2205</v>
      </c>
      <c r="K19">
        <v>11221</v>
      </c>
      <c r="N19" t="s">
        <v>2234</v>
      </c>
      <c r="O19" t="s">
        <v>2259</v>
      </c>
      <c r="Q19" t="s">
        <v>2946</v>
      </c>
      <c r="R19">
        <v>3</v>
      </c>
      <c r="S19">
        <v>2</v>
      </c>
      <c r="T19">
        <v>265.16</v>
      </c>
      <c r="W19">
        <v>80000</v>
      </c>
      <c r="X19" t="s">
        <v>3464</v>
      </c>
      <c r="Y19">
        <v>0</v>
      </c>
      <c r="AA19" t="s">
        <v>90</v>
      </c>
      <c r="AC19" t="s">
        <v>3942</v>
      </c>
      <c r="AD19" t="s">
        <v>99</v>
      </c>
      <c r="AF19" t="s">
        <v>4051</v>
      </c>
      <c r="AH19" t="s">
        <v>4077</v>
      </c>
      <c r="AJ19" t="s">
        <v>3942</v>
      </c>
      <c r="AL19" t="s">
        <v>4087</v>
      </c>
      <c r="AM19" t="s">
        <v>2230</v>
      </c>
      <c r="AO19">
        <v>732</v>
      </c>
      <c r="AQ19">
        <v>13</v>
      </c>
      <c r="AS19" t="s">
        <v>4113</v>
      </c>
      <c r="AU19" t="s">
        <v>4128</v>
      </c>
      <c r="AW19">
        <v>25</v>
      </c>
      <c r="AY19" t="s">
        <v>4140</v>
      </c>
      <c r="BC19" t="s">
        <v>4155</v>
      </c>
      <c r="BE19" t="s">
        <v>4128</v>
      </c>
      <c r="BF19" t="s">
        <v>4281</v>
      </c>
      <c r="BM19" t="s">
        <v>4627</v>
      </c>
    </row>
    <row r="20" spans="1:65">
      <c r="A20" s="1">
        <f>HYPERLINK("https://lsnyc.legalserver.org/matter/dynamic-profile/view/1914323","19-1914323")</f>
        <v>0</v>
      </c>
      <c r="B20" t="s">
        <v>67</v>
      </c>
      <c r="C20" t="s">
        <v>93</v>
      </c>
      <c r="D20" t="s">
        <v>110</v>
      </c>
      <c r="F20" t="s">
        <v>495</v>
      </c>
      <c r="G20" t="s">
        <v>1030</v>
      </c>
      <c r="H20" t="s">
        <v>1571</v>
      </c>
      <c r="I20">
        <v>461</v>
      </c>
      <c r="J20" t="s">
        <v>2205</v>
      </c>
      <c r="K20">
        <v>11208</v>
      </c>
      <c r="N20" t="s">
        <v>2233</v>
      </c>
      <c r="O20" t="s">
        <v>2260</v>
      </c>
      <c r="Q20" t="s">
        <v>2947</v>
      </c>
      <c r="R20">
        <v>2</v>
      </c>
      <c r="S20">
        <v>1</v>
      </c>
      <c r="T20">
        <v>11.25</v>
      </c>
      <c r="W20">
        <v>2400</v>
      </c>
      <c r="Y20">
        <v>0</v>
      </c>
      <c r="AA20" t="s">
        <v>90</v>
      </c>
      <c r="AC20" t="s">
        <v>3942</v>
      </c>
      <c r="AD20" t="s">
        <v>361</v>
      </c>
      <c r="AF20" t="s">
        <v>4053</v>
      </c>
      <c r="AG20" t="s">
        <v>4075</v>
      </c>
      <c r="AJ20" t="s">
        <v>3943</v>
      </c>
      <c r="AL20" t="s">
        <v>4092</v>
      </c>
      <c r="AM20" t="s">
        <v>2230</v>
      </c>
      <c r="AO20">
        <v>1667</v>
      </c>
      <c r="AQ20">
        <v>266</v>
      </c>
      <c r="AS20" t="s">
        <v>4113</v>
      </c>
      <c r="AU20" t="s">
        <v>4129</v>
      </c>
      <c r="AW20">
        <v>15</v>
      </c>
      <c r="AY20" t="s">
        <v>4140</v>
      </c>
      <c r="BA20" t="s">
        <v>4151</v>
      </c>
      <c r="BC20" t="s">
        <v>4156</v>
      </c>
      <c r="BD20" t="s">
        <v>4157</v>
      </c>
      <c r="BE20" t="s">
        <v>4161</v>
      </c>
      <c r="BG20" t="s">
        <v>4294</v>
      </c>
      <c r="BM20" t="s">
        <v>4627</v>
      </c>
    </row>
    <row r="21" spans="1:65">
      <c r="A21" s="1">
        <f>HYPERLINK("https://lsnyc.legalserver.org/matter/dynamic-profile/view/1912981","19-1912981")</f>
        <v>0</v>
      </c>
      <c r="B21" t="s">
        <v>67</v>
      </c>
      <c r="C21" t="s">
        <v>93</v>
      </c>
      <c r="D21" t="s">
        <v>111</v>
      </c>
      <c r="F21" t="s">
        <v>496</v>
      </c>
      <c r="G21" t="s">
        <v>1031</v>
      </c>
      <c r="H21" t="s">
        <v>1572</v>
      </c>
      <c r="I21" t="s">
        <v>1932</v>
      </c>
      <c r="J21" t="s">
        <v>2205</v>
      </c>
      <c r="K21">
        <v>11212</v>
      </c>
      <c r="N21" t="s">
        <v>2233</v>
      </c>
      <c r="O21" t="s">
        <v>2261</v>
      </c>
      <c r="Q21" t="s">
        <v>2948</v>
      </c>
      <c r="R21">
        <v>1</v>
      </c>
      <c r="S21">
        <v>1</v>
      </c>
      <c r="T21">
        <v>248.37</v>
      </c>
      <c r="W21">
        <v>42000</v>
      </c>
      <c r="X21" t="s">
        <v>3465</v>
      </c>
      <c r="Y21">
        <v>0</v>
      </c>
      <c r="AA21" t="s">
        <v>90</v>
      </c>
      <c r="AC21" t="s">
        <v>3942</v>
      </c>
      <c r="AD21" t="s">
        <v>196</v>
      </c>
      <c r="AF21" t="s">
        <v>4053</v>
      </c>
      <c r="AG21" t="s">
        <v>4075</v>
      </c>
      <c r="AJ21" t="s">
        <v>3943</v>
      </c>
      <c r="AL21" t="s">
        <v>4093</v>
      </c>
      <c r="AM21" t="s">
        <v>2230</v>
      </c>
      <c r="AO21">
        <v>1331</v>
      </c>
      <c r="AQ21">
        <v>101</v>
      </c>
      <c r="AS21" t="s">
        <v>4113</v>
      </c>
      <c r="AU21" t="s">
        <v>4128</v>
      </c>
      <c r="AW21">
        <v>21</v>
      </c>
      <c r="AY21" t="s">
        <v>4140</v>
      </c>
      <c r="BA21" t="s">
        <v>4149</v>
      </c>
      <c r="BC21" t="s">
        <v>4155</v>
      </c>
      <c r="BE21" t="s">
        <v>4159</v>
      </c>
      <c r="BG21" t="s">
        <v>4295</v>
      </c>
      <c r="BM21" t="s">
        <v>4627</v>
      </c>
    </row>
    <row r="22" spans="1:65">
      <c r="A22" s="1">
        <f>HYPERLINK("https://lsnyc.legalserver.org/matter/dynamic-profile/view/1908630","19-1908630")</f>
        <v>0</v>
      </c>
      <c r="B22" t="s">
        <v>67</v>
      </c>
      <c r="C22" t="s">
        <v>93</v>
      </c>
      <c r="D22" t="s">
        <v>112</v>
      </c>
      <c r="F22" t="s">
        <v>497</v>
      </c>
      <c r="G22" t="s">
        <v>1032</v>
      </c>
      <c r="H22" t="s">
        <v>1573</v>
      </c>
      <c r="I22">
        <v>219</v>
      </c>
      <c r="J22" t="s">
        <v>2205</v>
      </c>
      <c r="K22">
        <v>11212</v>
      </c>
      <c r="N22" t="s">
        <v>2233</v>
      </c>
      <c r="O22" t="s">
        <v>2262</v>
      </c>
      <c r="Q22" t="s">
        <v>2949</v>
      </c>
      <c r="R22">
        <v>1</v>
      </c>
      <c r="S22">
        <v>0</v>
      </c>
      <c r="T22">
        <v>38.24</v>
      </c>
      <c r="W22">
        <v>4776</v>
      </c>
      <c r="Y22">
        <v>9.1</v>
      </c>
      <c r="Z22" t="s">
        <v>156</v>
      </c>
      <c r="AA22" t="s">
        <v>3892</v>
      </c>
      <c r="AC22" t="s">
        <v>3942</v>
      </c>
      <c r="AD22" t="s">
        <v>395</v>
      </c>
      <c r="AF22" t="s">
        <v>4053</v>
      </c>
      <c r="AH22" t="s">
        <v>4079</v>
      </c>
      <c r="AJ22" t="s">
        <v>3943</v>
      </c>
      <c r="AL22" t="s">
        <v>4088</v>
      </c>
      <c r="AM22" t="s">
        <v>2230</v>
      </c>
      <c r="AO22">
        <v>895.23</v>
      </c>
      <c r="AQ22">
        <v>132</v>
      </c>
      <c r="AS22" t="s">
        <v>4113</v>
      </c>
      <c r="AT22" t="s">
        <v>4127</v>
      </c>
      <c r="AW22">
        <v>1</v>
      </c>
      <c r="AY22" t="s">
        <v>4140</v>
      </c>
      <c r="BA22" t="s">
        <v>4149</v>
      </c>
      <c r="BC22" t="s">
        <v>4155</v>
      </c>
      <c r="BE22" t="s">
        <v>4162</v>
      </c>
      <c r="BG22" t="s">
        <v>4296</v>
      </c>
      <c r="BM22" t="s">
        <v>4627</v>
      </c>
    </row>
    <row r="23" spans="1:65">
      <c r="A23" s="1">
        <f>HYPERLINK("https://lsnyc.legalserver.org/matter/dynamic-profile/view/1911183","19-1911183")</f>
        <v>0</v>
      </c>
      <c r="B23" t="s">
        <v>67</v>
      </c>
      <c r="C23" t="s">
        <v>93</v>
      </c>
      <c r="D23" t="s">
        <v>113</v>
      </c>
      <c r="F23" t="s">
        <v>498</v>
      </c>
      <c r="G23" t="s">
        <v>1033</v>
      </c>
      <c r="H23" t="s">
        <v>1574</v>
      </c>
      <c r="J23" t="s">
        <v>2205</v>
      </c>
      <c r="K23">
        <v>11212</v>
      </c>
      <c r="N23" t="s">
        <v>2233</v>
      </c>
      <c r="O23" t="s">
        <v>2263</v>
      </c>
      <c r="Q23" t="s">
        <v>2950</v>
      </c>
      <c r="R23">
        <v>3</v>
      </c>
      <c r="S23">
        <v>2</v>
      </c>
      <c r="T23">
        <v>48.54</v>
      </c>
      <c r="W23">
        <v>14644</v>
      </c>
      <c r="Y23">
        <v>0</v>
      </c>
      <c r="AA23" t="s">
        <v>3893</v>
      </c>
      <c r="AC23" t="s">
        <v>3942</v>
      </c>
      <c r="AD23" t="s">
        <v>113</v>
      </c>
      <c r="AF23" t="s">
        <v>4051</v>
      </c>
      <c r="AG23" t="s">
        <v>4075</v>
      </c>
      <c r="AJ23" t="s">
        <v>3943</v>
      </c>
      <c r="AL23" t="s">
        <v>4094</v>
      </c>
      <c r="AM23" t="s">
        <v>2230</v>
      </c>
      <c r="AN23" t="s">
        <v>4107</v>
      </c>
      <c r="AO23">
        <v>0</v>
      </c>
      <c r="AQ23">
        <v>46</v>
      </c>
      <c r="AS23" t="s">
        <v>4113</v>
      </c>
      <c r="AU23" t="s">
        <v>4128</v>
      </c>
      <c r="AW23">
        <v>3</v>
      </c>
      <c r="AY23" t="s">
        <v>4141</v>
      </c>
      <c r="BA23" t="s">
        <v>4150</v>
      </c>
      <c r="BC23" t="s">
        <v>4155</v>
      </c>
      <c r="BE23" t="s">
        <v>4163</v>
      </c>
      <c r="BG23" t="s">
        <v>4297</v>
      </c>
      <c r="BM23" t="s">
        <v>4627</v>
      </c>
    </row>
    <row r="24" spans="1:65">
      <c r="A24" s="1">
        <f>HYPERLINK("https://lsnyc.legalserver.org/matter/dynamic-profile/view/1893686","19-1893686")</f>
        <v>0</v>
      </c>
      <c r="B24" t="s">
        <v>67</v>
      </c>
      <c r="C24" t="s">
        <v>93</v>
      </c>
      <c r="D24" t="s">
        <v>114</v>
      </c>
      <c r="F24" t="s">
        <v>499</v>
      </c>
      <c r="G24" t="s">
        <v>1034</v>
      </c>
      <c r="H24" t="s">
        <v>1575</v>
      </c>
      <c r="I24" t="s">
        <v>1921</v>
      </c>
      <c r="J24" t="s">
        <v>2205</v>
      </c>
      <c r="K24">
        <v>11221</v>
      </c>
      <c r="N24" t="s">
        <v>2233</v>
      </c>
      <c r="O24" t="s">
        <v>2264</v>
      </c>
      <c r="Q24" t="s">
        <v>2951</v>
      </c>
      <c r="R24">
        <v>2</v>
      </c>
      <c r="S24">
        <v>0</v>
      </c>
      <c r="T24">
        <v>49.75</v>
      </c>
      <c r="W24">
        <v>8412</v>
      </c>
      <c r="Y24">
        <v>16.5</v>
      </c>
      <c r="Z24" t="s">
        <v>381</v>
      </c>
      <c r="AA24" t="s">
        <v>90</v>
      </c>
      <c r="AC24" t="s">
        <v>3942</v>
      </c>
      <c r="AD24" t="s">
        <v>168</v>
      </c>
      <c r="AF24" t="s">
        <v>4053</v>
      </c>
      <c r="AH24" t="s">
        <v>4076</v>
      </c>
      <c r="AJ24" t="s">
        <v>3943</v>
      </c>
      <c r="AK24" t="s">
        <v>4084</v>
      </c>
      <c r="AM24" t="s">
        <v>2230</v>
      </c>
      <c r="AO24">
        <v>1050</v>
      </c>
      <c r="AP24" t="s">
        <v>4108</v>
      </c>
      <c r="AQ24" t="s">
        <v>4110</v>
      </c>
      <c r="AS24" t="s">
        <v>4113</v>
      </c>
      <c r="AU24" t="s">
        <v>4129</v>
      </c>
      <c r="AW24">
        <v>15</v>
      </c>
      <c r="AX24" t="s">
        <v>4139</v>
      </c>
      <c r="BA24" t="s">
        <v>4149</v>
      </c>
      <c r="BB24" t="s">
        <v>4154</v>
      </c>
      <c r="BE24" t="s">
        <v>4162</v>
      </c>
      <c r="BG24" t="s">
        <v>4298</v>
      </c>
      <c r="BM24" t="s">
        <v>4627</v>
      </c>
    </row>
    <row r="25" spans="1:65">
      <c r="A25" s="1">
        <f>HYPERLINK("https://lsnyc.legalserver.org/matter/dynamic-profile/view/1887422","19-1887422")</f>
        <v>0</v>
      </c>
      <c r="B25" t="s">
        <v>67</v>
      </c>
      <c r="C25" t="s">
        <v>93</v>
      </c>
      <c r="D25" t="s">
        <v>115</v>
      </c>
      <c r="F25" t="s">
        <v>500</v>
      </c>
      <c r="G25" t="s">
        <v>1035</v>
      </c>
      <c r="H25" t="s">
        <v>1576</v>
      </c>
      <c r="I25">
        <v>2</v>
      </c>
      <c r="J25" t="s">
        <v>2205</v>
      </c>
      <c r="K25">
        <v>11233</v>
      </c>
      <c r="N25" t="s">
        <v>2233</v>
      </c>
      <c r="O25" t="s">
        <v>2265</v>
      </c>
      <c r="Q25" t="s">
        <v>2952</v>
      </c>
      <c r="R25">
        <v>6</v>
      </c>
      <c r="S25">
        <v>0</v>
      </c>
      <c r="T25">
        <v>35.57</v>
      </c>
      <c r="W25">
        <v>12000</v>
      </c>
      <c r="Y25">
        <v>0</v>
      </c>
      <c r="AA25" t="s">
        <v>70</v>
      </c>
      <c r="AC25" t="s">
        <v>3942</v>
      </c>
      <c r="AD25" t="s">
        <v>466</v>
      </c>
      <c r="AF25" t="s">
        <v>4050</v>
      </c>
      <c r="AH25" t="s">
        <v>3510</v>
      </c>
      <c r="AJ25" t="s">
        <v>3943</v>
      </c>
      <c r="AK25" t="s">
        <v>4084</v>
      </c>
      <c r="AM25" t="s">
        <v>2230</v>
      </c>
      <c r="AN25" t="s">
        <v>4107</v>
      </c>
      <c r="AO25">
        <v>0</v>
      </c>
      <c r="AQ25">
        <v>2</v>
      </c>
      <c r="AS25" t="s">
        <v>4114</v>
      </c>
      <c r="AU25" t="s">
        <v>4128</v>
      </c>
      <c r="AW25">
        <v>6</v>
      </c>
      <c r="AY25" t="s">
        <v>4140</v>
      </c>
      <c r="BC25" t="s">
        <v>4155</v>
      </c>
      <c r="BG25" t="s">
        <v>4299</v>
      </c>
      <c r="BM25" t="s">
        <v>4627</v>
      </c>
    </row>
    <row r="26" spans="1:65">
      <c r="A26" s="1">
        <f>HYPERLINK("https://lsnyc.legalserver.org/matter/dynamic-profile/view/1895330","19-1895330")</f>
        <v>0</v>
      </c>
      <c r="B26" t="s">
        <v>67</v>
      </c>
      <c r="C26" t="s">
        <v>93</v>
      </c>
      <c r="D26" t="s">
        <v>99</v>
      </c>
      <c r="F26" t="s">
        <v>501</v>
      </c>
      <c r="G26" t="s">
        <v>1036</v>
      </c>
      <c r="H26" t="s">
        <v>1558</v>
      </c>
      <c r="I26" t="s">
        <v>1933</v>
      </c>
      <c r="J26" t="s">
        <v>2205</v>
      </c>
      <c r="K26">
        <v>11221</v>
      </c>
      <c r="N26" t="s">
        <v>2234</v>
      </c>
      <c r="O26" t="s">
        <v>2266</v>
      </c>
      <c r="Q26" t="s">
        <v>2953</v>
      </c>
      <c r="R26">
        <v>1</v>
      </c>
      <c r="S26">
        <v>0</v>
      </c>
      <c r="T26">
        <v>384.31</v>
      </c>
      <c r="W26">
        <v>48000</v>
      </c>
      <c r="X26" t="s">
        <v>3466</v>
      </c>
      <c r="Y26">
        <v>0</v>
      </c>
      <c r="AA26" t="s">
        <v>90</v>
      </c>
      <c r="AC26" t="s">
        <v>3942</v>
      </c>
      <c r="AD26" t="s">
        <v>99</v>
      </c>
      <c r="AF26" t="s">
        <v>4051</v>
      </c>
      <c r="AH26" t="s">
        <v>4077</v>
      </c>
      <c r="AJ26" t="s">
        <v>3942</v>
      </c>
      <c r="AL26" t="s">
        <v>4087</v>
      </c>
      <c r="AM26" t="s">
        <v>2230</v>
      </c>
      <c r="AO26">
        <v>780</v>
      </c>
      <c r="AQ26">
        <v>12</v>
      </c>
      <c r="AS26" t="s">
        <v>4113</v>
      </c>
      <c r="AU26" t="s">
        <v>4128</v>
      </c>
      <c r="AW26">
        <v>15</v>
      </c>
      <c r="AY26" t="s">
        <v>4140</v>
      </c>
      <c r="BB26" t="s">
        <v>4154</v>
      </c>
      <c r="BC26" t="s">
        <v>4128</v>
      </c>
      <c r="BF26" t="s">
        <v>4281</v>
      </c>
      <c r="BM26" t="s">
        <v>4627</v>
      </c>
    </row>
    <row r="27" spans="1:65">
      <c r="A27" s="1">
        <f>HYPERLINK("https://lsnyc.legalserver.org/matter/dynamic-profile/view/1895371","19-1895371")</f>
        <v>0</v>
      </c>
      <c r="B27" t="s">
        <v>67</v>
      </c>
      <c r="C27" t="s">
        <v>93</v>
      </c>
      <c r="D27" t="s">
        <v>99</v>
      </c>
      <c r="F27" t="s">
        <v>502</v>
      </c>
      <c r="G27" t="s">
        <v>1037</v>
      </c>
      <c r="H27" t="s">
        <v>1558</v>
      </c>
      <c r="I27" t="s">
        <v>1934</v>
      </c>
      <c r="J27" t="s">
        <v>2205</v>
      </c>
      <c r="K27">
        <v>11221</v>
      </c>
      <c r="N27" t="s">
        <v>2234</v>
      </c>
      <c r="O27" t="s">
        <v>2267</v>
      </c>
      <c r="Q27" t="s">
        <v>2954</v>
      </c>
      <c r="R27">
        <v>1</v>
      </c>
      <c r="S27">
        <v>1</v>
      </c>
      <c r="T27">
        <v>236.55</v>
      </c>
      <c r="W27">
        <v>40000</v>
      </c>
      <c r="X27" t="s">
        <v>3467</v>
      </c>
      <c r="Y27">
        <v>0</v>
      </c>
      <c r="AA27" t="s">
        <v>90</v>
      </c>
      <c r="AC27" t="s">
        <v>3942</v>
      </c>
      <c r="AD27" t="s">
        <v>99</v>
      </c>
      <c r="AF27" t="s">
        <v>4051</v>
      </c>
      <c r="AH27" t="s">
        <v>4077</v>
      </c>
      <c r="AJ27" t="s">
        <v>3942</v>
      </c>
      <c r="AL27" t="s">
        <v>4087</v>
      </c>
      <c r="AM27" t="s">
        <v>2230</v>
      </c>
      <c r="AO27">
        <v>880.65</v>
      </c>
      <c r="AQ27">
        <v>12</v>
      </c>
      <c r="AS27" t="s">
        <v>4113</v>
      </c>
      <c r="AU27" t="s">
        <v>4128</v>
      </c>
      <c r="AW27">
        <v>17</v>
      </c>
      <c r="AY27" t="s">
        <v>4140</v>
      </c>
      <c r="BC27" t="s">
        <v>4155</v>
      </c>
      <c r="BE27" t="s">
        <v>4128</v>
      </c>
      <c r="BF27" t="s">
        <v>4281</v>
      </c>
      <c r="BG27" t="s">
        <v>4289</v>
      </c>
      <c r="BM27" t="s">
        <v>4627</v>
      </c>
    </row>
    <row r="28" spans="1:65">
      <c r="A28" s="1">
        <f>HYPERLINK("https://lsnyc.legalserver.org/matter/dynamic-profile/view/1914687","19-1914687")</f>
        <v>0</v>
      </c>
      <c r="B28" t="s">
        <v>67</v>
      </c>
      <c r="C28" t="s">
        <v>93</v>
      </c>
      <c r="D28" t="s">
        <v>116</v>
      </c>
      <c r="F28" t="s">
        <v>503</v>
      </c>
      <c r="G28" t="s">
        <v>1038</v>
      </c>
      <c r="H28" t="s">
        <v>1577</v>
      </c>
      <c r="I28" t="s">
        <v>1935</v>
      </c>
      <c r="J28" t="s">
        <v>2205</v>
      </c>
      <c r="K28">
        <v>11233</v>
      </c>
      <c r="N28" t="s">
        <v>2233</v>
      </c>
      <c r="O28" t="s">
        <v>2268</v>
      </c>
      <c r="Q28" t="s">
        <v>2955</v>
      </c>
      <c r="R28">
        <v>1</v>
      </c>
      <c r="S28">
        <v>1</v>
      </c>
      <c r="T28">
        <v>14.19</v>
      </c>
      <c r="W28">
        <v>2400</v>
      </c>
      <c r="Y28">
        <v>0</v>
      </c>
      <c r="AA28" t="s">
        <v>90</v>
      </c>
      <c r="AB28" t="s">
        <v>3940</v>
      </c>
      <c r="AC28" t="s">
        <v>3943</v>
      </c>
      <c r="AF28" t="s">
        <v>4053</v>
      </c>
      <c r="AG28" t="s">
        <v>4075</v>
      </c>
      <c r="AJ28" t="s">
        <v>3943</v>
      </c>
      <c r="AL28" t="s">
        <v>4086</v>
      </c>
      <c r="AM28" t="s">
        <v>2230</v>
      </c>
      <c r="AO28">
        <v>858</v>
      </c>
      <c r="AQ28">
        <v>700</v>
      </c>
      <c r="AS28" t="s">
        <v>4113</v>
      </c>
      <c r="AU28" t="s">
        <v>4129</v>
      </c>
      <c r="AW28">
        <v>16</v>
      </c>
      <c r="AY28" t="s">
        <v>4140</v>
      </c>
      <c r="BA28" t="s">
        <v>4149</v>
      </c>
      <c r="BB28" t="s">
        <v>4154</v>
      </c>
      <c r="BC28" t="s">
        <v>4128</v>
      </c>
      <c r="BD28" t="s">
        <v>4157</v>
      </c>
      <c r="BE28" t="s">
        <v>4164</v>
      </c>
      <c r="BG28" t="s">
        <v>4300</v>
      </c>
      <c r="BM28" t="s">
        <v>4627</v>
      </c>
    </row>
    <row r="29" spans="1:65">
      <c r="A29" s="1">
        <f>HYPERLINK("https://lsnyc.legalserver.org/matter/dynamic-profile/view/1880333","18-1880333")</f>
        <v>0</v>
      </c>
      <c r="B29" t="s">
        <v>68</v>
      </c>
      <c r="C29" t="s">
        <v>94</v>
      </c>
      <c r="D29" t="s">
        <v>117</v>
      </c>
      <c r="F29" t="s">
        <v>504</v>
      </c>
      <c r="G29" t="s">
        <v>1039</v>
      </c>
      <c r="H29" t="s">
        <v>1578</v>
      </c>
      <c r="I29" t="s">
        <v>1925</v>
      </c>
      <c r="J29" t="s">
        <v>2206</v>
      </c>
      <c r="K29">
        <v>10454</v>
      </c>
      <c r="N29" t="s">
        <v>2235</v>
      </c>
      <c r="O29" t="s">
        <v>2269</v>
      </c>
      <c r="Q29" t="s">
        <v>2956</v>
      </c>
      <c r="R29">
        <v>1</v>
      </c>
      <c r="S29">
        <v>6</v>
      </c>
      <c r="T29">
        <v>58.74</v>
      </c>
      <c r="W29">
        <v>22356</v>
      </c>
      <c r="Y29">
        <v>0.25</v>
      </c>
      <c r="Z29" t="s">
        <v>3815</v>
      </c>
      <c r="AA29" t="s">
        <v>3894</v>
      </c>
      <c r="AC29" t="s">
        <v>3942</v>
      </c>
      <c r="AD29" t="s">
        <v>117</v>
      </c>
      <c r="AF29" t="s">
        <v>4056</v>
      </c>
      <c r="AH29" t="s">
        <v>4080</v>
      </c>
      <c r="AJ29" t="s">
        <v>3943</v>
      </c>
      <c r="AL29" t="s">
        <v>4086</v>
      </c>
      <c r="AM29" t="s">
        <v>2230</v>
      </c>
      <c r="AO29">
        <v>1900</v>
      </c>
      <c r="AQ29">
        <v>173</v>
      </c>
      <c r="AS29" t="s">
        <v>4113</v>
      </c>
      <c r="AU29" t="s">
        <v>4129</v>
      </c>
      <c r="AW29">
        <v>4</v>
      </c>
      <c r="AY29" t="s">
        <v>4140</v>
      </c>
      <c r="BA29" t="s">
        <v>4152</v>
      </c>
      <c r="BB29" t="s">
        <v>4154</v>
      </c>
      <c r="BD29" t="s">
        <v>4157</v>
      </c>
      <c r="BE29">
        <v>35493636</v>
      </c>
      <c r="BF29" t="s">
        <v>4281</v>
      </c>
      <c r="BM29" t="s">
        <v>4627</v>
      </c>
    </row>
    <row r="30" spans="1:65">
      <c r="A30" s="1">
        <f>HYPERLINK("https://lsnyc.legalserver.org/matter/dynamic-profile/view/1882560","18-1882560")</f>
        <v>0</v>
      </c>
      <c r="B30" t="s">
        <v>68</v>
      </c>
      <c r="C30" t="s">
        <v>94</v>
      </c>
      <c r="D30" t="s">
        <v>118</v>
      </c>
      <c r="F30" t="s">
        <v>505</v>
      </c>
      <c r="G30" t="s">
        <v>1040</v>
      </c>
      <c r="H30" t="s">
        <v>1579</v>
      </c>
      <c r="I30" t="s">
        <v>1936</v>
      </c>
      <c r="J30" t="s">
        <v>2206</v>
      </c>
      <c r="K30">
        <v>10462</v>
      </c>
      <c r="N30" t="s">
        <v>2235</v>
      </c>
      <c r="O30" t="s">
        <v>2270</v>
      </c>
      <c r="Q30" t="s">
        <v>2957</v>
      </c>
      <c r="R30">
        <v>2</v>
      </c>
      <c r="S30">
        <v>4</v>
      </c>
      <c r="T30">
        <v>88.92</v>
      </c>
      <c r="W30">
        <v>60000</v>
      </c>
      <c r="Y30">
        <v>4.35</v>
      </c>
      <c r="Z30" t="s">
        <v>112</v>
      </c>
      <c r="AA30" t="s">
        <v>3895</v>
      </c>
      <c r="AC30" t="s">
        <v>3942</v>
      </c>
      <c r="AD30" t="s">
        <v>118</v>
      </c>
      <c r="AF30" t="s">
        <v>4057</v>
      </c>
      <c r="AH30" t="s">
        <v>4080</v>
      </c>
      <c r="AJ30" t="s">
        <v>3943</v>
      </c>
      <c r="AL30" t="s">
        <v>4070</v>
      </c>
      <c r="AM30" t="s">
        <v>2230</v>
      </c>
      <c r="AO30">
        <v>2181</v>
      </c>
      <c r="AQ30">
        <v>2</v>
      </c>
      <c r="AS30" t="s">
        <v>4114</v>
      </c>
      <c r="AU30" t="s">
        <v>4129</v>
      </c>
      <c r="AW30">
        <v>2</v>
      </c>
      <c r="AY30" t="s">
        <v>4140</v>
      </c>
      <c r="BB30" t="s">
        <v>4154</v>
      </c>
      <c r="BF30" t="s">
        <v>4281</v>
      </c>
      <c r="BM30" t="s">
        <v>4627</v>
      </c>
    </row>
    <row r="31" spans="1:65">
      <c r="A31" s="1">
        <f>HYPERLINK("https://lsnyc.legalserver.org/matter/dynamic-profile/view/1880271","18-1880271")</f>
        <v>0</v>
      </c>
      <c r="B31" t="s">
        <v>69</v>
      </c>
      <c r="C31" t="s">
        <v>93</v>
      </c>
      <c r="D31" t="s">
        <v>119</v>
      </c>
      <c r="F31" t="s">
        <v>506</v>
      </c>
      <c r="G31" t="s">
        <v>1041</v>
      </c>
      <c r="H31" t="s">
        <v>1580</v>
      </c>
      <c r="I31" t="s">
        <v>1937</v>
      </c>
      <c r="J31" t="s">
        <v>2205</v>
      </c>
      <c r="K31">
        <v>11213</v>
      </c>
      <c r="N31" t="s">
        <v>2233</v>
      </c>
      <c r="O31" t="s">
        <v>2271</v>
      </c>
      <c r="P31" t="s">
        <v>2930</v>
      </c>
      <c r="R31">
        <v>3</v>
      </c>
      <c r="S31">
        <v>0</v>
      </c>
      <c r="T31">
        <v>393.85</v>
      </c>
      <c r="W31">
        <v>81843</v>
      </c>
      <c r="X31" t="s">
        <v>3468</v>
      </c>
      <c r="Y31">
        <v>0.1</v>
      </c>
      <c r="Z31" t="s">
        <v>411</v>
      </c>
      <c r="AA31" t="s">
        <v>90</v>
      </c>
      <c r="AC31" t="s">
        <v>3942</v>
      </c>
      <c r="AD31" t="s">
        <v>3949</v>
      </c>
      <c r="AF31" t="s">
        <v>4058</v>
      </c>
      <c r="AH31" t="s">
        <v>4076</v>
      </c>
      <c r="AJ31" t="s">
        <v>3942</v>
      </c>
      <c r="AL31" t="s">
        <v>4087</v>
      </c>
      <c r="AM31" t="s">
        <v>2230</v>
      </c>
      <c r="AO31">
        <v>1205</v>
      </c>
      <c r="AQ31">
        <v>34</v>
      </c>
      <c r="AS31" t="s">
        <v>4113</v>
      </c>
      <c r="AU31" t="s">
        <v>4128</v>
      </c>
      <c r="AW31">
        <v>34</v>
      </c>
      <c r="AY31" t="s">
        <v>4140</v>
      </c>
      <c r="BA31" t="s">
        <v>4149</v>
      </c>
      <c r="BB31" t="s">
        <v>4154</v>
      </c>
      <c r="BE31" t="s">
        <v>4128</v>
      </c>
      <c r="BG31" t="s">
        <v>4301</v>
      </c>
      <c r="BM31" t="s">
        <v>4627</v>
      </c>
    </row>
    <row r="32" spans="1:65">
      <c r="A32" s="1">
        <f>HYPERLINK("https://lsnyc.legalserver.org/matter/dynamic-profile/view/0783028","15-0783028")</f>
        <v>0</v>
      </c>
      <c r="B32" t="s">
        <v>69</v>
      </c>
      <c r="C32" t="s">
        <v>93</v>
      </c>
      <c r="D32" t="s">
        <v>120</v>
      </c>
      <c r="F32" t="s">
        <v>507</v>
      </c>
      <c r="G32" t="s">
        <v>1042</v>
      </c>
      <c r="H32" t="s">
        <v>1581</v>
      </c>
      <c r="I32" t="s">
        <v>1938</v>
      </c>
      <c r="J32" t="s">
        <v>2205</v>
      </c>
      <c r="K32">
        <v>11215</v>
      </c>
      <c r="M32" t="s">
        <v>2229</v>
      </c>
      <c r="N32" t="s">
        <v>2233</v>
      </c>
      <c r="O32" t="s">
        <v>2272</v>
      </c>
      <c r="P32" t="s">
        <v>2930</v>
      </c>
      <c r="R32">
        <v>2</v>
      </c>
      <c r="S32">
        <v>0</v>
      </c>
      <c r="T32">
        <v>128.06</v>
      </c>
      <c r="W32">
        <v>20400</v>
      </c>
      <c r="Y32">
        <v>229.85</v>
      </c>
      <c r="Z32" t="s">
        <v>134</v>
      </c>
      <c r="AA32" t="s">
        <v>82</v>
      </c>
      <c r="AB32" t="s">
        <v>3940</v>
      </c>
      <c r="AC32" t="s">
        <v>3943</v>
      </c>
      <c r="AF32" t="s">
        <v>4058</v>
      </c>
      <c r="AH32" t="s">
        <v>4076</v>
      </c>
      <c r="AI32" t="s">
        <v>4082</v>
      </c>
      <c r="AK32" t="s">
        <v>4084</v>
      </c>
      <c r="AM32" t="s">
        <v>2230</v>
      </c>
      <c r="AO32">
        <v>822</v>
      </c>
      <c r="AQ32">
        <v>8</v>
      </c>
      <c r="AS32" t="s">
        <v>4113</v>
      </c>
      <c r="AT32" t="s">
        <v>4127</v>
      </c>
      <c r="AW32">
        <v>25</v>
      </c>
      <c r="AY32" t="s">
        <v>4141</v>
      </c>
      <c r="AZ32" t="s">
        <v>4148</v>
      </c>
      <c r="BB32" t="s">
        <v>4154</v>
      </c>
      <c r="BG32" t="s">
        <v>4302</v>
      </c>
      <c r="BM32" t="s">
        <v>4627</v>
      </c>
    </row>
    <row r="33" spans="1:65">
      <c r="A33" s="1">
        <f>HYPERLINK("https://lsnyc.legalserver.org/matter/dynamic-profile/view/1876516","18-1876516")</f>
        <v>0</v>
      </c>
      <c r="B33" t="s">
        <v>69</v>
      </c>
      <c r="C33" t="s">
        <v>93</v>
      </c>
      <c r="D33" t="s">
        <v>121</v>
      </c>
      <c r="F33" t="s">
        <v>508</v>
      </c>
      <c r="G33" t="s">
        <v>1043</v>
      </c>
      <c r="H33" t="s">
        <v>1582</v>
      </c>
      <c r="I33">
        <v>27</v>
      </c>
      <c r="J33" t="s">
        <v>2205</v>
      </c>
      <c r="K33">
        <v>11213</v>
      </c>
      <c r="M33" t="s">
        <v>2230</v>
      </c>
      <c r="N33" t="s">
        <v>2233</v>
      </c>
      <c r="O33" t="s">
        <v>2273</v>
      </c>
      <c r="Q33" t="s">
        <v>2958</v>
      </c>
      <c r="R33">
        <v>2</v>
      </c>
      <c r="S33">
        <v>0</v>
      </c>
      <c r="T33">
        <v>369.38</v>
      </c>
      <c r="W33">
        <v>60800</v>
      </c>
      <c r="Y33">
        <v>3.55</v>
      </c>
      <c r="Z33" t="s">
        <v>423</v>
      </c>
      <c r="AA33" t="s">
        <v>90</v>
      </c>
      <c r="AC33" t="s">
        <v>3942</v>
      </c>
      <c r="AD33" t="s">
        <v>101</v>
      </c>
      <c r="AF33" t="s">
        <v>4058</v>
      </c>
      <c r="AH33" t="s">
        <v>4076</v>
      </c>
      <c r="AJ33" t="s">
        <v>3942</v>
      </c>
      <c r="AL33" t="s">
        <v>4087</v>
      </c>
      <c r="AM33" t="s">
        <v>2230</v>
      </c>
      <c r="AO33">
        <v>861.2</v>
      </c>
      <c r="AQ33">
        <v>31</v>
      </c>
      <c r="AS33" t="s">
        <v>4113</v>
      </c>
      <c r="AU33" t="s">
        <v>4128</v>
      </c>
      <c r="AW33">
        <v>34</v>
      </c>
      <c r="AY33" t="s">
        <v>4140</v>
      </c>
      <c r="BB33" t="s">
        <v>4154</v>
      </c>
      <c r="BG33" t="s">
        <v>4301</v>
      </c>
      <c r="BM33" t="s">
        <v>4627</v>
      </c>
    </row>
    <row r="34" spans="1:65">
      <c r="A34" s="1">
        <f>HYPERLINK("https://lsnyc.legalserver.org/matter/dynamic-profile/view/1915646","19-1915646")</f>
        <v>0</v>
      </c>
      <c r="B34" t="s">
        <v>69</v>
      </c>
      <c r="C34" t="s">
        <v>93</v>
      </c>
      <c r="D34" t="s">
        <v>122</v>
      </c>
      <c r="F34" t="s">
        <v>509</v>
      </c>
      <c r="G34" t="s">
        <v>478</v>
      </c>
      <c r="H34" t="s">
        <v>1583</v>
      </c>
      <c r="J34" t="s">
        <v>2205</v>
      </c>
      <c r="K34">
        <v>11212</v>
      </c>
      <c r="N34" t="s">
        <v>2233</v>
      </c>
      <c r="O34" t="s">
        <v>2274</v>
      </c>
      <c r="Q34" t="s">
        <v>2959</v>
      </c>
      <c r="R34">
        <v>2</v>
      </c>
      <c r="S34">
        <v>0</v>
      </c>
      <c r="T34">
        <v>157.84</v>
      </c>
      <c r="W34">
        <v>26690</v>
      </c>
      <c r="Y34">
        <v>0</v>
      </c>
      <c r="AA34" t="s">
        <v>70</v>
      </c>
      <c r="AC34" t="s">
        <v>3942</v>
      </c>
      <c r="AD34" t="s">
        <v>388</v>
      </c>
      <c r="AF34" t="s">
        <v>4059</v>
      </c>
      <c r="AH34" t="s">
        <v>3510</v>
      </c>
      <c r="AJ34" t="s">
        <v>3943</v>
      </c>
      <c r="AL34" t="s">
        <v>4070</v>
      </c>
      <c r="AM34" t="s">
        <v>2230</v>
      </c>
      <c r="AO34">
        <v>911.8</v>
      </c>
      <c r="AQ34">
        <v>71</v>
      </c>
      <c r="AS34" t="s">
        <v>4113</v>
      </c>
      <c r="AU34" t="s">
        <v>4128</v>
      </c>
      <c r="AW34">
        <v>30</v>
      </c>
      <c r="AY34" t="s">
        <v>4140</v>
      </c>
      <c r="BC34" t="s">
        <v>4155</v>
      </c>
      <c r="BE34" t="s">
        <v>4128</v>
      </c>
      <c r="BF34" t="s">
        <v>4281</v>
      </c>
      <c r="BG34" t="s">
        <v>4054</v>
      </c>
      <c r="BM34" t="s">
        <v>4627</v>
      </c>
    </row>
    <row r="35" spans="1:65">
      <c r="A35" s="1">
        <f>HYPERLINK("https://lsnyc.legalserver.org/matter/dynamic-profile/view/1915616","19-1915616")</f>
        <v>0</v>
      </c>
      <c r="B35" t="s">
        <v>69</v>
      </c>
      <c r="C35" t="s">
        <v>93</v>
      </c>
      <c r="D35" t="s">
        <v>122</v>
      </c>
      <c r="F35" t="s">
        <v>510</v>
      </c>
      <c r="G35" t="s">
        <v>1039</v>
      </c>
      <c r="H35" t="s">
        <v>1584</v>
      </c>
      <c r="I35" t="s">
        <v>1931</v>
      </c>
      <c r="J35" t="s">
        <v>2205</v>
      </c>
      <c r="K35">
        <v>11212</v>
      </c>
      <c r="N35" t="s">
        <v>2233</v>
      </c>
      <c r="O35" t="s">
        <v>2275</v>
      </c>
      <c r="P35" t="s">
        <v>2930</v>
      </c>
      <c r="R35">
        <v>2</v>
      </c>
      <c r="S35">
        <v>0</v>
      </c>
      <c r="T35">
        <v>118.27</v>
      </c>
      <c r="W35">
        <v>20000</v>
      </c>
      <c r="Y35">
        <v>0</v>
      </c>
      <c r="AA35" t="s">
        <v>70</v>
      </c>
      <c r="AC35" t="s">
        <v>3942</v>
      </c>
      <c r="AD35" t="s">
        <v>244</v>
      </c>
      <c r="AF35" t="s">
        <v>4059</v>
      </c>
      <c r="AH35" t="s">
        <v>3510</v>
      </c>
      <c r="AJ35" t="s">
        <v>3943</v>
      </c>
      <c r="AL35" t="s">
        <v>4070</v>
      </c>
      <c r="AM35" t="s">
        <v>2230</v>
      </c>
      <c r="AO35">
        <v>1016</v>
      </c>
      <c r="AQ35">
        <v>71</v>
      </c>
      <c r="AS35" t="s">
        <v>4113</v>
      </c>
      <c r="AU35" t="s">
        <v>4128</v>
      </c>
      <c r="AW35">
        <v>20</v>
      </c>
      <c r="AY35" t="s">
        <v>4140</v>
      </c>
      <c r="BC35" t="s">
        <v>4155</v>
      </c>
      <c r="BE35" t="s">
        <v>4128</v>
      </c>
      <c r="BF35" t="s">
        <v>4281</v>
      </c>
      <c r="BG35" t="s">
        <v>4054</v>
      </c>
      <c r="BM35" t="s">
        <v>4627</v>
      </c>
    </row>
    <row r="36" spans="1:65">
      <c r="A36" s="1">
        <f>HYPERLINK("https://lsnyc.legalserver.org/matter/dynamic-profile/view/1910889","19-1910889")</f>
        <v>0</v>
      </c>
      <c r="B36" t="s">
        <v>69</v>
      </c>
      <c r="C36" t="s">
        <v>93</v>
      </c>
      <c r="D36" t="s">
        <v>123</v>
      </c>
      <c r="F36" t="s">
        <v>509</v>
      </c>
      <c r="G36" t="s">
        <v>478</v>
      </c>
      <c r="H36" t="s">
        <v>1583</v>
      </c>
      <c r="J36" t="s">
        <v>2205</v>
      </c>
      <c r="K36">
        <v>11212</v>
      </c>
      <c r="N36" t="s">
        <v>2233</v>
      </c>
      <c r="O36" t="s">
        <v>2274</v>
      </c>
      <c r="Q36" t="s">
        <v>2959</v>
      </c>
      <c r="R36">
        <v>2</v>
      </c>
      <c r="S36">
        <v>0</v>
      </c>
      <c r="T36">
        <v>157.89</v>
      </c>
      <c r="W36">
        <v>26700</v>
      </c>
      <c r="Y36">
        <v>8</v>
      </c>
      <c r="Z36" t="s">
        <v>298</v>
      </c>
      <c r="AA36" t="s">
        <v>90</v>
      </c>
      <c r="AC36" t="s">
        <v>3942</v>
      </c>
      <c r="AD36" t="s">
        <v>388</v>
      </c>
      <c r="AF36" t="s">
        <v>4060</v>
      </c>
      <c r="AH36" t="s">
        <v>3510</v>
      </c>
      <c r="AJ36" t="s">
        <v>3943</v>
      </c>
      <c r="AL36" t="s">
        <v>4070</v>
      </c>
      <c r="AM36" t="s">
        <v>2230</v>
      </c>
      <c r="AO36">
        <v>911.8</v>
      </c>
      <c r="AQ36">
        <v>71</v>
      </c>
      <c r="AS36" t="s">
        <v>4113</v>
      </c>
      <c r="AU36" t="s">
        <v>4128</v>
      </c>
      <c r="AW36">
        <v>30</v>
      </c>
      <c r="AY36" t="s">
        <v>4140</v>
      </c>
      <c r="BA36" t="s">
        <v>4149</v>
      </c>
      <c r="BC36" t="s">
        <v>4155</v>
      </c>
      <c r="BE36" t="s">
        <v>4159</v>
      </c>
      <c r="BF36" t="s">
        <v>4281</v>
      </c>
      <c r="BG36" t="s">
        <v>4303</v>
      </c>
      <c r="BM36" t="s">
        <v>4627</v>
      </c>
    </row>
    <row r="37" spans="1:65">
      <c r="A37" s="1">
        <f>HYPERLINK("https://lsnyc.legalserver.org/matter/dynamic-profile/view/1904941","19-1904941")</f>
        <v>0</v>
      </c>
      <c r="B37" t="s">
        <v>69</v>
      </c>
      <c r="C37" t="s">
        <v>93</v>
      </c>
      <c r="D37" t="s">
        <v>124</v>
      </c>
      <c r="F37" t="s">
        <v>511</v>
      </c>
      <c r="G37" t="s">
        <v>1044</v>
      </c>
      <c r="H37" t="s">
        <v>1563</v>
      </c>
      <c r="I37" t="s">
        <v>1939</v>
      </c>
      <c r="J37" t="s">
        <v>2205</v>
      </c>
      <c r="K37">
        <v>11221</v>
      </c>
      <c r="N37" t="s">
        <v>2234</v>
      </c>
      <c r="O37" t="s">
        <v>2276</v>
      </c>
      <c r="Q37" t="s">
        <v>2960</v>
      </c>
      <c r="R37">
        <v>1</v>
      </c>
      <c r="S37">
        <v>1</v>
      </c>
      <c r="T37">
        <v>266.11</v>
      </c>
      <c r="W37">
        <v>45000</v>
      </c>
      <c r="Y37">
        <v>7.5</v>
      </c>
      <c r="Z37" t="s">
        <v>98</v>
      </c>
      <c r="AA37" t="s">
        <v>70</v>
      </c>
      <c r="AC37" t="s">
        <v>3942</v>
      </c>
      <c r="AD37" t="s">
        <v>170</v>
      </c>
      <c r="AF37" t="s">
        <v>4051</v>
      </c>
      <c r="AH37" t="s">
        <v>4077</v>
      </c>
      <c r="AJ37" t="s">
        <v>3942</v>
      </c>
      <c r="AL37" t="s">
        <v>4070</v>
      </c>
      <c r="AM37" t="s">
        <v>2230</v>
      </c>
      <c r="AO37">
        <v>863.91</v>
      </c>
      <c r="AQ37">
        <v>16</v>
      </c>
      <c r="AS37" t="s">
        <v>4113</v>
      </c>
      <c r="AU37" t="s">
        <v>4128</v>
      </c>
      <c r="AW37">
        <v>25</v>
      </c>
      <c r="AY37" t="s">
        <v>4140</v>
      </c>
      <c r="BA37" t="s">
        <v>4149</v>
      </c>
      <c r="BC37" t="s">
        <v>4155</v>
      </c>
      <c r="BF37" t="s">
        <v>4281</v>
      </c>
      <c r="BG37" t="s">
        <v>4128</v>
      </c>
      <c r="BM37" t="s">
        <v>4627</v>
      </c>
    </row>
    <row r="38" spans="1:65">
      <c r="A38" s="1">
        <f>HYPERLINK("https://lsnyc.legalserver.org/matter/dynamic-profile/view/1913476","19-1913476")</f>
        <v>0</v>
      </c>
      <c r="B38" t="s">
        <v>69</v>
      </c>
      <c r="C38" t="s">
        <v>93</v>
      </c>
      <c r="D38" t="s">
        <v>125</v>
      </c>
      <c r="F38" t="s">
        <v>512</v>
      </c>
      <c r="G38" t="s">
        <v>1045</v>
      </c>
      <c r="H38" t="s">
        <v>1582</v>
      </c>
      <c r="I38">
        <v>42</v>
      </c>
      <c r="J38" t="s">
        <v>2205</v>
      </c>
      <c r="K38">
        <v>11213</v>
      </c>
      <c r="N38" t="s">
        <v>2233</v>
      </c>
      <c r="O38" t="s">
        <v>2277</v>
      </c>
      <c r="Q38" t="s">
        <v>2961</v>
      </c>
      <c r="R38">
        <v>3</v>
      </c>
      <c r="S38">
        <v>1</v>
      </c>
      <c r="T38">
        <v>100.97</v>
      </c>
      <c r="W38">
        <v>26000</v>
      </c>
      <c r="Y38">
        <v>1.5</v>
      </c>
      <c r="Z38" t="s">
        <v>125</v>
      </c>
      <c r="AA38" t="s">
        <v>90</v>
      </c>
      <c r="AC38" t="s">
        <v>3942</v>
      </c>
      <c r="AD38" t="s">
        <v>125</v>
      </c>
      <c r="AF38" t="s">
        <v>4054</v>
      </c>
      <c r="AH38" t="s">
        <v>3510</v>
      </c>
      <c r="AJ38" t="s">
        <v>3943</v>
      </c>
      <c r="AL38" t="s">
        <v>4087</v>
      </c>
      <c r="AM38" t="s">
        <v>2230</v>
      </c>
      <c r="AO38">
        <v>950</v>
      </c>
      <c r="AQ38">
        <v>31</v>
      </c>
      <c r="AS38" t="s">
        <v>4113</v>
      </c>
      <c r="AU38" t="s">
        <v>4128</v>
      </c>
      <c r="AW38">
        <v>18</v>
      </c>
      <c r="AY38" t="s">
        <v>4140</v>
      </c>
      <c r="BA38" t="s">
        <v>4149</v>
      </c>
      <c r="BC38" t="s">
        <v>4155</v>
      </c>
      <c r="BE38" t="s">
        <v>4128</v>
      </c>
      <c r="BF38" t="s">
        <v>4281</v>
      </c>
      <c r="BG38" t="s">
        <v>4128</v>
      </c>
      <c r="BM38" t="s">
        <v>4627</v>
      </c>
    </row>
    <row r="39" spans="1:65">
      <c r="A39" s="1">
        <f>HYPERLINK("https://lsnyc.legalserver.org/matter/dynamic-profile/view/1908106","19-1908106")</f>
        <v>0</v>
      </c>
      <c r="B39" t="s">
        <v>69</v>
      </c>
      <c r="C39" t="s">
        <v>93</v>
      </c>
      <c r="D39" t="s">
        <v>105</v>
      </c>
      <c r="F39" t="s">
        <v>513</v>
      </c>
      <c r="G39" t="s">
        <v>1046</v>
      </c>
      <c r="H39" t="s">
        <v>1585</v>
      </c>
      <c r="I39" t="s">
        <v>1940</v>
      </c>
      <c r="J39" t="s">
        <v>2205</v>
      </c>
      <c r="K39">
        <v>11213</v>
      </c>
      <c r="N39" t="s">
        <v>2233</v>
      </c>
      <c r="O39" t="s">
        <v>2278</v>
      </c>
      <c r="P39" t="s">
        <v>2930</v>
      </c>
      <c r="R39">
        <v>3</v>
      </c>
      <c r="S39">
        <v>1</v>
      </c>
      <c r="T39">
        <v>24.23</v>
      </c>
      <c r="W39">
        <v>6240</v>
      </c>
      <c r="Y39">
        <v>15.75</v>
      </c>
      <c r="Z39" t="s">
        <v>358</v>
      </c>
      <c r="AA39" t="s">
        <v>92</v>
      </c>
      <c r="AC39" t="s">
        <v>3942</v>
      </c>
      <c r="AD39" t="s">
        <v>105</v>
      </c>
      <c r="AF39" t="s">
        <v>4059</v>
      </c>
      <c r="AH39" t="s">
        <v>4078</v>
      </c>
      <c r="AJ39" t="s">
        <v>3943</v>
      </c>
      <c r="AL39" t="s">
        <v>4095</v>
      </c>
      <c r="AM39" t="s">
        <v>2230</v>
      </c>
      <c r="AN39" t="s">
        <v>4107</v>
      </c>
      <c r="AO39">
        <v>0</v>
      </c>
      <c r="AQ39">
        <v>35</v>
      </c>
      <c r="AS39" t="s">
        <v>4113</v>
      </c>
      <c r="AT39" t="s">
        <v>4127</v>
      </c>
      <c r="AV39" t="s">
        <v>4137</v>
      </c>
      <c r="AW39">
        <v>0</v>
      </c>
      <c r="AY39" t="s">
        <v>4140</v>
      </c>
      <c r="BA39" t="s">
        <v>4149</v>
      </c>
      <c r="BC39" t="s">
        <v>4155</v>
      </c>
      <c r="BG39" t="s">
        <v>4304</v>
      </c>
      <c r="BM39" t="s">
        <v>4627</v>
      </c>
    </row>
    <row r="40" spans="1:65">
      <c r="A40" s="1">
        <f>HYPERLINK("https://lsnyc.legalserver.org/matter/dynamic-profile/view/1876008","18-1876008")</f>
        <v>0</v>
      </c>
      <c r="B40" t="s">
        <v>69</v>
      </c>
      <c r="C40" t="s">
        <v>93</v>
      </c>
      <c r="D40" t="s">
        <v>126</v>
      </c>
      <c r="F40" t="s">
        <v>487</v>
      </c>
      <c r="G40" t="s">
        <v>1022</v>
      </c>
      <c r="H40" t="s">
        <v>1558</v>
      </c>
      <c r="I40" t="s">
        <v>1925</v>
      </c>
      <c r="J40" t="s">
        <v>2205</v>
      </c>
      <c r="K40">
        <v>11221</v>
      </c>
      <c r="N40" t="s">
        <v>2233</v>
      </c>
      <c r="O40" t="s">
        <v>2252</v>
      </c>
      <c r="Q40" t="s">
        <v>2940</v>
      </c>
      <c r="R40">
        <v>1</v>
      </c>
      <c r="S40">
        <v>0</v>
      </c>
      <c r="T40">
        <v>171.33</v>
      </c>
      <c r="W40">
        <v>20800</v>
      </c>
      <c r="Y40">
        <v>25.6</v>
      </c>
      <c r="Z40" t="s">
        <v>98</v>
      </c>
      <c r="AA40" t="s">
        <v>90</v>
      </c>
      <c r="AC40" t="s">
        <v>3942</v>
      </c>
      <c r="AD40" t="s">
        <v>141</v>
      </c>
      <c r="AF40" t="s">
        <v>4058</v>
      </c>
      <c r="AH40" t="s">
        <v>4076</v>
      </c>
      <c r="AJ40" t="s">
        <v>3942</v>
      </c>
      <c r="AL40" t="s">
        <v>4089</v>
      </c>
      <c r="AM40" t="s">
        <v>2230</v>
      </c>
      <c r="AO40">
        <v>763</v>
      </c>
      <c r="AQ40">
        <v>12</v>
      </c>
      <c r="AS40" t="s">
        <v>4113</v>
      </c>
      <c r="AU40" t="s">
        <v>4128</v>
      </c>
      <c r="AW40">
        <v>10</v>
      </c>
      <c r="AY40" t="s">
        <v>4140</v>
      </c>
      <c r="BB40" t="s">
        <v>4154</v>
      </c>
      <c r="BG40" t="s">
        <v>4305</v>
      </c>
      <c r="BM40" t="s">
        <v>4627</v>
      </c>
    </row>
    <row r="41" spans="1:65">
      <c r="A41" s="1">
        <f>HYPERLINK("https://lsnyc.legalserver.org/matter/dynamic-profile/view/1903926","19-1903926")</f>
        <v>0</v>
      </c>
      <c r="B41" t="s">
        <v>69</v>
      </c>
      <c r="C41" t="s">
        <v>93</v>
      </c>
      <c r="D41" t="s">
        <v>127</v>
      </c>
      <c r="F41" t="s">
        <v>514</v>
      </c>
      <c r="G41" t="s">
        <v>1047</v>
      </c>
      <c r="H41" t="s">
        <v>1586</v>
      </c>
      <c r="I41" t="s">
        <v>1921</v>
      </c>
      <c r="J41" t="s">
        <v>2205</v>
      </c>
      <c r="K41">
        <v>11221</v>
      </c>
      <c r="N41" t="s">
        <v>2234</v>
      </c>
      <c r="O41" t="s">
        <v>2279</v>
      </c>
      <c r="Q41" t="s">
        <v>2962</v>
      </c>
      <c r="R41">
        <v>3</v>
      </c>
      <c r="S41">
        <v>2</v>
      </c>
      <c r="T41">
        <v>229.11</v>
      </c>
      <c r="W41">
        <v>69122</v>
      </c>
      <c r="Y41">
        <v>26</v>
      </c>
      <c r="Z41" t="s">
        <v>98</v>
      </c>
      <c r="AA41" t="s">
        <v>70</v>
      </c>
      <c r="AC41" t="s">
        <v>3942</v>
      </c>
      <c r="AD41" t="s">
        <v>3950</v>
      </c>
      <c r="AF41" t="s">
        <v>4051</v>
      </c>
      <c r="AH41" t="s">
        <v>4077</v>
      </c>
      <c r="AJ41" t="s">
        <v>3942</v>
      </c>
      <c r="AL41" t="s">
        <v>4070</v>
      </c>
      <c r="AM41" t="s">
        <v>2230</v>
      </c>
      <c r="AO41">
        <v>757</v>
      </c>
      <c r="AQ41">
        <v>16</v>
      </c>
      <c r="AS41" t="s">
        <v>4113</v>
      </c>
      <c r="AT41" t="s">
        <v>4127</v>
      </c>
      <c r="AW41">
        <v>27</v>
      </c>
      <c r="AY41" t="s">
        <v>4140</v>
      </c>
      <c r="BA41" t="s">
        <v>4149</v>
      </c>
      <c r="BC41" t="s">
        <v>4155</v>
      </c>
      <c r="BF41" t="s">
        <v>4281</v>
      </c>
      <c r="BG41" t="s">
        <v>4128</v>
      </c>
      <c r="BM41" t="s">
        <v>4627</v>
      </c>
    </row>
    <row r="42" spans="1:65">
      <c r="A42" s="1">
        <f>HYPERLINK("https://lsnyc.legalserver.org/matter/dynamic-profile/view/1903935","19-1903935")</f>
        <v>0</v>
      </c>
      <c r="B42" t="s">
        <v>69</v>
      </c>
      <c r="C42" t="s">
        <v>93</v>
      </c>
      <c r="D42" t="s">
        <v>127</v>
      </c>
      <c r="F42" t="s">
        <v>514</v>
      </c>
      <c r="G42" t="s">
        <v>1047</v>
      </c>
      <c r="H42" t="s">
        <v>1586</v>
      </c>
      <c r="I42" t="s">
        <v>1921</v>
      </c>
      <c r="J42" t="s">
        <v>2205</v>
      </c>
      <c r="K42">
        <v>11221</v>
      </c>
      <c r="N42" t="s">
        <v>2236</v>
      </c>
      <c r="O42" t="s">
        <v>2279</v>
      </c>
      <c r="Q42" t="s">
        <v>2962</v>
      </c>
      <c r="R42">
        <v>3</v>
      </c>
      <c r="S42">
        <v>2</v>
      </c>
      <c r="T42">
        <v>229.11</v>
      </c>
      <c r="W42">
        <v>69122</v>
      </c>
      <c r="X42" t="s">
        <v>3469</v>
      </c>
      <c r="Y42">
        <v>2</v>
      </c>
      <c r="Z42" t="s">
        <v>151</v>
      </c>
      <c r="AA42" t="s">
        <v>70</v>
      </c>
      <c r="AC42" t="s">
        <v>3942</v>
      </c>
      <c r="AD42" t="s">
        <v>168</v>
      </c>
      <c r="AF42" t="s">
        <v>4061</v>
      </c>
      <c r="AH42" t="s">
        <v>3510</v>
      </c>
      <c r="AJ42" t="s">
        <v>3942</v>
      </c>
      <c r="AL42" t="s">
        <v>4070</v>
      </c>
      <c r="AM42" t="s">
        <v>2230</v>
      </c>
      <c r="AO42">
        <v>757</v>
      </c>
      <c r="AQ42">
        <v>16</v>
      </c>
      <c r="AS42" t="s">
        <v>4113</v>
      </c>
      <c r="AT42" t="s">
        <v>4127</v>
      </c>
      <c r="AW42">
        <v>27</v>
      </c>
      <c r="AY42" t="s">
        <v>4140</v>
      </c>
      <c r="BA42" t="s">
        <v>4149</v>
      </c>
      <c r="BC42" t="s">
        <v>4155</v>
      </c>
      <c r="BF42" t="s">
        <v>4281</v>
      </c>
      <c r="BG42" t="s">
        <v>4128</v>
      </c>
      <c r="BM42" t="s">
        <v>4627</v>
      </c>
    </row>
    <row r="43" spans="1:65">
      <c r="A43" s="1">
        <f>HYPERLINK("https://lsnyc.legalserver.org/matter/dynamic-profile/view/0800674","16-0800674")</f>
        <v>0</v>
      </c>
      <c r="B43" t="s">
        <v>69</v>
      </c>
      <c r="C43" t="s">
        <v>93</v>
      </c>
      <c r="D43" t="s">
        <v>128</v>
      </c>
      <c r="F43" t="s">
        <v>515</v>
      </c>
      <c r="G43" t="s">
        <v>1048</v>
      </c>
      <c r="H43" t="s">
        <v>1587</v>
      </c>
      <c r="J43" t="s">
        <v>2205</v>
      </c>
      <c r="K43">
        <v>11212</v>
      </c>
      <c r="N43" t="s">
        <v>2233</v>
      </c>
      <c r="O43" t="s">
        <v>2280</v>
      </c>
      <c r="Q43" t="s">
        <v>2963</v>
      </c>
      <c r="R43">
        <v>2</v>
      </c>
      <c r="S43">
        <v>2</v>
      </c>
      <c r="T43">
        <v>58.91</v>
      </c>
      <c r="W43">
        <v>14316</v>
      </c>
      <c r="Y43">
        <v>27.8</v>
      </c>
      <c r="Z43" t="s">
        <v>134</v>
      </c>
      <c r="AA43" t="s">
        <v>3896</v>
      </c>
      <c r="AC43" t="s">
        <v>3942</v>
      </c>
      <c r="AD43" t="s">
        <v>128</v>
      </c>
      <c r="AF43" t="s">
        <v>4050</v>
      </c>
      <c r="AH43" t="s">
        <v>4076</v>
      </c>
      <c r="AJ43" t="s">
        <v>3942</v>
      </c>
      <c r="AL43" t="s">
        <v>4096</v>
      </c>
      <c r="AM43" t="s">
        <v>2230</v>
      </c>
      <c r="AN43" t="s">
        <v>4107</v>
      </c>
      <c r="AO43">
        <v>0</v>
      </c>
      <c r="AQ43">
        <v>12</v>
      </c>
      <c r="AR43" t="s">
        <v>4112</v>
      </c>
      <c r="AT43" t="s">
        <v>4127</v>
      </c>
      <c r="AW43">
        <v>2</v>
      </c>
      <c r="AY43" t="s">
        <v>4140</v>
      </c>
      <c r="BB43" t="s">
        <v>4154</v>
      </c>
      <c r="BG43" t="s">
        <v>4306</v>
      </c>
      <c r="BM43" t="s">
        <v>4627</v>
      </c>
    </row>
    <row r="44" spans="1:65">
      <c r="A44" s="1">
        <f>HYPERLINK("https://lsnyc.legalserver.org/matter/dynamic-profile/view/1880272","18-1880272")</f>
        <v>0</v>
      </c>
      <c r="B44" t="s">
        <v>69</v>
      </c>
      <c r="C44" t="s">
        <v>93</v>
      </c>
      <c r="D44" t="s">
        <v>119</v>
      </c>
      <c r="F44" t="s">
        <v>516</v>
      </c>
      <c r="G44" t="s">
        <v>776</v>
      </c>
      <c r="H44" t="s">
        <v>1582</v>
      </c>
      <c r="I44">
        <v>7</v>
      </c>
      <c r="J44" t="s">
        <v>2205</v>
      </c>
      <c r="K44">
        <v>11213</v>
      </c>
      <c r="N44" t="s">
        <v>2233</v>
      </c>
      <c r="O44" t="s">
        <v>2281</v>
      </c>
      <c r="P44" t="s">
        <v>2930</v>
      </c>
      <c r="R44">
        <v>2</v>
      </c>
      <c r="S44">
        <v>0</v>
      </c>
      <c r="T44">
        <v>194.41</v>
      </c>
      <c r="W44">
        <v>32000</v>
      </c>
      <c r="Y44">
        <v>1.9</v>
      </c>
      <c r="Z44" t="s">
        <v>105</v>
      </c>
      <c r="AA44" t="s">
        <v>90</v>
      </c>
      <c r="AC44" t="s">
        <v>3942</v>
      </c>
      <c r="AD44" t="s">
        <v>3949</v>
      </c>
      <c r="AF44" t="s">
        <v>4058</v>
      </c>
      <c r="AH44" t="s">
        <v>4076</v>
      </c>
      <c r="AJ44" t="s">
        <v>3942</v>
      </c>
      <c r="AL44" t="s">
        <v>4087</v>
      </c>
      <c r="AM44" t="s">
        <v>2230</v>
      </c>
      <c r="AO44">
        <v>931.36</v>
      </c>
      <c r="AQ44">
        <v>31</v>
      </c>
      <c r="AS44" t="s">
        <v>4113</v>
      </c>
      <c r="AU44" t="s">
        <v>4128</v>
      </c>
      <c r="AW44">
        <v>35</v>
      </c>
      <c r="AY44" t="s">
        <v>4140</v>
      </c>
      <c r="BA44" t="s">
        <v>4149</v>
      </c>
      <c r="BB44" t="s">
        <v>4154</v>
      </c>
      <c r="BE44" t="s">
        <v>4128</v>
      </c>
      <c r="BG44" t="s">
        <v>4301</v>
      </c>
      <c r="BM44" t="s">
        <v>4627</v>
      </c>
    </row>
    <row r="45" spans="1:65">
      <c r="A45" s="1">
        <f>HYPERLINK("https://lsnyc.legalserver.org/matter/dynamic-profile/view/1904947","19-1904947")</f>
        <v>0</v>
      </c>
      <c r="B45" t="s">
        <v>69</v>
      </c>
      <c r="C45" t="s">
        <v>93</v>
      </c>
      <c r="D45" t="s">
        <v>124</v>
      </c>
      <c r="F45" t="s">
        <v>511</v>
      </c>
      <c r="G45" t="s">
        <v>1044</v>
      </c>
      <c r="H45" t="s">
        <v>1563</v>
      </c>
      <c r="I45" t="s">
        <v>1939</v>
      </c>
      <c r="J45" t="s">
        <v>2205</v>
      </c>
      <c r="K45">
        <v>11221</v>
      </c>
      <c r="N45" t="s">
        <v>2236</v>
      </c>
      <c r="O45" t="s">
        <v>2276</v>
      </c>
      <c r="Q45" t="s">
        <v>2960</v>
      </c>
      <c r="R45">
        <v>1</v>
      </c>
      <c r="S45">
        <v>1</v>
      </c>
      <c r="T45">
        <v>266.11</v>
      </c>
      <c r="W45">
        <v>45000</v>
      </c>
      <c r="X45" t="s">
        <v>3470</v>
      </c>
      <c r="Y45">
        <v>0</v>
      </c>
      <c r="AA45" t="s">
        <v>70</v>
      </c>
      <c r="AC45" t="s">
        <v>3942</v>
      </c>
      <c r="AD45" t="s">
        <v>168</v>
      </c>
      <c r="AF45" t="s">
        <v>4061</v>
      </c>
      <c r="AH45" t="s">
        <v>3510</v>
      </c>
      <c r="AJ45" t="s">
        <v>3942</v>
      </c>
      <c r="AL45" t="s">
        <v>4070</v>
      </c>
      <c r="AM45" t="s">
        <v>2230</v>
      </c>
      <c r="AO45">
        <v>863.91</v>
      </c>
      <c r="AQ45">
        <v>16</v>
      </c>
      <c r="AS45" t="s">
        <v>4113</v>
      </c>
      <c r="AU45" t="s">
        <v>4128</v>
      </c>
      <c r="AW45">
        <v>25</v>
      </c>
      <c r="AY45" t="s">
        <v>4140</v>
      </c>
      <c r="BA45" t="s">
        <v>4149</v>
      </c>
      <c r="BC45" t="s">
        <v>4155</v>
      </c>
      <c r="BF45" t="s">
        <v>4281</v>
      </c>
      <c r="BG45" t="s">
        <v>4128</v>
      </c>
      <c r="BM45" t="s">
        <v>4627</v>
      </c>
    </row>
    <row r="46" spans="1:65">
      <c r="A46" s="1">
        <f>HYPERLINK("https://lsnyc.legalserver.org/matter/dynamic-profile/view/1895335","19-1895335")</f>
        <v>0</v>
      </c>
      <c r="B46" t="s">
        <v>69</v>
      </c>
      <c r="C46" t="s">
        <v>93</v>
      </c>
      <c r="D46" t="s">
        <v>99</v>
      </c>
      <c r="F46" t="s">
        <v>517</v>
      </c>
      <c r="G46" t="s">
        <v>1049</v>
      </c>
      <c r="H46" t="s">
        <v>1558</v>
      </c>
      <c r="I46" t="s">
        <v>1939</v>
      </c>
      <c r="J46" t="s">
        <v>2205</v>
      </c>
      <c r="K46">
        <v>11221</v>
      </c>
      <c r="N46" t="s">
        <v>2234</v>
      </c>
      <c r="O46" t="s">
        <v>2282</v>
      </c>
      <c r="Q46" t="s">
        <v>2964</v>
      </c>
      <c r="R46">
        <v>1</v>
      </c>
      <c r="S46">
        <v>0</v>
      </c>
      <c r="T46">
        <v>72.86</v>
      </c>
      <c r="W46">
        <v>9100</v>
      </c>
      <c r="X46" t="s">
        <v>3471</v>
      </c>
      <c r="Y46">
        <v>14</v>
      </c>
      <c r="Z46" t="s">
        <v>98</v>
      </c>
      <c r="AA46" t="s">
        <v>90</v>
      </c>
      <c r="AC46" t="s">
        <v>3942</v>
      </c>
      <c r="AD46" t="s">
        <v>99</v>
      </c>
      <c r="AF46" t="s">
        <v>4051</v>
      </c>
      <c r="AH46" t="s">
        <v>4077</v>
      </c>
      <c r="AJ46" t="s">
        <v>3942</v>
      </c>
      <c r="AL46" t="s">
        <v>4087</v>
      </c>
      <c r="AM46" t="s">
        <v>2230</v>
      </c>
      <c r="AO46">
        <v>793</v>
      </c>
      <c r="AQ46">
        <v>12</v>
      </c>
      <c r="AS46" t="s">
        <v>4113</v>
      </c>
      <c r="AU46" t="s">
        <v>4128</v>
      </c>
      <c r="AW46">
        <v>15</v>
      </c>
      <c r="AY46" t="s">
        <v>4140</v>
      </c>
      <c r="BA46" t="s">
        <v>4152</v>
      </c>
      <c r="BC46" t="s">
        <v>4155</v>
      </c>
      <c r="BE46" t="s">
        <v>4128</v>
      </c>
      <c r="BF46" t="s">
        <v>4281</v>
      </c>
      <c r="BG46" t="s">
        <v>4307</v>
      </c>
      <c r="BM46" t="s">
        <v>4627</v>
      </c>
    </row>
    <row r="47" spans="1:65">
      <c r="A47" s="1">
        <f>HYPERLINK("https://lsnyc.legalserver.org/matter/dynamic-profile/view/1843874","17-1843874")</f>
        <v>0</v>
      </c>
      <c r="B47" t="s">
        <v>69</v>
      </c>
      <c r="C47" t="s">
        <v>93</v>
      </c>
      <c r="D47" t="s">
        <v>129</v>
      </c>
      <c r="F47" t="s">
        <v>518</v>
      </c>
      <c r="G47" t="s">
        <v>1050</v>
      </c>
      <c r="H47" t="s">
        <v>1588</v>
      </c>
      <c r="I47" t="s">
        <v>1924</v>
      </c>
      <c r="J47" t="s">
        <v>2205</v>
      </c>
      <c r="K47">
        <v>11233</v>
      </c>
      <c r="N47" t="s">
        <v>2233</v>
      </c>
      <c r="O47" t="s">
        <v>2283</v>
      </c>
      <c r="Q47" t="s">
        <v>2965</v>
      </c>
      <c r="R47">
        <v>1</v>
      </c>
      <c r="S47">
        <v>0</v>
      </c>
      <c r="T47">
        <v>194.03</v>
      </c>
      <c r="W47">
        <v>23400</v>
      </c>
      <c r="Y47">
        <v>121.75</v>
      </c>
      <c r="Z47" t="s">
        <v>134</v>
      </c>
      <c r="AA47" t="s">
        <v>90</v>
      </c>
      <c r="AC47" t="s">
        <v>3942</v>
      </c>
      <c r="AD47" t="s">
        <v>3951</v>
      </c>
      <c r="AF47" t="s">
        <v>4050</v>
      </c>
      <c r="AH47" t="s">
        <v>4076</v>
      </c>
      <c r="AJ47" t="s">
        <v>3943</v>
      </c>
      <c r="AL47" t="s">
        <v>4087</v>
      </c>
      <c r="AM47" t="s">
        <v>2230</v>
      </c>
      <c r="AO47">
        <v>569.42</v>
      </c>
      <c r="AQ47">
        <v>6</v>
      </c>
      <c r="AS47" t="s">
        <v>4113</v>
      </c>
      <c r="AU47" t="s">
        <v>4128</v>
      </c>
      <c r="AW47">
        <v>24</v>
      </c>
      <c r="AY47" t="s">
        <v>4140</v>
      </c>
      <c r="BA47" t="s">
        <v>4149</v>
      </c>
      <c r="BB47" t="s">
        <v>4154</v>
      </c>
      <c r="BE47" t="s">
        <v>4159</v>
      </c>
      <c r="BG47" t="s">
        <v>4308</v>
      </c>
      <c r="BM47" t="s">
        <v>4627</v>
      </c>
    </row>
    <row r="48" spans="1:65">
      <c r="A48" s="1">
        <f>HYPERLINK("https://lsnyc.legalserver.org/matter/dynamic-profile/view/0820310","16-0820310")</f>
        <v>0</v>
      </c>
      <c r="B48" t="s">
        <v>69</v>
      </c>
      <c r="C48" t="s">
        <v>93</v>
      </c>
      <c r="D48" t="s">
        <v>130</v>
      </c>
      <c r="F48" t="s">
        <v>519</v>
      </c>
      <c r="G48" t="s">
        <v>1051</v>
      </c>
      <c r="H48" t="s">
        <v>1589</v>
      </c>
      <c r="I48" t="s">
        <v>1926</v>
      </c>
      <c r="J48" t="s">
        <v>2205</v>
      </c>
      <c r="K48">
        <v>11212</v>
      </c>
      <c r="N48" t="s">
        <v>2233</v>
      </c>
      <c r="O48" t="s">
        <v>2284</v>
      </c>
      <c r="Q48" t="s">
        <v>2966</v>
      </c>
      <c r="R48">
        <v>1</v>
      </c>
      <c r="S48">
        <v>1</v>
      </c>
      <c r="T48">
        <v>0</v>
      </c>
      <c r="W48">
        <v>0</v>
      </c>
      <c r="Y48">
        <v>29.7</v>
      </c>
      <c r="Z48" t="s">
        <v>138</v>
      </c>
      <c r="AA48" t="s">
        <v>90</v>
      </c>
      <c r="AC48" t="s">
        <v>3942</v>
      </c>
      <c r="AD48" t="s">
        <v>130</v>
      </c>
      <c r="AF48" t="s">
        <v>4062</v>
      </c>
      <c r="AH48" t="s">
        <v>4076</v>
      </c>
      <c r="AI48" t="s">
        <v>4082</v>
      </c>
      <c r="AL48" t="s">
        <v>4096</v>
      </c>
      <c r="AM48" t="s">
        <v>2230</v>
      </c>
      <c r="AN48" t="s">
        <v>4107</v>
      </c>
      <c r="AO48">
        <v>0</v>
      </c>
      <c r="AQ48">
        <v>21</v>
      </c>
      <c r="AS48" t="s">
        <v>4113</v>
      </c>
      <c r="AT48" t="s">
        <v>4127</v>
      </c>
      <c r="AW48">
        <v>1</v>
      </c>
      <c r="AY48" t="s">
        <v>4140</v>
      </c>
      <c r="BB48" t="s">
        <v>4154</v>
      </c>
      <c r="BF48" t="s">
        <v>4281</v>
      </c>
      <c r="BG48" t="s">
        <v>4309</v>
      </c>
      <c r="BM48" t="s">
        <v>4627</v>
      </c>
    </row>
    <row r="49" spans="1:65">
      <c r="A49" s="1">
        <f>HYPERLINK("https://lsnyc.legalserver.org/matter/dynamic-profile/view/1835394","17-1835394")</f>
        <v>0</v>
      </c>
      <c r="B49" t="s">
        <v>69</v>
      </c>
      <c r="C49" t="s">
        <v>93</v>
      </c>
      <c r="D49" t="s">
        <v>131</v>
      </c>
      <c r="F49" t="s">
        <v>520</v>
      </c>
      <c r="G49" t="s">
        <v>1052</v>
      </c>
      <c r="H49" t="s">
        <v>1590</v>
      </c>
      <c r="I49" t="s">
        <v>1933</v>
      </c>
      <c r="J49" t="s">
        <v>2205</v>
      </c>
      <c r="K49">
        <v>11213</v>
      </c>
      <c r="N49" t="s">
        <v>2233</v>
      </c>
      <c r="O49" t="s">
        <v>2285</v>
      </c>
      <c r="Q49" t="s">
        <v>2967</v>
      </c>
      <c r="R49">
        <v>1</v>
      </c>
      <c r="S49">
        <v>0</v>
      </c>
      <c r="T49">
        <v>73.13</v>
      </c>
      <c r="U49" t="s">
        <v>3445</v>
      </c>
      <c r="V49" t="s">
        <v>3456</v>
      </c>
      <c r="W49">
        <v>8820</v>
      </c>
      <c r="Y49">
        <v>184.6</v>
      </c>
      <c r="Z49" t="s">
        <v>134</v>
      </c>
      <c r="AA49" t="s">
        <v>90</v>
      </c>
      <c r="AC49" t="s">
        <v>3942</v>
      </c>
      <c r="AD49" t="s">
        <v>3952</v>
      </c>
      <c r="AF49" t="s">
        <v>4053</v>
      </c>
      <c r="AH49" t="s">
        <v>4076</v>
      </c>
      <c r="AJ49" t="s">
        <v>3942</v>
      </c>
      <c r="AL49" t="s">
        <v>4097</v>
      </c>
      <c r="AM49" t="s">
        <v>2230</v>
      </c>
      <c r="AO49">
        <v>973</v>
      </c>
      <c r="AQ49">
        <v>107</v>
      </c>
      <c r="AS49" t="s">
        <v>4113</v>
      </c>
      <c r="AU49" t="s">
        <v>4129</v>
      </c>
      <c r="AW49">
        <v>32</v>
      </c>
      <c r="AY49" t="s">
        <v>4140</v>
      </c>
      <c r="BB49" t="s">
        <v>4154</v>
      </c>
      <c r="BE49" t="s">
        <v>4165</v>
      </c>
      <c r="BG49" t="s">
        <v>4310</v>
      </c>
      <c r="BM49" t="s">
        <v>4627</v>
      </c>
    </row>
    <row r="50" spans="1:65">
      <c r="A50" s="1">
        <f>HYPERLINK("https://lsnyc.legalserver.org/matter/dynamic-profile/view/1915641","19-1915641")</f>
        <v>0</v>
      </c>
      <c r="B50" t="s">
        <v>69</v>
      </c>
      <c r="C50" t="s">
        <v>93</v>
      </c>
      <c r="D50" t="s">
        <v>122</v>
      </c>
      <c r="F50" t="s">
        <v>521</v>
      </c>
      <c r="G50" t="s">
        <v>1053</v>
      </c>
      <c r="H50" t="s">
        <v>1584</v>
      </c>
      <c r="I50" t="s">
        <v>1929</v>
      </c>
      <c r="J50" t="s">
        <v>2205</v>
      </c>
      <c r="K50">
        <v>11212</v>
      </c>
      <c r="N50" t="s">
        <v>2233</v>
      </c>
      <c r="O50" t="s">
        <v>2286</v>
      </c>
      <c r="Q50" t="s">
        <v>2968</v>
      </c>
      <c r="R50">
        <v>2</v>
      </c>
      <c r="S50">
        <v>0</v>
      </c>
      <c r="T50">
        <v>248.37</v>
      </c>
      <c r="W50">
        <v>42000</v>
      </c>
      <c r="Y50">
        <v>0</v>
      </c>
      <c r="AA50" t="s">
        <v>70</v>
      </c>
      <c r="AC50" t="s">
        <v>3942</v>
      </c>
      <c r="AD50" t="s">
        <v>382</v>
      </c>
      <c r="AF50" t="s">
        <v>4059</v>
      </c>
      <c r="AH50" t="s">
        <v>3510</v>
      </c>
      <c r="AJ50" t="s">
        <v>3943</v>
      </c>
      <c r="AL50" t="s">
        <v>4070</v>
      </c>
      <c r="AM50" t="s">
        <v>2230</v>
      </c>
      <c r="AO50">
        <v>1333.51</v>
      </c>
      <c r="AQ50">
        <v>71</v>
      </c>
      <c r="AS50" t="s">
        <v>4113</v>
      </c>
      <c r="AU50" t="s">
        <v>4128</v>
      </c>
      <c r="AW50">
        <v>13</v>
      </c>
      <c r="AY50" t="s">
        <v>4140</v>
      </c>
      <c r="BC50" t="s">
        <v>4155</v>
      </c>
      <c r="BE50" t="s">
        <v>4128</v>
      </c>
      <c r="BF50" t="s">
        <v>4281</v>
      </c>
      <c r="BG50" t="s">
        <v>4054</v>
      </c>
      <c r="BM50" t="s">
        <v>4627</v>
      </c>
    </row>
    <row r="51" spans="1:65">
      <c r="A51" s="1">
        <f>HYPERLINK("https://lsnyc.legalserver.org/matter/dynamic-profile/view/1898171","19-1898171")</f>
        <v>0</v>
      </c>
      <c r="B51" t="s">
        <v>69</v>
      </c>
      <c r="C51" t="s">
        <v>93</v>
      </c>
      <c r="D51" t="s">
        <v>132</v>
      </c>
      <c r="F51" t="s">
        <v>513</v>
      </c>
      <c r="G51" t="s">
        <v>1046</v>
      </c>
      <c r="H51" t="s">
        <v>1585</v>
      </c>
      <c r="I51" t="s">
        <v>1940</v>
      </c>
      <c r="J51" t="s">
        <v>2205</v>
      </c>
      <c r="K51">
        <v>11213</v>
      </c>
      <c r="N51" t="s">
        <v>2233</v>
      </c>
      <c r="O51" t="s">
        <v>2278</v>
      </c>
      <c r="P51" t="s">
        <v>2930</v>
      </c>
      <c r="R51">
        <v>3</v>
      </c>
      <c r="S51">
        <v>1</v>
      </c>
      <c r="T51">
        <v>75.5</v>
      </c>
      <c r="W51">
        <v>19440</v>
      </c>
      <c r="Y51">
        <v>19.35</v>
      </c>
      <c r="Z51" t="s">
        <v>113</v>
      </c>
      <c r="AA51" t="s">
        <v>90</v>
      </c>
      <c r="AC51" t="s">
        <v>3942</v>
      </c>
      <c r="AD51" t="s">
        <v>439</v>
      </c>
      <c r="AF51" t="s">
        <v>4059</v>
      </c>
      <c r="AH51" t="s">
        <v>4078</v>
      </c>
      <c r="AJ51" t="s">
        <v>3942</v>
      </c>
      <c r="AK51" t="s">
        <v>4084</v>
      </c>
      <c r="AM51" t="s">
        <v>2230</v>
      </c>
      <c r="AN51" t="s">
        <v>4107</v>
      </c>
      <c r="AO51">
        <v>0</v>
      </c>
      <c r="AQ51">
        <v>35</v>
      </c>
      <c r="AS51" t="s">
        <v>4113</v>
      </c>
      <c r="AT51" t="s">
        <v>4127</v>
      </c>
      <c r="AV51" t="s">
        <v>4137</v>
      </c>
      <c r="AW51">
        <v>0</v>
      </c>
      <c r="AY51" t="s">
        <v>4140</v>
      </c>
      <c r="BA51" t="s">
        <v>4149</v>
      </c>
      <c r="BC51" t="s">
        <v>4155</v>
      </c>
      <c r="BG51" t="s">
        <v>4311</v>
      </c>
      <c r="BM51" t="s">
        <v>4627</v>
      </c>
    </row>
    <row r="52" spans="1:65">
      <c r="A52" s="1">
        <f>HYPERLINK("https://lsnyc.legalserver.org/matter/dynamic-profile/view/1856558","18-1856558")</f>
        <v>0</v>
      </c>
      <c r="B52" t="s">
        <v>69</v>
      </c>
      <c r="C52" t="s">
        <v>93</v>
      </c>
      <c r="D52" t="s">
        <v>133</v>
      </c>
      <c r="F52" t="s">
        <v>520</v>
      </c>
      <c r="G52" t="s">
        <v>1054</v>
      </c>
      <c r="H52" t="s">
        <v>1590</v>
      </c>
      <c r="I52" t="s">
        <v>1933</v>
      </c>
      <c r="J52" t="s">
        <v>2205</v>
      </c>
      <c r="K52">
        <v>11213</v>
      </c>
      <c r="N52" t="s">
        <v>2233</v>
      </c>
      <c r="O52" t="s">
        <v>2285</v>
      </c>
      <c r="Q52" t="s">
        <v>2967</v>
      </c>
      <c r="R52">
        <v>1</v>
      </c>
      <c r="S52">
        <v>0</v>
      </c>
      <c r="T52">
        <v>73.13</v>
      </c>
      <c r="U52" t="s">
        <v>450</v>
      </c>
      <c r="W52">
        <v>8820</v>
      </c>
      <c r="Y52">
        <v>219.95</v>
      </c>
      <c r="Z52" t="s">
        <v>110</v>
      </c>
      <c r="AA52" t="s">
        <v>3897</v>
      </c>
      <c r="AC52" t="s">
        <v>3942</v>
      </c>
      <c r="AD52" t="s">
        <v>3953</v>
      </c>
      <c r="AF52" t="s">
        <v>4050</v>
      </c>
      <c r="AH52" t="s">
        <v>4076</v>
      </c>
      <c r="AJ52" t="s">
        <v>3942</v>
      </c>
      <c r="AL52" t="s">
        <v>4097</v>
      </c>
      <c r="AM52" t="s">
        <v>2230</v>
      </c>
      <c r="AO52">
        <v>973</v>
      </c>
      <c r="AQ52">
        <v>107</v>
      </c>
      <c r="AS52" t="s">
        <v>4113</v>
      </c>
      <c r="AU52" t="s">
        <v>4129</v>
      </c>
      <c r="AV52" t="s">
        <v>4137</v>
      </c>
      <c r="AW52">
        <v>0</v>
      </c>
      <c r="AY52" t="s">
        <v>4140</v>
      </c>
      <c r="BB52" t="s">
        <v>4154</v>
      </c>
      <c r="BG52" t="s">
        <v>4312</v>
      </c>
      <c r="BM52" t="s">
        <v>4627</v>
      </c>
    </row>
    <row r="53" spans="1:65">
      <c r="A53" s="1">
        <f>HYPERLINK("https://lsnyc.legalserver.org/matter/dynamic-profile/view/1915154","19-1915154")</f>
        <v>0</v>
      </c>
      <c r="B53" t="s">
        <v>70</v>
      </c>
      <c r="C53" t="s">
        <v>93</v>
      </c>
      <c r="D53" t="s">
        <v>134</v>
      </c>
      <c r="F53" t="s">
        <v>522</v>
      </c>
      <c r="G53" t="s">
        <v>1055</v>
      </c>
      <c r="H53" t="s">
        <v>1591</v>
      </c>
      <c r="I53" t="s">
        <v>1941</v>
      </c>
      <c r="J53" t="s">
        <v>2205</v>
      </c>
      <c r="K53">
        <v>11208</v>
      </c>
      <c r="N53" t="s">
        <v>2233</v>
      </c>
      <c r="O53" t="s">
        <v>2287</v>
      </c>
      <c r="Q53" t="s">
        <v>2969</v>
      </c>
      <c r="R53">
        <v>1</v>
      </c>
      <c r="S53">
        <v>1</v>
      </c>
      <c r="T53">
        <v>99.94</v>
      </c>
      <c r="W53">
        <v>16900</v>
      </c>
      <c r="Y53">
        <v>0</v>
      </c>
      <c r="AA53" t="s">
        <v>70</v>
      </c>
      <c r="AB53" t="s">
        <v>3940</v>
      </c>
      <c r="AC53" t="s">
        <v>3944</v>
      </c>
      <c r="AF53" t="s">
        <v>4054</v>
      </c>
      <c r="AH53" t="s">
        <v>4079</v>
      </c>
      <c r="AJ53" t="s">
        <v>3943</v>
      </c>
      <c r="AL53" t="s">
        <v>4070</v>
      </c>
      <c r="AM53" t="s">
        <v>2230</v>
      </c>
      <c r="AO53">
        <v>1774.55</v>
      </c>
      <c r="AQ53">
        <v>24</v>
      </c>
      <c r="AS53" t="s">
        <v>4113</v>
      </c>
      <c r="AU53" t="s">
        <v>4129</v>
      </c>
      <c r="AW53">
        <v>14</v>
      </c>
      <c r="AY53" t="s">
        <v>4140</v>
      </c>
      <c r="AZ53" t="s">
        <v>4148</v>
      </c>
      <c r="BB53" t="s">
        <v>4154</v>
      </c>
      <c r="BE53" t="s">
        <v>4128</v>
      </c>
      <c r="BF53" t="s">
        <v>4281</v>
      </c>
      <c r="BG53" t="s">
        <v>4054</v>
      </c>
      <c r="BM53" t="s">
        <v>4627</v>
      </c>
    </row>
    <row r="54" spans="1:65">
      <c r="A54" s="1">
        <f>HYPERLINK("https://lsnyc.legalserver.org/matter/dynamic-profile/view/1915835","19-1915835")</f>
        <v>0</v>
      </c>
      <c r="B54" t="s">
        <v>70</v>
      </c>
      <c r="C54" t="s">
        <v>93</v>
      </c>
      <c r="D54" t="s">
        <v>135</v>
      </c>
      <c r="F54" t="s">
        <v>523</v>
      </c>
      <c r="G54" t="s">
        <v>1056</v>
      </c>
      <c r="H54" t="s">
        <v>1592</v>
      </c>
      <c r="I54">
        <v>4</v>
      </c>
      <c r="J54" t="s">
        <v>2205</v>
      </c>
      <c r="K54">
        <v>11233</v>
      </c>
      <c r="N54" t="s">
        <v>2233</v>
      </c>
      <c r="O54" t="s">
        <v>2288</v>
      </c>
      <c r="Q54" t="s">
        <v>2970</v>
      </c>
      <c r="R54">
        <v>1</v>
      </c>
      <c r="S54">
        <v>2</v>
      </c>
      <c r="T54">
        <v>103.14</v>
      </c>
      <c r="W54">
        <v>22000</v>
      </c>
      <c r="Y54">
        <v>0</v>
      </c>
      <c r="AA54" t="s">
        <v>70</v>
      </c>
      <c r="AB54" t="s">
        <v>3940</v>
      </c>
      <c r="AC54" t="s">
        <v>3943</v>
      </c>
      <c r="AF54" t="s">
        <v>4053</v>
      </c>
      <c r="AG54" t="s">
        <v>4075</v>
      </c>
      <c r="AJ54" t="s">
        <v>3943</v>
      </c>
      <c r="AL54" t="s">
        <v>4086</v>
      </c>
      <c r="AM54" t="s">
        <v>2230</v>
      </c>
      <c r="AO54">
        <v>1823</v>
      </c>
      <c r="AQ54">
        <v>8</v>
      </c>
      <c r="AS54" t="s">
        <v>4115</v>
      </c>
      <c r="AU54" t="s">
        <v>4129</v>
      </c>
      <c r="AW54">
        <v>10</v>
      </c>
      <c r="AY54" t="s">
        <v>4140</v>
      </c>
      <c r="AZ54" t="s">
        <v>4148</v>
      </c>
      <c r="BB54" t="s">
        <v>4154</v>
      </c>
      <c r="BG54" t="s">
        <v>4313</v>
      </c>
      <c r="BM54" t="s">
        <v>4627</v>
      </c>
    </row>
    <row r="55" spans="1:65">
      <c r="A55" s="1">
        <f>HYPERLINK("https://lsnyc.legalserver.org/matter/dynamic-profile/view/1914467","19-1914467")</f>
        <v>0</v>
      </c>
      <c r="B55" t="s">
        <v>70</v>
      </c>
      <c r="C55" t="s">
        <v>93</v>
      </c>
      <c r="D55" t="s">
        <v>136</v>
      </c>
      <c r="F55" t="s">
        <v>524</v>
      </c>
      <c r="G55" t="s">
        <v>1057</v>
      </c>
      <c r="H55" t="s">
        <v>1593</v>
      </c>
      <c r="I55">
        <v>2</v>
      </c>
      <c r="J55" t="s">
        <v>2205</v>
      </c>
      <c r="K55">
        <v>11233</v>
      </c>
      <c r="N55" t="s">
        <v>2233</v>
      </c>
      <c r="O55" t="s">
        <v>2289</v>
      </c>
      <c r="Q55" t="s">
        <v>2971</v>
      </c>
      <c r="R55">
        <v>2</v>
      </c>
      <c r="S55">
        <v>1</v>
      </c>
      <c r="T55">
        <v>41.91</v>
      </c>
      <c r="W55">
        <v>8940</v>
      </c>
      <c r="Y55">
        <v>0</v>
      </c>
      <c r="AA55" t="s">
        <v>70</v>
      </c>
      <c r="AB55" t="s">
        <v>3940</v>
      </c>
      <c r="AC55" t="s">
        <v>3944</v>
      </c>
      <c r="AF55" t="s">
        <v>4050</v>
      </c>
      <c r="AH55" t="s">
        <v>4079</v>
      </c>
      <c r="AJ55" t="s">
        <v>3943</v>
      </c>
      <c r="AL55" t="s">
        <v>4070</v>
      </c>
      <c r="AM55" t="s">
        <v>2230</v>
      </c>
      <c r="AO55">
        <v>1515</v>
      </c>
      <c r="AQ55">
        <v>3</v>
      </c>
      <c r="AS55" t="s">
        <v>4114</v>
      </c>
      <c r="AU55" t="s">
        <v>4131</v>
      </c>
      <c r="AW55">
        <v>1</v>
      </c>
      <c r="AY55" t="s">
        <v>4140</v>
      </c>
      <c r="AZ55" t="s">
        <v>4148</v>
      </c>
      <c r="BB55" t="s">
        <v>4154</v>
      </c>
      <c r="BG55" t="s">
        <v>4314</v>
      </c>
      <c r="BM55" t="s">
        <v>4627</v>
      </c>
    </row>
    <row r="56" spans="1:65">
      <c r="A56" s="1">
        <f>HYPERLINK("https://lsnyc.legalserver.org/matter/dynamic-profile/view/1911920","19-1911920")</f>
        <v>0</v>
      </c>
      <c r="B56" t="s">
        <v>70</v>
      </c>
      <c r="C56" t="s">
        <v>93</v>
      </c>
      <c r="D56" t="s">
        <v>137</v>
      </c>
      <c r="E56" t="s">
        <v>357</v>
      </c>
      <c r="F56" t="s">
        <v>525</v>
      </c>
      <c r="G56" t="s">
        <v>1058</v>
      </c>
      <c r="H56" t="s">
        <v>1594</v>
      </c>
      <c r="J56" t="s">
        <v>2205</v>
      </c>
      <c r="K56">
        <v>11208</v>
      </c>
      <c r="L56" t="s">
        <v>2222</v>
      </c>
      <c r="N56" t="s">
        <v>2233</v>
      </c>
      <c r="O56" t="s">
        <v>2290</v>
      </c>
      <c r="Q56" t="s">
        <v>2972</v>
      </c>
      <c r="R56">
        <v>2</v>
      </c>
      <c r="S56">
        <v>0</v>
      </c>
      <c r="T56">
        <v>55.21</v>
      </c>
      <c r="W56">
        <v>9336</v>
      </c>
      <c r="X56" t="s">
        <v>3472</v>
      </c>
      <c r="Y56">
        <v>0.6</v>
      </c>
      <c r="Z56" t="s">
        <v>137</v>
      </c>
      <c r="AA56" t="s">
        <v>3898</v>
      </c>
      <c r="AB56" t="s">
        <v>3940</v>
      </c>
      <c r="AC56" t="s">
        <v>3943</v>
      </c>
      <c r="AF56" t="s">
        <v>4050</v>
      </c>
      <c r="AG56" t="s">
        <v>4075</v>
      </c>
      <c r="AJ56" t="s">
        <v>3943</v>
      </c>
      <c r="AL56" t="s">
        <v>4098</v>
      </c>
      <c r="AM56" t="s">
        <v>2230</v>
      </c>
      <c r="AO56">
        <v>1063</v>
      </c>
      <c r="AQ56">
        <v>2</v>
      </c>
      <c r="AS56" t="s">
        <v>4114</v>
      </c>
      <c r="AT56" t="s">
        <v>4127</v>
      </c>
      <c r="AW56">
        <v>14</v>
      </c>
      <c r="AY56" t="s">
        <v>4141</v>
      </c>
      <c r="AZ56" t="s">
        <v>4148</v>
      </c>
      <c r="BB56" t="s">
        <v>4154</v>
      </c>
      <c r="BC56" t="s">
        <v>4128</v>
      </c>
      <c r="BG56" t="s">
        <v>4315</v>
      </c>
      <c r="BM56" t="s">
        <v>4628</v>
      </c>
    </row>
    <row r="57" spans="1:65">
      <c r="A57" s="1">
        <f>HYPERLINK("https://lsnyc.legalserver.org/matter/dynamic-profile/view/1915634","19-1915634")</f>
        <v>0</v>
      </c>
      <c r="B57" t="s">
        <v>70</v>
      </c>
      <c r="C57" t="s">
        <v>93</v>
      </c>
      <c r="D57" t="s">
        <v>122</v>
      </c>
      <c r="F57" t="s">
        <v>526</v>
      </c>
      <c r="G57" t="s">
        <v>1059</v>
      </c>
      <c r="H57" t="s">
        <v>1595</v>
      </c>
      <c r="I57" t="s">
        <v>1942</v>
      </c>
      <c r="J57" t="s">
        <v>2205</v>
      </c>
      <c r="K57">
        <v>11233</v>
      </c>
      <c r="N57" t="s">
        <v>2233</v>
      </c>
      <c r="O57" t="s">
        <v>2291</v>
      </c>
      <c r="Q57" t="s">
        <v>2973</v>
      </c>
      <c r="R57">
        <v>1</v>
      </c>
      <c r="S57">
        <v>1</v>
      </c>
      <c r="T57">
        <v>118.27</v>
      </c>
      <c r="W57">
        <v>20000</v>
      </c>
      <c r="Y57">
        <v>0</v>
      </c>
      <c r="AA57" t="s">
        <v>70</v>
      </c>
      <c r="AB57" t="s">
        <v>3940</v>
      </c>
      <c r="AC57" t="s">
        <v>3944</v>
      </c>
      <c r="AF57" t="s">
        <v>4053</v>
      </c>
      <c r="AG57" t="s">
        <v>4075</v>
      </c>
      <c r="AJ57" t="s">
        <v>3943</v>
      </c>
      <c r="AL57" t="s">
        <v>4095</v>
      </c>
      <c r="AM57" t="s">
        <v>2230</v>
      </c>
      <c r="AO57">
        <v>1509.95</v>
      </c>
      <c r="AQ57">
        <v>27</v>
      </c>
      <c r="AS57" t="s">
        <v>4116</v>
      </c>
      <c r="AU57" t="s">
        <v>4128</v>
      </c>
      <c r="AW57">
        <v>23</v>
      </c>
      <c r="AY57" t="s">
        <v>4140</v>
      </c>
      <c r="AZ57" t="s">
        <v>4148</v>
      </c>
      <c r="BB57" t="s">
        <v>4154</v>
      </c>
      <c r="BG57" t="s">
        <v>4316</v>
      </c>
      <c r="BM57" t="s">
        <v>4627</v>
      </c>
    </row>
    <row r="58" spans="1:65">
      <c r="A58" s="1">
        <f>HYPERLINK("https://lsnyc.legalserver.org/matter/dynamic-profile/view/1913453","19-1913453")</f>
        <v>0</v>
      </c>
      <c r="B58" t="s">
        <v>70</v>
      </c>
      <c r="C58" t="s">
        <v>93</v>
      </c>
      <c r="D58" t="s">
        <v>125</v>
      </c>
      <c r="F58" t="s">
        <v>527</v>
      </c>
      <c r="G58" t="s">
        <v>1060</v>
      </c>
      <c r="H58" t="s">
        <v>1596</v>
      </c>
      <c r="I58" t="s">
        <v>1943</v>
      </c>
      <c r="J58" t="s">
        <v>2205</v>
      </c>
      <c r="K58">
        <v>11239</v>
      </c>
      <c r="N58" t="s">
        <v>2233</v>
      </c>
      <c r="O58" t="s">
        <v>2292</v>
      </c>
      <c r="Q58" t="s">
        <v>2974</v>
      </c>
      <c r="R58">
        <v>1</v>
      </c>
      <c r="S58">
        <v>0</v>
      </c>
      <c r="T58">
        <v>128.36</v>
      </c>
      <c r="W58">
        <v>16032</v>
      </c>
      <c r="Y58">
        <v>0</v>
      </c>
      <c r="AA58" t="s">
        <v>70</v>
      </c>
      <c r="AB58" t="s">
        <v>3940</v>
      </c>
      <c r="AC58" t="s">
        <v>3944</v>
      </c>
      <c r="AF58" t="s">
        <v>4054</v>
      </c>
      <c r="AH58" t="s">
        <v>4079</v>
      </c>
      <c r="AJ58" t="s">
        <v>3943</v>
      </c>
      <c r="AL58" t="s">
        <v>4086</v>
      </c>
      <c r="AM58" t="s">
        <v>2230</v>
      </c>
      <c r="AO58">
        <v>273</v>
      </c>
      <c r="AQ58">
        <v>1463</v>
      </c>
      <c r="AS58" t="s">
        <v>4117</v>
      </c>
      <c r="AU58" t="s">
        <v>4128</v>
      </c>
      <c r="AW58">
        <v>43</v>
      </c>
      <c r="AY58" t="s">
        <v>4140</v>
      </c>
      <c r="AZ58" t="s">
        <v>4148</v>
      </c>
      <c r="BB58" t="s">
        <v>4154</v>
      </c>
      <c r="BF58" t="s">
        <v>4281</v>
      </c>
      <c r="BG58" t="s">
        <v>4054</v>
      </c>
      <c r="BM58" t="s">
        <v>4627</v>
      </c>
    </row>
    <row r="59" spans="1:65">
      <c r="A59" s="1">
        <f>HYPERLINK("https://lsnyc.legalserver.org/matter/dynamic-profile/view/1912188","19-1912188")</f>
        <v>0</v>
      </c>
      <c r="B59" t="s">
        <v>70</v>
      </c>
      <c r="C59" t="s">
        <v>93</v>
      </c>
      <c r="D59" t="s">
        <v>138</v>
      </c>
      <c r="F59" t="s">
        <v>515</v>
      </c>
      <c r="G59" t="s">
        <v>1061</v>
      </c>
      <c r="H59" t="s">
        <v>1597</v>
      </c>
      <c r="I59">
        <v>311</v>
      </c>
      <c r="J59" t="s">
        <v>2205</v>
      </c>
      <c r="K59">
        <v>11208</v>
      </c>
      <c r="N59" t="s">
        <v>2233</v>
      </c>
      <c r="O59" t="s">
        <v>2293</v>
      </c>
      <c r="Q59" t="s">
        <v>2975</v>
      </c>
      <c r="R59">
        <v>1</v>
      </c>
      <c r="S59">
        <v>0</v>
      </c>
      <c r="T59">
        <v>141.23</v>
      </c>
      <c r="W59">
        <v>17640</v>
      </c>
      <c r="Y59">
        <v>1</v>
      </c>
      <c r="Z59" t="s">
        <v>138</v>
      </c>
      <c r="AA59" t="s">
        <v>3899</v>
      </c>
      <c r="AB59" t="s">
        <v>3940</v>
      </c>
      <c r="AC59" t="s">
        <v>3943</v>
      </c>
      <c r="AF59" t="s">
        <v>4050</v>
      </c>
      <c r="AH59" t="s">
        <v>4081</v>
      </c>
      <c r="AJ59" t="s">
        <v>3943</v>
      </c>
      <c r="AL59" t="s">
        <v>4098</v>
      </c>
      <c r="AM59" t="s">
        <v>2230</v>
      </c>
      <c r="AO59">
        <v>1200</v>
      </c>
      <c r="AQ59">
        <v>30</v>
      </c>
      <c r="AR59" t="s">
        <v>4112</v>
      </c>
      <c r="AT59" t="s">
        <v>4127</v>
      </c>
      <c r="AW59">
        <v>9</v>
      </c>
      <c r="AY59" t="s">
        <v>4140</v>
      </c>
      <c r="AZ59" t="s">
        <v>4148</v>
      </c>
      <c r="BB59" t="s">
        <v>4154</v>
      </c>
      <c r="BC59" t="s">
        <v>4128</v>
      </c>
      <c r="BG59" t="s">
        <v>4317</v>
      </c>
      <c r="BM59" t="s">
        <v>4627</v>
      </c>
    </row>
    <row r="60" spans="1:65">
      <c r="A60" s="1">
        <f>HYPERLINK("https://lsnyc.legalserver.org/matter/dynamic-profile/view/1913414","19-1913414")</f>
        <v>0</v>
      </c>
      <c r="B60" t="s">
        <v>70</v>
      </c>
      <c r="C60" t="s">
        <v>93</v>
      </c>
      <c r="D60" t="s">
        <v>139</v>
      </c>
      <c r="E60" t="s">
        <v>98</v>
      </c>
      <c r="F60" t="s">
        <v>528</v>
      </c>
      <c r="G60" t="s">
        <v>1062</v>
      </c>
      <c r="H60" t="s">
        <v>1598</v>
      </c>
      <c r="I60">
        <v>2</v>
      </c>
      <c r="J60" t="s">
        <v>2205</v>
      </c>
      <c r="K60">
        <v>11236</v>
      </c>
      <c r="L60" t="s">
        <v>2222</v>
      </c>
      <c r="N60" t="s">
        <v>2233</v>
      </c>
      <c r="O60" t="s">
        <v>2294</v>
      </c>
      <c r="Q60" t="s">
        <v>2976</v>
      </c>
      <c r="R60">
        <v>2</v>
      </c>
      <c r="S60">
        <v>0</v>
      </c>
      <c r="T60">
        <v>192.1</v>
      </c>
      <c r="W60">
        <v>32484</v>
      </c>
      <c r="Y60">
        <v>0.1</v>
      </c>
      <c r="Z60" t="s">
        <v>98</v>
      </c>
      <c r="AA60" t="s">
        <v>70</v>
      </c>
      <c r="AB60" t="s">
        <v>3940</v>
      </c>
      <c r="AC60" t="s">
        <v>3944</v>
      </c>
      <c r="AF60" t="s">
        <v>4054</v>
      </c>
      <c r="AG60" t="s">
        <v>4075</v>
      </c>
      <c r="AJ60" t="s">
        <v>3943</v>
      </c>
      <c r="AK60" t="s">
        <v>4084</v>
      </c>
      <c r="AM60" t="s">
        <v>2230</v>
      </c>
      <c r="AO60">
        <v>1000</v>
      </c>
      <c r="AQ60">
        <v>2</v>
      </c>
      <c r="AS60" t="s">
        <v>4114</v>
      </c>
      <c r="AU60" t="s">
        <v>4128</v>
      </c>
      <c r="AW60">
        <v>27</v>
      </c>
      <c r="AY60" t="s">
        <v>4140</v>
      </c>
      <c r="AZ60" t="s">
        <v>4148</v>
      </c>
      <c r="BB60" t="s">
        <v>4154</v>
      </c>
      <c r="BF60" t="s">
        <v>4281</v>
      </c>
      <c r="BG60" t="s">
        <v>4054</v>
      </c>
      <c r="BM60" t="s">
        <v>4628</v>
      </c>
    </row>
    <row r="61" spans="1:65">
      <c r="A61" s="1">
        <f>HYPERLINK("https://lsnyc.legalserver.org/matter/dynamic-profile/view/1878374","18-1878374")</f>
        <v>0</v>
      </c>
      <c r="B61" t="s">
        <v>71</v>
      </c>
      <c r="C61" t="s">
        <v>93</v>
      </c>
      <c r="D61" t="s">
        <v>140</v>
      </c>
      <c r="F61" t="s">
        <v>529</v>
      </c>
      <c r="G61" t="s">
        <v>1063</v>
      </c>
      <c r="H61" t="s">
        <v>1599</v>
      </c>
      <c r="I61" t="s">
        <v>1944</v>
      </c>
      <c r="J61" t="s">
        <v>2205</v>
      </c>
      <c r="K61">
        <v>11212</v>
      </c>
      <c r="N61" t="s">
        <v>2233</v>
      </c>
      <c r="O61" t="s">
        <v>2295</v>
      </c>
      <c r="Q61" t="s">
        <v>2977</v>
      </c>
      <c r="R61">
        <v>2</v>
      </c>
      <c r="S61">
        <v>0</v>
      </c>
      <c r="T61">
        <v>55.12</v>
      </c>
      <c r="W61">
        <v>9072</v>
      </c>
      <c r="X61" t="s">
        <v>3473</v>
      </c>
      <c r="Y61">
        <v>7.55</v>
      </c>
      <c r="Z61" t="s">
        <v>178</v>
      </c>
      <c r="AA61" t="s">
        <v>90</v>
      </c>
      <c r="AC61" t="s">
        <v>3942</v>
      </c>
      <c r="AD61" t="s">
        <v>3954</v>
      </c>
      <c r="AF61" t="s">
        <v>4061</v>
      </c>
      <c r="AH61" t="s">
        <v>3510</v>
      </c>
      <c r="AI61" t="s">
        <v>4082</v>
      </c>
      <c r="AL61" t="s">
        <v>4089</v>
      </c>
      <c r="AM61" t="s">
        <v>2230</v>
      </c>
      <c r="AO61">
        <v>1300</v>
      </c>
      <c r="AQ61">
        <v>19</v>
      </c>
      <c r="AS61" t="s">
        <v>4113</v>
      </c>
      <c r="AU61" t="s">
        <v>4129</v>
      </c>
      <c r="AW61">
        <v>15</v>
      </c>
      <c r="AY61" t="s">
        <v>4140</v>
      </c>
      <c r="BB61" t="s">
        <v>4154</v>
      </c>
      <c r="BF61" t="s">
        <v>4281</v>
      </c>
      <c r="BM61" t="s">
        <v>4627</v>
      </c>
    </row>
    <row r="62" spans="1:65">
      <c r="A62" s="1">
        <f>HYPERLINK("https://lsnyc.legalserver.org/matter/dynamic-profile/view/1895346","19-1895346")</f>
        <v>0</v>
      </c>
      <c r="B62" t="s">
        <v>71</v>
      </c>
      <c r="C62" t="s">
        <v>93</v>
      </c>
      <c r="D62" t="s">
        <v>99</v>
      </c>
      <c r="F62" t="s">
        <v>529</v>
      </c>
      <c r="G62" t="s">
        <v>1063</v>
      </c>
      <c r="H62" t="s">
        <v>1599</v>
      </c>
      <c r="I62" t="s">
        <v>1944</v>
      </c>
      <c r="J62" t="s">
        <v>2205</v>
      </c>
      <c r="K62">
        <v>11212</v>
      </c>
      <c r="N62" t="s">
        <v>2234</v>
      </c>
      <c r="O62" t="s">
        <v>2295</v>
      </c>
      <c r="Q62" t="s">
        <v>2977</v>
      </c>
      <c r="R62">
        <v>2</v>
      </c>
      <c r="S62">
        <v>0</v>
      </c>
      <c r="T62">
        <v>53.65</v>
      </c>
      <c r="W62">
        <v>9072</v>
      </c>
      <c r="X62" t="s">
        <v>3474</v>
      </c>
      <c r="Y62">
        <v>0.5</v>
      </c>
      <c r="Z62" t="s">
        <v>173</v>
      </c>
      <c r="AA62" t="s">
        <v>70</v>
      </c>
      <c r="AC62" t="s">
        <v>3942</v>
      </c>
      <c r="AD62" t="s">
        <v>99</v>
      </c>
      <c r="AF62" t="s">
        <v>4051</v>
      </c>
      <c r="AH62" t="s">
        <v>4077</v>
      </c>
      <c r="AJ62" t="s">
        <v>3942</v>
      </c>
      <c r="AL62" t="s">
        <v>4089</v>
      </c>
      <c r="AM62" t="s">
        <v>2230</v>
      </c>
      <c r="AO62">
        <v>1300</v>
      </c>
      <c r="AQ62">
        <v>19</v>
      </c>
      <c r="AS62" t="s">
        <v>4113</v>
      </c>
      <c r="AU62" t="s">
        <v>4129</v>
      </c>
      <c r="AW62">
        <v>15</v>
      </c>
      <c r="AY62" t="s">
        <v>4140</v>
      </c>
      <c r="BC62" t="s">
        <v>4155</v>
      </c>
      <c r="BF62" t="s">
        <v>4281</v>
      </c>
      <c r="BM62" t="s">
        <v>4627</v>
      </c>
    </row>
    <row r="63" spans="1:65">
      <c r="A63" s="1">
        <f>HYPERLINK("https://lsnyc.legalserver.org/matter/dynamic-profile/view/1882211","18-1882211")</f>
        <v>0</v>
      </c>
      <c r="B63" t="s">
        <v>71</v>
      </c>
      <c r="C63" t="s">
        <v>93</v>
      </c>
      <c r="D63" t="s">
        <v>141</v>
      </c>
      <c r="F63" t="s">
        <v>530</v>
      </c>
      <c r="G63" t="s">
        <v>1064</v>
      </c>
      <c r="H63" t="s">
        <v>1600</v>
      </c>
      <c r="I63" t="s">
        <v>1945</v>
      </c>
      <c r="J63" t="s">
        <v>2205</v>
      </c>
      <c r="K63">
        <v>11233</v>
      </c>
      <c r="N63" t="s">
        <v>2233</v>
      </c>
      <c r="O63" t="s">
        <v>2296</v>
      </c>
      <c r="Q63" t="s">
        <v>2978</v>
      </c>
      <c r="R63">
        <v>1</v>
      </c>
      <c r="S63">
        <v>0</v>
      </c>
      <c r="T63">
        <v>234.3</v>
      </c>
      <c r="W63">
        <v>28444</v>
      </c>
      <c r="X63" t="s">
        <v>3475</v>
      </c>
      <c r="Y63">
        <v>0</v>
      </c>
      <c r="AA63" t="s">
        <v>90</v>
      </c>
      <c r="AC63" t="s">
        <v>3942</v>
      </c>
      <c r="AD63" t="s">
        <v>3955</v>
      </c>
      <c r="AF63" t="s">
        <v>4061</v>
      </c>
      <c r="AH63" t="s">
        <v>3510</v>
      </c>
      <c r="AJ63" t="s">
        <v>3942</v>
      </c>
      <c r="AL63" t="s">
        <v>4086</v>
      </c>
      <c r="AM63" t="s">
        <v>2230</v>
      </c>
      <c r="AO63">
        <v>1328</v>
      </c>
      <c r="AQ63">
        <v>6</v>
      </c>
      <c r="AS63" t="s">
        <v>4113</v>
      </c>
      <c r="AU63" t="s">
        <v>4128</v>
      </c>
      <c r="AW63">
        <v>5</v>
      </c>
      <c r="AY63" t="s">
        <v>4140</v>
      </c>
      <c r="BA63" t="s">
        <v>4149</v>
      </c>
      <c r="BB63" t="s">
        <v>4154</v>
      </c>
      <c r="BE63" t="s">
        <v>4128</v>
      </c>
      <c r="BF63" t="s">
        <v>4281</v>
      </c>
      <c r="BM63" t="s">
        <v>4627</v>
      </c>
    </row>
    <row r="64" spans="1:65">
      <c r="A64" s="1">
        <f>HYPERLINK("https://lsnyc.legalserver.org/matter/dynamic-profile/view/1882200","18-1882200")</f>
        <v>0</v>
      </c>
      <c r="B64" t="s">
        <v>71</v>
      </c>
      <c r="C64" t="s">
        <v>93</v>
      </c>
      <c r="D64" t="s">
        <v>141</v>
      </c>
      <c r="F64" t="s">
        <v>531</v>
      </c>
      <c r="G64" t="s">
        <v>1065</v>
      </c>
      <c r="H64" t="s">
        <v>1600</v>
      </c>
      <c r="I64" t="s">
        <v>1946</v>
      </c>
      <c r="J64" t="s">
        <v>2205</v>
      </c>
      <c r="K64">
        <v>11233</v>
      </c>
      <c r="N64" t="s">
        <v>2233</v>
      </c>
      <c r="O64" t="s">
        <v>2297</v>
      </c>
      <c r="Q64" t="s">
        <v>2979</v>
      </c>
      <c r="R64">
        <v>2</v>
      </c>
      <c r="S64">
        <v>1</v>
      </c>
      <c r="T64">
        <v>241.83</v>
      </c>
      <c r="V64" t="s">
        <v>3458</v>
      </c>
      <c r="W64">
        <v>50252.28</v>
      </c>
      <c r="X64" t="s">
        <v>3476</v>
      </c>
      <c r="Y64">
        <v>1</v>
      </c>
      <c r="Z64" t="s">
        <v>134</v>
      </c>
      <c r="AA64" t="s">
        <v>90</v>
      </c>
      <c r="AC64" t="s">
        <v>3942</v>
      </c>
      <c r="AD64" t="s">
        <v>3956</v>
      </c>
      <c r="AF64" t="s">
        <v>4061</v>
      </c>
      <c r="AH64" t="s">
        <v>3510</v>
      </c>
      <c r="AJ64" t="s">
        <v>3942</v>
      </c>
      <c r="AL64" t="s">
        <v>4086</v>
      </c>
      <c r="AM64" t="s">
        <v>2230</v>
      </c>
      <c r="AO64">
        <v>594.33</v>
      </c>
      <c r="AQ64">
        <v>6</v>
      </c>
      <c r="AS64" t="s">
        <v>4113</v>
      </c>
      <c r="AU64" t="s">
        <v>4128</v>
      </c>
      <c r="AW64">
        <v>42</v>
      </c>
      <c r="AY64" t="s">
        <v>4140</v>
      </c>
      <c r="BA64" t="s">
        <v>4149</v>
      </c>
      <c r="BB64" t="s">
        <v>4154</v>
      </c>
      <c r="BF64" t="s">
        <v>4281</v>
      </c>
      <c r="BG64" t="s">
        <v>4054</v>
      </c>
      <c r="BM64" t="s">
        <v>4627</v>
      </c>
    </row>
    <row r="65" spans="1:65">
      <c r="A65" s="1">
        <f>HYPERLINK("https://lsnyc.legalserver.org/matter/dynamic-profile/view/1905807","19-1905807")</f>
        <v>0</v>
      </c>
      <c r="B65" t="s">
        <v>71</v>
      </c>
      <c r="C65" t="s">
        <v>93</v>
      </c>
      <c r="D65" t="s">
        <v>142</v>
      </c>
      <c r="F65" t="s">
        <v>529</v>
      </c>
      <c r="G65" t="s">
        <v>1063</v>
      </c>
      <c r="H65" t="s">
        <v>1599</v>
      </c>
      <c r="I65" t="s">
        <v>1944</v>
      </c>
      <c r="J65" t="s">
        <v>2205</v>
      </c>
      <c r="K65">
        <v>11212</v>
      </c>
      <c r="N65" t="s">
        <v>2235</v>
      </c>
      <c r="O65" t="s">
        <v>2295</v>
      </c>
      <c r="Q65" t="s">
        <v>2977</v>
      </c>
      <c r="R65">
        <v>2</v>
      </c>
      <c r="S65">
        <v>0</v>
      </c>
      <c r="T65">
        <v>45.98</v>
      </c>
      <c r="W65">
        <v>7776</v>
      </c>
      <c r="X65" t="s">
        <v>3477</v>
      </c>
      <c r="Y65">
        <v>0</v>
      </c>
      <c r="AA65" t="s">
        <v>90</v>
      </c>
      <c r="AC65" t="s">
        <v>3942</v>
      </c>
      <c r="AD65" t="s">
        <v>141</v>
      </c>
      <c r="AF65" t="s">
        <v>4054</v>
      </c>
      <c r="AH65" t="s">
        <v>3510</v>
      </c>
      <c r="AJ65" t="s">
        <v>3943</v>
      </c>
      <c r="AL65" t="s">
        <v>4086</v>
      </c>
      <c r="AM65" t="s">
        <v>2230</v>
      </c>
      <c r="AO65">
        <v>1300</v>
      </c>
      <c r="AQ65">
        <v>19</v>
      </c>
      <c r="AS65" t="s">
        <v>4113</v>
      </c>
      <c r="AU65" t="s">
        <v>4129</v>
      </c>
      <c r="AW65">
        <v>15</v>
      </c>
      <c r="AY65" t="s">
        <v>4140</v>
      </c>
      <c r="BA65" t="s">
        <v>4149</v>
      </c>
      <c r="BC65" t="s">
        <v>4155</v>
      </c>
      <c r="BE65" t="s">
        <v>4162</v>
      </c>
      <c r="BF65" t="s">
        <v>4281</v>
      </c>
      <c r="BG65" t="s">
        <v>4159</v>
      </c>
      <c r="BM65" t="s">
        <v>4627</v>
      </c>
    </row>
    <row r="66" spans="1:65">
      <c r="A66" s="1">
        <f>HYPERLINK("https://lsnyc.legalserver.org/matter/dynamic-profile/view/1905803","19-1905803")</f>
        <v>0</v>
      </c>
      <c r="B66" t="s">
        <v>71</v>
      </c>
      <c r="C66" t="s">
        <v>93</v>
      </c>
      <c r="D66" t="s">
        <v>142</v>
      </c>
      <c r="F66" t="s">
        <v>529</v>
      </c>
      <c r="G66" t="s">
        <v>1063</v>
      </c>
      <c r="H66" t="s">
        <v>1599</v>
      </c>
      <c r="I66" t="s">
        <v>1944</v>
      </c>
      <c r="J66" t="s">
        <v>2205</v>
      </c>
      <c r="K66">
        <v>11212</v>
      </c>
      <c r="N66" t="s">
        <v>2233</v>
      </c>
      <c r="O66" t="s">
        <v>2295</v>
      </c>
      <c r="Q66" t="s">
        <v>2977</v>
      </c>
      <c r="R66">
        <v>2</v>
      </c>
      <c r="S66">
        <v>0</v>
      </c>
      <c r="T66">
        <v>45.98</v>
      </c>
      <c r="W66">
        <v>7776</v>
      </c>
      <c r="X66" t="s">
        <v>3474</v>
      </c>
      <c r="Y66">
        <v>0</v>
      </c>
      <c r="AA66" t="s">
        <v>90</v>
      </c>
      <c r="AC66" t="s">
        <v>3942</v>
      </c>
      <c r="AD66" t="s">
        <v>404</v>
      </c>
      <c r="AF66" t="s">
        <v>4054</v>
      </c>
      <c r="AH66" t="s">
        <v>3510</v>
      </c>
      <c r="AJ66" t="s">
        <v>3942</v>
      </c>
      <c r="AL66" t="s">
        <v>4086</v>
      </c>
      <c r="AM66" t="s">
        <v>2230</v>
      </c>
      <c r="AO66">
        <v>1300</v>
      </c>
      <c r="AQ66">
        <v>19</v>
      </c>
      <c r="AS66" t="s">
        <v>4113</v>
      </c>
      <c r="AU66" t="s">
        <v>4129</v>
      </c>
      <c r="AW66">
        <v>15</v>
      </c>
      <c r="AY66" t="s">
        <v>4140</v>
      </c>
      <c r="BA66" t="s">
        <v>4149</v>
      </c>
      <c r="BC66" t="s">
        <v>4155</v>
      </c>
      <c r="BE66" t="s">
        <v>4162</v>
      </c>
      <c r="BF66" t="s">
        <v>4281</v>
      </c>
      <c r="BG66" t="s">
        <v>4159</v>
      </c>
      <c r="BM66" t="s">
        <v>4627</v>
      </c>
    </row>
    <row r="67" spans="1:65">
      <c r="A67" s="1">
        <f>HYPERLINK("https://lsnyc.legalserver.org/matter/dynamic-profile/view/1875686","18-1875686")</f>
        <v>0</v>
      </c>
      <c r="B67" t="s">
        <v>71</v>
      </c>
      <c r="C67" t="s">
        <v>93</v>
      </c>
      <c r="D67" t="s">
        <v>143</v>
      </c>
      <c r="F67" t="s">
        <v>532</v>
      </c>
      <c r="G67" t="s">
        <v>1066</v>
      </c>
      <c r="H67" t="s">
        <v>1601</v>
      </c>
      <c r="I67" t="s">
        <v>1947</v>
      </c>
      <c r="J67" t="s">
        <v>2205</v>
      </c>
      <c r="K67">
        <v>11212</v>
      </c>
      <c r="N67" t="s">
        <v>2233</v>
      </c>
      <c r="O67" t="s">
        <v>2298</v>
      </c>
      <c r="Q67" t="s">
        <v>2980</v>
      </c>
      <c r="R67">
        <v>1</v>
      </c>
      <c r="S67">
        <v>0</v>
      </c>
      <c r="T67">
        <v>255.63</v>
      </c>
      <c r="W67">
        <v>31033.6</v>
      </c>
      <c r="Y67">
        <v>22.75</v>
      </c>
      <c r="Z67" t="s">
        <v>134</v>
      </c>
      <c r="AA67" t="s">
        <v>3900</v>
      </c>
      <c r="AC67" t="s">
        <v>3942</v>
      </c>
      <c r="AD67" t="s">
        <v>143</v>
      </c>
      <c r="AF67" t="s">
        <v>4054</v>
      </c>
      <c r="AH67" t="s">
        <v>3510</v>
      </c>
      <c r="AJ67" t="s">
        <v>3942</v>
      </c>
      <c r="AL67" t="s">
        <v>4089</v>
      </c>
      <c r="AM67" t="s">
        <v>2230</v>
      </c>
      <c r="AO67">
        <v>839.77</v>
      </c>
      <c r="AQ67">
        <v>8</v>
      </c>
      <c r="AS67" t="s">
        <v>4113</v>
      </c>
      <c r="AU67" t="s">
        <v>4128</v>
      </c>
      <c r="AW67">
        <v>24</v>
      </c>
      <c r="AY67" t="s">
        <v>4140</v>
      </c>
      <c r="BB67" t="s">
        <v>4154</v>
      </c>
      <c r="BF67" t="s">
        <v>4281</v>
      </c>
      <c r="BM67" t="s">
        <v>4627</v>
      </c>
    </row>
    <row r="68" spans="1:65">
      <c r="A68" s="1">
        <f>HYPERLINK("https://lsnyc.legalserver.org/matter/dynamic-profile/view/1833344","17-1833344")</f>
        <v>0</v>
      </c>
      <c r="B68" t="s">
        <v>71</v>
      </c>
      <c r="C68" t="s">
        <v>93</v>
      </c>
      <c r="D68" t="s">
        <v>144</v>
      </c>
      <c r="F68" t="s">
        <v>533</v>
      </c>
      <c r="G68" t="s">
        <v>1067</v>
      </c>
      <c r="H68" t="s">
        <v>1602</v>
      </c>
      <c r="I68">
        <v>4</v>
      </c>
      <c r="J68" t="s">
        <v>2205</v>
      </c>
      <c r="K68">
        <v>11207</v>
      </c>
      <c r="N68" t="s">
        <v>2233</v>
      </c>
      <c r="O68" t="s">
        <v>2299</v>
      </c>
      <c r="Q68" t="s">
        <v>2981</v>
      </c>
      <c r="R68">
        <v>3</v>
      </c>
      <c r="S68">
        <v>1</v>
      </c>
      <c r="T68">
        <v>43.9</v>
      </c>
      <c r="W68">
        <v>10800</v>
      </c>
      <c r="Y68">
        <v>2.2</v>
      </c>
      <c r="Z68" t="s">
        <v>134</v>
      </c>
      <c r="AA68" t="s">
        <v>83</v>
      </c>
      <c r="AC68" t="s">
        <v>3942</v>
      </c>
      <c r="AD68" t="s">
        <v>339</v>
      </c>
      <c r="AE68" t="s">
        <v>4049</v>
      </c>
      <c r="AH68" t="s">
        <v>4076</v>
      </c>
      <c r="AJ68" t="s">
        <v>3942</v>
      </c>
      <c r="AL68" t="s">
        <v>4089</v>
      </c>
      <c r="AM68" t="s">
        <v>2230</v>
      </c>
      <c r="AO68">
        <v>1100</v>
      </c>
      <c r="AQ68">
        <v>7</v>
      </c>
      <c r="AS68" t="s">
        <v>4114</v>
      </c>
      <c r="AT68" t="s">
        <v>4127</v>
      </c>
      <c r="AW68">
        <v>3</v>
      </c>
      <c r="AY68" t="s">
        <v>4140</v>
      </c>
      <c r="BB68" t="s">
        <v>4154</v>
      </c>
      <c r="BF68" t="s">
        <v>4281</v>
      </c>
      <c r="BM68" t="s">
        <v>4627</v>
      </c>
    </row>
    <row r="69" spans="1:65">
      <c r="A69" s="1">
        <f>HYPERLINK("https://lsnyc.legalserver.org/matter/dynamic-profile/view/1893454","19-1893454")</f>
        <v>0</v>
      </c>
      <c r="B69" t="s">
        <v>71</v>
      </c>
      <c r="C69" t="s">
        <v>93</v>
      </c>
      <c r="D69" t="s">
        <v>145</v>
      </c>
      <c r="F69" t="s">
        <v>534</v>
      </c>
      <c r="G69" t="s">
        <v>1068</v>
      </c>
      <c r="H69" t="s">
        <v>1603</v>
      </c>
      <c r="J69" t="s">
        <v>2205</v>
      </c>
      <c r="K69">
        <v>11208</v>
      </c>
      <c r="N69" t="s">
        <v>2233</v>
      </c>
      <c r="O69" t="s">
        <v>2300</v>
      </c>
      <c r="P69" t="s">
        <v>2930</v>
      </c>
      <c r="R69">
        <v>1</v>
      </c>
      <c r="S69">
        <v>0</v>
      </c>
      <c r="T69">
        <v>280.22</v>
      </c>
      <c r="U69" t="s">
        <v>3446</v>
      </c>
      <c r="V69" t="s">
        <v>3458</v>
      </c>
      <c r="W69">
        <v>35000</v>
      </c>
      <c r="X69" t="s">
        <v>3478</v>
      </c>
      <c r="Y69">
        <v>0</v>
      </c>
      <c r="AA69" t="s">
        <v>90</v>
      </c>
      <c r="AC69" t="s">
        <v>3942</v>
      </c>
      <c r="AD69" t="s">
        <v>3957</v>
      </c>
      <c r="AF69" t="s">
        <v>4061</v>
      </c>
      <c r="AH69" t="s">
        <v>3510</v>
      </c>
      <c r="AJ69" t="s">
        <v>3942</v>
      </c>
      <c r="AK69" t="s">
        <v>4084</v>
      </c>
      <c r="AM69" t="s">
        <v>2230</v>
      </c>
      <c r="AO69">
        <v>400</v>
      </c>
      <c r="AP69" t="s">
        <v>4108</v>
      </c>
      <c r="AQ69" t="s">
        <v>4110</v>
      </c>
      <c r="AR69" t="s">
        <v>4112</v>
      </c>
      <c r="AT69" t="s">
        <v>4127</v>
      </c>
      <c r="AW69">
        <v>3</v>
      </c>
      <c r="AX69" t="s">
        <v>4139</v>
      </c>
      <c r="BA69" t="s">
        <v>4149</v>
      </c>
      <c r="BB69" t="s">
        <v>4154</v>
      </c>
      <c r="BF69" t="s">
        <v>4281</v>
      </c>
      <c r="BM69" t="s">
        <v>4627</v>
      </c>
    </row>
    <row r="70" spans="1:65">
      <c r="A70" s="1">
        <f>HYPERLINK("https://lsnyc.legalserver.org/matter/dynamic-profile/view/1885771","18-1885771")</f>
        <v>0</v>
      </c>
      <c r="B70" t="s">
        <v>71</v>
      </c>
      <c r="C70" t="s">
        <v>93</v>
      </c>
      <c r="D70" t="s">
        <v>146</v>
      </c>
      <c r="F70" t="s">
        <v>535</v>
      </c>
      <c r="G70" t="s">
        <v>1069</v>
      </c>
      <c r="H70" t="s">
        <v>1604</v>
      </c>
      <c r="I70" t="s">
        <v>1930</v>
      </c>
      <c r="J70" t="s">
        <v>2205</v>
      </c>
      <c r="K70">
        <v>11238</v>
      </c>
      <c r="N70" t="s">
        <v>2233</v>
      </c>
      <c r="O70" t="s">
        <v>2301</v>
      </c>
      <c r="Q70" t="s">
        <v>2982</v>
      </c>
      <c r="R70">
        <v>1</v>
      </c>
      <c r="S70">
        <v>1</v>
      </c>
      <c r="T70">
        <v>41.85</v>
      </c>
      <c r="W70">
        <v>6888</v>
      </c>
      <c r="Y70">
        <v>41.25</v>
      </c>
      <c r="Z70" t="s">
        <v>3816</v>
      </c>
      <c r="AA70" t="s">
        <v>90</v>
      </c>
      <c r="AC70" t="s">
        <v>3942</v>
      </c>
      <c r="AD70" t="s">
        <v>458</v>
      </c>
      <c r="AF70" t="s">
        <v>4063</v>
      </c>
      <c r="AH70" t="s">
        <v>4078</v>
      </c>
      <c r="AJ70" t="s">
        <v>3942</v>
      </c>
      <c r="AK70" t="s">
        <v>4084</v>
      </c>
      <c r="AM70" t="s">
        <v>2230</v>
      </c>
      <c r="AN70" t="s">
        <v>4107</v>
      </c>
      <c r="AO70">
        <v>0</v>
      </c>
      <c r="AP70" t="s">
        <v>4108</v>
      </c>
      <c r="AQ70" t="s">
        <v>4110</v>
      </c>
      <c r="AS70" t="s">
        <v>4113</v>
      </c>
      <c r="AU70" t="s">
        <v>4131</v>
      </c>
      <c r="AV70" t="s">
        <v>4137</v>
      </c>
      <c r="AW70">
        <v>0</v>
      </c>
      <c r="AY70" t="s">
        <v>4140</v>
      </c>
      <c r="BA70" t="s">
        <v>4149</v>
      </c>
      <c r="BC70" t="s">
        <v>4155</v>
      </c>
      <c r="BE70" t="s">
        <v>4166</v>
      </c>
      <c r="BF70" t="s">
        <v>4281</v>
      </c>
      <c r="BG70" t="s">
        <v>4054</v>
      </c>
      <c r="BM70" t="s">
        <v>4627</v>
      </c>
    </row>
    <row r="71" spans="1:65">
      <c r="A71" s="1">
        <f>HYPERLINK("https://lsnyc.legalserver.org/matter/dynamic-profile/view/1911193","19-1911193")</f>
        <v>0</v>
      </c>
      <c r="B71" t="s">
        <v>71</v>
      </c>
      <c r="C71" t="s">
        <v>93</v>
      </c>
      <c r="D71" t="s">
        <v>113</v>
      </c>
      <c r="F71" t="s">
        <v>535</v>
      </c>
      <c r="G71" t="s">
        <v>1069</v>
      </c>
      <c r="H71" t="s">
        <v>1604</v>
      </c>
      <c r="I71" t="s">
        <v>1930</v>
      </c>
      <c r="J71" t="s">
        <v>2205</v>
      </c>
      <c r="K71">
        <v>11238</v>
      </c>
      <c r="N71" t="s">
        <v>2233</v>
      </c>
      <c r="O71" t="s">
        <v>2301</v>
      </c>
      <c r="Q71" t="s">
        <v>2982</v>
      </c>
      <c r="R71">
        <v>1</v>
      </c>
      <c r="S71">
        <v>1</v>
      </c>
      <c r="T71">
        <v>40.73</v>
      </c>
      <c r="W71">
        <v>6888</v>
      </c>
      <c r="Y71">
        <v>28.4</v>
      </c>
      <c r="Z71" t="s">
        <v>135</v>
      </c>
      <c r="AA71" t="s">
        <v>90</v>
      </c>
      <c r="AC71" t="s">
        <v>3942</v>
      </c>
      <c r="AD71" t="s">
        <v>213</v>
      </c>
      <c r="AF71" t="s">
        <v>4061</v>
      </c>
      <c r="AH71" t="s">
        <v>3510</v>
      </c>
      <c r="AJ71" t="s">
        <v>3942</v>
      </c>
      <c r="AL71" t="s">
        <v>4086</v>
      </c>
      <c r="AM71" t="s">
        <v>2230</v>
      </c>
      <c r="AN71" t="s">
        <v>4107</v>
      </c>
      <c r="AO71">
        <v>0</v>
      </c>
      <c r="AQ71">
        <v>16</v>
      </c>
      <c r="AS71" t="s">
        <v>4113</v>
      </c>
      <c r="AU71" t="s">
        <v>4131</v>
      </c>
      <c r="AV71" t="s">
        <v>4137</v>
      </c>
      <c r="AW71">
        <v>0</v>
      </c>
      <c r="AY71" t="s">
        <v>4140</v>
      </c>
      <c r="BA71" t="s">
        <v>4149</v>
      </c>
      <c r="BC71" t="s">
        <v>4155</v>
      </c>
      <c r="BE71" t="s">
        <v>4166</v>
      </c>
      <c r="BF71" t="s">
        <v>4281</v>
      </c>
      <c r="BG71" t="s">
        <v>4054</v>
      </c>
      <c r="BM71" t="s">
        <v>4627</v>
      </c>
    </row>
    <row r="72" spans="1:65">
      <c r="A72" s="1">
        <f>HYPERLINK("https://lsnyc.legalserver.org/matter/dynamic-profile/view/1907709","19-1907709")</f>
        <v>0</v>
      </c>
      <c r="B72" t="s">
        <v>71</v>
      </c>
      <c r="C72" t="s">
        <v>93</v>
      </c>
      <c r="D72" t="s">
        <v>147</v>
      </c>
      <c r="F72" t="s">
        <v>535</v>
      </c>
      <c r="G72" t="s">
        <v>1069</v>
      </c>
      <c r="H72" t="s">
        <v>1604</v>
      </c>
      <c r="I72" t="s">
        <v>1930</v>
      </c>
      <c r="J72" t="s">
        <v>2205</v>
      </c>
      <c r="K72">
        <v>11238</v>
      </c>
      <c r="N72" t="s">
        <v>2233</v>
      </c>
      <c r="O72" t="s">
        <v>2301</v>
      </c>
      <c r="Q72" t="s">
        <v>2982</v>
      </c>
      <c r="R72">
        <v>1</v>
      </c>
      <c r="S72">
        <v>1</v>
      </c>
      <c r="T72">
        <v>40.73</v>
      </c>
      <c r="W72">
        <v>6888</v>
      </c>
      <c r="Y72">
        <v>2.5</v>
      </c>
      <c r="Z72" t="s">
        <v>123</v>
      </c>
      <c r="AA72" t="s">
        <v>90</v>
      </c>
      <c r="AC72" t="s">
        <v>3942</v>
      </c>
      <c r="AD72" t="s">
        <v>147</v>
      </c>
      <c r="AF72" t="s">
        <v>4061</v>
      </c>
      <c r="AH72" t="s">
        <v>3510</v>
      </c>
      <c r="AJ72" t="s">
        <v>3943</v>
      </c>
      <c r="AL72" t="s">
        <v>4086</v>
      </c>
      <c r="AM72" t="s">
        <v>2230</v>
      </c>
      <c r="AO72">
        <v>1266.98</v>
      </c>
      <c r="AQ72">
        <v>16</v>
      </c>
      <c r="AS72" t="s">
        <v>4113</v>
      </c>
      <c r="AU72" t="s">
        <v>4131</v>
      </c>
      <c r="AV72" t="s">
        <v>4137</v>
      </c>
      <c r="AW72">
        <v>0</v>
      </c>
      <c r="AY72" t="s">
        <v>4140</v>
      </c>
      <c r="BA72" t="s">
        <v>4149</v>
      </c>
      <c r="BC72" t="s">
        <v>4156</v>
      </c>
      <c r="BE72" t="s">
        <v>4166</v>
      </c>
      <c r="BF72" t="s">
        <v>4281</v>
      </c>
      <c r="BG72" t="s">
        <v>4128</v>
      </c>
      <c r="BM72" t="s">
        <v>4627</v>
      </c>
    </row>
    <row r="73" spans="1:65">
      <c r="A73" s="1">
        <f>HYPERLINK("https://lsnyc.legalserver.org/matter/dynamic-profile/view/1913594","19-1913594")</f>
        <v>0</v>
      </c>
      <c r="B73" t="s">
        <v>71</v>
      </c>
      <c r="C73" t="s">
        <v>93</v>
      </c>
      <c r="D73" t="s">
        <v>98</v>
      </c>
      <c r="F73" t="s">
        <v>535</v>
      </c>
      <c r="G73" t="s">
        <v>1069</v>
      </c>
      <c r="H73" t="s">
        <v>1604</v>
      </c>
      <c r="I73" t="s">
        <v>1930</v>
      </c>
      <c r="J73" t="s">
        <v>2205</v>
      </c>
      <c r="K73">
        <v>11238</v>
      </c>
      <c r="N73" t="s">
        <v>2233</v>
      </c>
      <c r="O73" t="s">
        <v>2301</v>
      </c>
      <c r="Q73" t="s">
        <v>2982</v>
      </c>
      <c r="R73">
        <v>1</v>
      </c>
      <c r="S73">
        <v>1</v>
      </c>
      <c r="T73">
        <v>40.73</v>
      </c>
      <c r="W73">
        <v>6888</v>
      </c>
      <c r="X73" t="s">
        <v>3479</v>
      </c>
      <c r="Y73">
        <v>0</v>
      </c>
      <c r="AA73" t="s">
        <v>70</v>
      </c>
      <c r="AC73" t="s">
        <v>3942</v>
      </c>
      <c r="AD73" t="s">
        <v>3958</v>
      </c>
      <c r="AF73" t="s">
        <v>4058</v>
      </c>
      <c r="AH73" t="s">
        <v>4076</v>
      </c>
      <c r="AJ73" t="s">
        <v>3942</v>
      </c>
      <c r="AL73" t="s">
        <v>4086</v>
      </c>
      <c r="AM73" t="s">
        <v>2230</v>
      </c>
      <c r="AN73" t="s">
        <v>4107</v>
      </c>
      <c r="AO73">
        <v>0</v>
      </c>
      <c r="AQ73">
        <v>16</v>
      </c>
      <c r="AS73" t="s">
        <v>4113</v>
      </c>
      <c r="AU73" t="s">
        <v>4131</v>
      </c>
      <c r="AV73" t="s">
        <v>4137</v>
      </c>
      <c r="AW73">
        <v>0</v>
      </c>
      <c r="AY73" t="s">
        <v>4140</v>
      </c>
      <c r="BA73" t="s">
        <v>4149</v>
      </c>
      <c r="BC73" t="s">
        <v>4155</v>
      </c>
      <c r="BE73" t="s">
        <v>4166</v>
      </c>
      <c r="BF73" t="s">
        <v>4281</v>
      </c>
      <c r="BM73" t="s">
        <v>4627</v>
      </c>
    </row>
    <row r="74" spans="1:65">
      <c r="A74" s="1">
        <f>HYPERLINK("https://lsnyc.legalserver.org/matter/dynamic-profile/view/1913589","19-1913589")</f>
        <v>0</v>
      </c>
      <c r="B74" t="s">
        <v>71</v>
      </c>
      <c r="C74" t="s">
        <v>93</v>
      </c>
      <c r="D74" t="s">
        <v>98</v>
      </c>
      <c r="F74" t="s">
        <v>535</v>
      </c>
      <c r="G74" t="s">
        <v>1069</v>
      </c>
      <c r="H74" t="s">
        <v>1604</v>
      </c>
      <c r="I74" t="s">
        <v>1930</v>
      </c>
      <c r="J74" t="s">
        <v>2205</v>
      </c>
      <c r="K74">
        <v>11238</v>
      </c>
      <c r="N74" t="s">
        <v>2233</v>
      </c>
      <c r="O74" t="s">
        <v>2301</v>
      </c>
      <c r="Q74" t="s">
        <v>2982</v>
      </c>
      <c r="R74">
        <v>1</v>
      </c>
      <c r="S74">
        <v>1</v>
      </c>
      <c r="T74">
        <v>40.73</v>
      </c>
      <c r="W74">
        <v>6888</v>
      </c>
      <c r="X74" t="s">
        <v>3480</v>
      </c>
      <c r="Y74">
        <v>0</v>
      </c>
      <c r="AA74" t="s">
        <v>70</v>
      </c>
      <c r="AC74" t="s">
        <v>3942</v>
      </c>
      <c r="AD74" t="s">
        <v>3958</v>
      </c>
      <c r="AF74" t="s">
        <v>4059</v>
      </c>
      <c r="AH74" t="s">
        <v>4078</v>
      </c>
      <c r="AJ74" t="s">
        <v>3942</v>
      </c>
      <c r="AL74" t="s">
        <v>4086</v>
      </c>
      <c r="AM74" t="s">
        <v>2230</v>
      </c>
      <c r="AN74" t="s">
        <v>4107</v>
      </c>
      <c r="AO74">
        <v>0</v>
      </c>
      <c r="AQ74">
        <v>16</v>
      </c>
      <c r="AS74" t="s">
        <v>4113</v>
      </c>
      <c r="AU74" t="s">
        <v>4131</v>
      </c>
      <c r="AV74" t="s">
        <v>4137</v>
      </c>
      <c r="AW74">
        <v>0</v>
      </c>
      <c r="AY74" t="s">
        <v>4140</v>
      </c>
      <c r="BA74" t="s">
        <v>4149</v>
      </c>
      <c r="BC74" t="s">
        <v>4155</v>
      </c>
      <c r="BE74" t="s">
        <v>4166</v>
      </c>
      <c r="BF74" t="s">
        <v>4281</v>
      </c>
      <c r="BG74" t="s">
        <v>4159</v>
      </c>
      <c r="BM74" t="s">
        <v>4627</v>
      </c>
    </row>
    <row r="75" spans="1:65">
      <c r="A75" s="1">
        <f>HYPERLINK("https://lsnyc.legalserver.org/matter/dynamic-profile/view/1882194","18-1882194")</f>
        <v>0</v>
      </c>
      <c r="B75" t="s">
        <v>71</v>
      </c>
      <c r="C75" t="s">
        <v>93</v>
      </c>
      <c r="D75" t="s">
        <v>141</v>
      </c>
      <c r="F75" t="s">
        <v>536</v>
      </c>
      <c r="G75" t="s">
        <v>1070</v>
      </c>
      <c r="H75" t="s">
        <v>1600</v>
      </c>
      <c r="I75" t="s">
        <v>1929</v>
      </c>
      <c r="J75" t="s">
        <v>2205</v>
      </c>
      <c r="K75">
        <v>11233</v>
      </c>
      <c r="N75" t="s">
        <v>2233</v>
      </c>
      <c r="O75" t="s">
        <v>2302</v>
      </c>
      <c r="Q75" t="s">
        <v>2983</v>
      </c>
      <c r="R75">
        <v>1</v>
      </c>
      <c r="S75">
        <v>0</v>
      </c>
      <c r="T75">
        <v>304.78</v>
      </c>
      <c r="U75" t="s">
        <v>117</v>
      </c>
      <c r="V75" t="s">
        <v>3458</v>
      </c>
      <c r="W75">
        <v>37000</v>
      </c>
      <c r="X75" t="s">
        <v>3481</v>
      </c>
      <c r="Y75">
        <v>92.59999999999999</v>
      </c>
      <c r="Z75" t="s">
        <v>360</v>
      </c>
      <c r="AA75" t="s">
        <v>90</v>
      </c>
      <c r="AC75" t="s">
        <v>3942</v>
      </c>
      <c r="AD75" t="s">
        <v>3959</v>
      </c>
      <c r="AF75" t="s">
        <v>4061</v>
      </c>
      <c r="AH75" t="s">
        <v>3510</v>
      </c>
      <c r="AJ75" t="s">
        <v>3942</v>
      </c>
      <c r="AL75" t="s">
        <v>4086</v>
      </c>
      <c r="AM75" t="s">
        <v>2230</v>
      </c>
      <c r="AO75">
        <v>623</v>
      </c>
      <c r="AQ75">
        <v>6</v>
      </c>
      <c r="AS75" t="s">
        <v>4113</v>
      </c>
      <c r="AU75" t="s">
        <v>4128</v>
      </c>
      <c r="AW75">
        <v>38</v>
      </c>
      <c r="AY75" t="s">
        <v>4140</v>
      </c>
      <c r="BA75" t="s">
        <v>4149</v>
      </c>
      <c r="BB75" t="s">
        <v>4154</v>
      </c>
      <c r="BE75" t="s">
        <v>4128</v>
      </c>
      <c r="BF75" t="s">
        <v>4281</v>
      </c>
      <c r="BG75" t="s">
        <v>4054</v>
      </c>
      <c r="BM75" t="s">
        <v>4627</v>
      </c>
    </row>
    <row r="76" spans="1:65">
      <c r="A76" s="1">
        <f>HYPERLINK("https://lsnyc.legalserver.org/matter/dynamic-profile/view/1913595","19-1913595")</f>
        <v>0</v>
      </c>
      <c r="B76" t="s">
        <v>71</v>
      </c>
      <c r="C76" t="s">
        <v>93</v>
      </c>
      <c r="D76" t="s">
        <v>98</v>
      </c>
      <c r="F76" t="s">
        <v>537</v>
      </c>
      <c r="G76" t="s">
        <v>1071</v>
      </c>
      <c r="H76" t="s">
        <v>1604</v>
      </c>
      <c r="I76" t="s">
        <v>1948</v>
      </c>
      <c r="J76" t="s">
        <v>2205</v>
      </c>
      <c r="K76">
        <v>11238</v>
      </c>
      <c r="N76" t="s">
        <v>2233</v>
      </c>
      <c r="O76" t="s">
        <v>2303</v>
      </c>
      <c r="Q76" t="s">
        <v>2984</v>
      </c>
      <c r="R76">
        <v>2</v>
      </c>
      <c r="S76">
        <v>0</v>
      </c>
      <c r="T76">
        <v>413.96</v>
      </c>
      <c r="W76">
        <v>70000</v>
      </c>
      <c r="X76" t="s">
        <v>3482</v>
      </c>
      <c r="Y76">
        <v>0</v>
      </c>
      <c r="AA76" t="s">
        <v>70</v>
      </c>
      <c r="AC76" t="s">
        <v>3942</v>
      </c>
      <c r="AD76" t="s">
        <v>358</v>
      </c>
      <c r="AF76" t="s">
        <v>4061</v>
      </c>
      <c r="AH76" t="s">
        <v>3510</v>
      </c>
      <c r="AJ76" t="s">
        <v>3942</v>
      </c>
      <c r="AL76" t="s">
        <v>4070</v>
      </c>
      <c r="AM76" t="s">
        <v>2230</v>
      </c>
      <c r="AO76">
        <v>1048.29</v>
      </c>
      <c r="AQ76">
        <v>16</v>
      </c>
      <c r="AS76" t="s">
        <v>4113</v>
      </c>
      <c r="AU76" t="s">
        <v>4128</v>
      </c>
      <c r="AV76" t="s">
        <v>4137</v>
      </c>
      <c r="AW76">
        <v>0</v>
      </c>
      <c r="AY76" t="s">
        <v>4140</v>
      </c>
      <c r="BA76" t="s">
        <v>4149</v>
      </c>
      <c r="BC76" t="s">
        <v>4155</v>
      </c>
      <c r="BE76" t="s">
        <v>4128</v>
      </c>
      <c r="BF76" t="s">
        <v>4281</v>
      </c>
      <c r="BG76" t="s">
        <v>4054</v>
      </c>
      <c r="BM76" t="s">
        <v>4627</v>
      </c>
    </row>
    <row r="77" spans="1:65">
      <c r="A77" s="1">
        <f>HYPERLINK("https://lsnyc.legalserver.org/matter/dynamic-profile/view/1903977","19-1903977")</f>
        <v>0</v>
      </c>
      <c r="B77" t="s">
        <v>71</v>
      </c>
      <c r="C77" t="s">
        <v>93</v>
      </c>
      <c r="D77" t="s">
        <v>148</v>
      </c>
      <c r="F77" t="s">
        <v>538</v>
      </c>
      <c r="G77" t="s">
        <v>1072</v>
      </c>
      <c r="H77" t="s">
        <v>1601</v>
      </c>
      <c r="I77" t="s">
        <v>1933</v>
      </c>
      <c r="J77" t="s">
        <v>2205</v>
      </c>
      <c r="K77">
        <v>11212</v>
      </c>
      <c r="N77" t="s">
        <v>2234</v>
      </c>
      <c r="O77" t="s">
        <v>2304</v>
      </c>
      <c r="P77" t="s">
        <v>2930</v>
      </c>
      <c r="R77">
        <v>3</v>
      </c>
      <c r="S77">
        <v>2</v>
      </c>
      <c r="T77">
        <v>34.47</v>
      </c>
      <c r="W77">
        <v>10400</v>
      </c>
      <c r="Y77">
        <v>18.5</v>
      </c>
      <c r="Z77" t="s">
        <v>340</v>
      </c>
      <c r="AA77" t="s">
        <v>90</v>
      </c>
      <c r="AC77" t="s">
        <v>3942</v>
      </c>
      <c r="AD77" t="s">
        <v>163</v>
      </c>
      <c r="AF77" t="s">
        <v>4052</v>
      </c>
      <c r="AH77" t="s">
        <v>4077</v>
      </c>
      <c r="AJ77" t="s">
        <v>3942</v>
      </c>
      <c r="AL77" t="s">
        <v>4089</v>
      </c>
      <c r="AM77" t="s">
        <v>2230</v>
      </c>
      <c r="AO77">
        <v>588.1799999999999</v>
      </c>
      <c r="AQ77">
        <v>8</v>
      </c>
      <c r="AS77" t="s">
        <v>4113</v>
      </c>
      <c r="AU77" t="s">
        <v>4128</v>
      </c>
      <c r="AW77">
        <v>15</v>
      </c>
      <c r="AY77" t="s">
        <v>4142</v>
      </c>
      <c r="BA77" t="s">
        <v>4149</v>
      </c>
      <c r="BC77" t="s">
        <v>4155</v>
      </c>
      <c r="BE77" t="s">
        <v>4117</v>
      </c>
      <c r="BF77" t="s">
        <v>4281</v>
      </c>
      <c r="BG77" t="s">
        <v>4318</v>
      </c>
      <c r="BM77" t="s">
        <v>4627</v>
      </c>
    </row>
    <row r="78" spans="1:65">
      <c r="A78" s="1">
        <f>HYPERLINK("https://lsnyc.legalserver.org/matter/dynamic-profile/view/1911874","19-1911874")</f>
        <v>0</v>
      </c>
      <c r="B78" t="s">
        <v>71</v>
      </c>
      <c r="C78" t="s">
        <v>93</v>
      </c>
      <c r="D78" t="s">
        <v>149</v>
      </c>
      <c r="F78" t="s">
        <v>537</v>
      </c>
      <c r="G78" t="s">
        <v>1071</v>
      </c>
      <c r="H78" t="s">
        <v>1604</v>
      </c>
      <c r="I78" t="s">
        <v>1948</v>
      </c>
      <c r="J78" t="s">
        <v>2205</v>
      </c>
      <c r="K78">
        <v>11238</v>
      </c>
      <c r="N78" t="s">
        <v>2233</v>
      </c>
      <c r="O78" t="s">
        <v>2303</v>
      </c>
      <c r="Q78" t="s">
        <v>2984</v>
      </c>
      <c r="R78">
        <v>2</v>
      </c>
      <c r="S78">
        <v>0</v>
      </c>
      <c r="T78">
        <v>413.96</v>
      </c>
      <c r="W78">
        <v>70000</v>
      </c>
      <c r="X78" t="s">
        <v>3483</v>
      </c>
      <c r="Y78">
        <v>5.4</v>
      </c>
      <c r="Z78" t="s">
        <v>357</v>
      </c>
      <c r="AA78" t="s">
        <v>90</v>
      </c>
      <c r="AC78" t="s">
        <v>3942</v>
      </c>
      <c r="AD78" t="s">
        <v>192</v>
      </c>
      <c r="AF78" t="s">
        <v>4053</v>
      </c>
      <c r="AH78" t="s">
        <v>4076</v>
      </c>
      <c r="AJ78" t="s">
        <v>3943</v>
      </c>
      <c r="AK78" t="s">
        <v>4084</v>
      </c>
      <c r="AM78" t="s">
        <v>2230</v>
      </c>
      <c r="AO78">
        <v>1048.29</v>
      </c>
      <c r="AQ78">
        <v>16</v>
      </c>
      <c r="AS78" t="s">
        <v>4113</v>
      </c>
      <c r="AU78" t="s">
        <v>4128</v>
      </c>
      <c r="AV78" t="s">
        <v>4137</v>
      </c>
      <c r="AW78">
        <v>0</v>
      </c>
      <c r="AY78" t="s">
        <v>4140</v>
      </c>
      <c r="BA78" t="s">
        <v>4149</v>
      </c>
      <c r="BC78" t="s">
        <v>4155</v>
      </c>
      <c r="BE78" t="s">
        <v>4128</v>
      </c>
      <c r="BG78" t="s">
        <v>4319</v>
      </c>
      <c r="BM78" t="s">
        <v>4627</v>
      </c>
    </row>
    <row r="79" spans="1:65">
      <c r="A79" s="1">
        <f>HYPERLINK("https://lsnyc.legalserver.org/matter/dynamic-profile/view/1903936","19-1903936")</f>
        <v>0</v>
      </c>
      <c r="B79" t="s">
        <v>71</v>
      </c>
      <c r="C79" t="s">
        <v>93</v>
      </c>
      <c r="D79" t="s">
        <v>127</v>
      </c>
      <c r="F79" t="s">
        <v>538</v>
      </c>
      <c r="G79" t="s">
        <v>1072</v>
      </c>
      <c r="H79" t="s">
        <v>1601</v>
      </c>
      <c r="I79" t="s">
        <v>1933</v>
      </c>
      <c r="J79" t="s">
        <v>2205</v>
      </c>
      <c r="K79">
        <v>11212</v>
      </c>
      <c r="N79" t="s">
        <v>2233</v>
      </c>
      <c r="O79" t="s">
        <v>2304</v>
      </c>
      <c r="P79" t="s">
        <v>2930</v>
      </c>
      <c r="R79">
        <v>3</v>
      </c>
      <c r="S79">
        <v>2</v>
      </c>
      <c r="T79">
        <v>34.47</v>
      </c>
      <c r="W79">
        <v>10400</v>
      </c>
      <c r="Y79">
        <v>49.8</v>
      </c>
      <c r="Z79" t="s">
        <v>122</v>
      </c>
      <c r="AA79" t="s">
        <v>90</v>
      </c>
      <c r="AC79" t="s">
        <v>3942</v>
      </c>
      <c r="AD79" t="s">
        <v>474</v>
      </c>
      <c r="AF79" t="s">
        <v>4053</v>
      </c>
      <c r="AH79" t="s">
        <v>4076</v>
      </c>
      <c r="AJ79" t="s">
        <v>3943</v>
      </c>
      <c r="AK79" t="s">
        <v>4084</v>
      </c>
      <c r="AM79" t="s">
        <v>2230</v>
      </c>
      <c r="AN79" t="s">
        <v>4107</v>
      </c>
      <c r="AO79">
        <v>0</v>
      </c>
      <c r="AP79" t="s">
        <v>4108</v>
      </c>
      <c r="AQ79" t="s">
        <v>4110</v>
      </c>
      <c r="AS79" t="s">
        <v>4113</v>
      </c>
      <c r="AU79" t="s">
        <v>4128</v>
      </c>
      <c r="AV79" t="s">
        <v>4137</v>
      </c>
      <c r="AW79">
        <v>0</v>
      </c>
      <c r="AY79" t="s">
        <v>4142</v>
      </c>
      <c r="BA79" t="s">
        <v>4149</v>
      </c>
      <c r="BC79" t="s">
        <v>4155</v>
      </c>
      <c r="BE79" t="s">
        <v>4117</v>
      </c>
      <c r="BG79" t="s">
        <v>4320</v>
      </c>
      <c r="BM79" t="s">
        <v>4627</v>
      </c>
    </row>
    <row r="80" spans="1:65">
      <c r="A80" s="1">
        <f>HYPERLINK("https://lsnyc.legalserver.org/matter/dynamic-profile/view/1905837","19-1905837")</f>
        <v>0</v>
      </c>
      <c r="B80" t="s">
        <v>71</v>
      </c>
      <c r="C80" t="s">
        <v>93</v>
      </c>
      <c r="D80" t="s">
        <v>142</v>
      </c>
      <c r="F80" t="s">
        <v>538</v>
      </c>
      <c r="G80" t="s">
        <v>1072</v>
      </c>
      <c r="H80" t="s">
        <v>1601</v>
      </c>
      <c r="I80" t="s">
        <v>1933</v>
      </c>
      <c r="J80" t="s">
        <v>2205</v>
      </c>
      <c r="K80">
        <v>11212</v>
      </c>
      <c r="N80" t="s">
        <v>2236</v>
      </c>
      <c r="O80" t="s">
        <v>2304</v>
      </c>
      <c r="P80" t="s">
        <v>2930</v>
      </c>
      <c r="R80">
        <v>3</v>
      </c>
      <c r="S80">
        <v>2</v>
      </c>
      <c r="T80">
        <v>34.47</v>
      </c>
      <c r="W80">
        <v>10400</v>
      </c>
      <c r="Y80">
        <v>0</v>
      </c>
      <c r="AA80" t="s">
        <v>90</v>
      </c>
      <c r="AC80" t="s">
        <v>3942</v>
      </c>
      <c r="AD80" t="s">
        <v>404</v>
      </c>
      <c r="AF80" t="s">
        <v>4062</v>
      </c>
      <c r="AH80" t="s">
        <v>3510</v>
      </c>
      <c r="AJ80" t="s">
        <v>3942</v>
      </c>
      <c r="AL80" t="s">
        <v>4086</v>
      </c>
      <c r="AM80" t="s">
        <v>2230</v>
      </c>
      <c r="AN80" t="s">
        <v>4107</v>
      </c>
      <c r="AO80">
        <v>0</v>
      </c>
      <c r="AQ80">
        <v>8</v>
      </c>
      <c r="AS80" t="s">
        <v>4113</v>
      </c>
      <c r="AU80" t="s">
        <v>4128</v>
      </c>
      <c r="AV80" t="s">
        <v>4137</v>
      </c>
      <c r="AW80">
        <v>0</v>
      </c>
      <c r="AY80" t="s">
        <v>4142</v>
      </c>
      <c r="BA80" t="s">
        <v>4149</v>
      </c>
      <c r="BC80" t="s">
        <v>4155</v>
      </c>
      <c r="BE80" t="s">
        <v>4159</v>
      </c>
      <c r="BG80" t="s">
        <v>4321</v>
      </c>
      <c r="BM80" t="s">
        <v>4627</v>
      </c>
    </row>
    <row r="81" spans="1:65">
      <c r="A81" s="1">
        <f>HYPERLINK("https://lsnyc.legalserver.org/matter/dynamic-profile/view/1875383","18-1875383")</f>
        <v>0</v>
      </c>
      <c r="B81" t="s">
        <v>71</v>
      </c>
      <c r="C81" t="s">
        <v>93</v>
      </c>
      <c r="D81" t="s">
        <v>150</v>
      </c>
      <c r="E81" t="s">
        <v>134</v>
      </c>
      <c r="F81" t="s">
        <v>530</v>
      </c>
      <c r="G81" t="s">
        <v>1064</v>
      </c>
      <c r="H81" t="s">
        <v>1600</v>
      </c>
      <c r="I81" t="s">
        <v>1945</v>
      </c>
      <c r="J81" t="s">
        <v>2205</v>
      </c>
      <c r="K81">
        <v>11233</v>
      </c>
      <c r="L81" t="s">
        <v>2223</v>
      </c>
      <c r="N81" t="s">
        <v>2233</v>
      </c>
      <c r="O81" t="s">
        <v>2296</v>
      </c>
      <c r="Q81" t="s">
        <v>2978</v>
      </c>
      <c r="R81">
        <v>1</v>
      </c>
      <c r="S81">
        <v>0</v>
      </c>
      <c r="T81">
        <v>234.3</v>
      </c>
      <c r="W81">
        <v>28444</v>
      </c>
      <c r="Y81">
        <v>7.3</v>
      </c>
      <c r="Z81" t="s">
        <v>107</v>
      </c>
      <c r="AA81" t="s">
        <v>90</v>
      </c>
      <c r="AC81" t="s">
        <v>3942</v>
      </c>
      <c r="AD81" t="s">
        <v>370</v>
      </c>
      <c r="AF81" t="s">
        <v>4050</v>
      </c>
      <c r="AH81" t="s">
        <v>4076</v>
      </c>
      <c r="AJ81" t="s">
        <v>3942</v>
      </c>
      <c r="AL81" t="s">
        <v>4092</v>
      </c>
      <c r="AM81" t="s">
        <v>2230</v>
      </c>
      <c r="AO81">
        <v>1328</v>
      </c>
      <c r="AQ81">
        <v>6</v>
      </c>
      <c r="AS81" t="s">
        <v>4113</v>
      </c>
      <c r="AU81" t="s">
        <v>4128</v>
      </c>
      <c r="AW81">
        <v>5</v>
      </c>
      <c r="AY81" t="s">
        <v>4140</v>
      </c>
      <c r="BA81" t="s">
        <v>4149</v>
      </c>
      <c r="BC81" t="s">
        <v>4155</v>
      </c>
      <c r="BG81" t="s">
        <v>4322</v>
      </c>
      <c r="BH81" t="s">
        <v>4619</v>
      </c>
      <c r="BJ81" t="s">
        <v>4622</v>
      </c>
      <c r="BL81" t="s">
        <v>4626</v>
      </c>
      <c r="BM81" t="s">
        <v>4628</v>
      </c>
    </row>
    <row r="82" spans="1:65">
      <c r="A82" s="1">
        <f>HYPERLINK("https://lsnyc.legalserver.org/matter/dynamic-profile/view/1909241","19-1909241")</f>
        <v>0</v>
      </c>
      <c r="B82" t="s">
        <v>71</v>
      </c>
      <c r="C82" t="s">
        <v>93</v>
      </c>
      <c r="D82" t="s">
        <v>151</v>
      </c>
      <c r="F82" t="s">
        <v>539</v>
      </c>
      <c r="G82" t="s">
        <v>1073</v>
      </c>
      <c r="H82" t="s">
        <v>1605</v>
      </c>
      <c r="I82" t="s">
        <v>1949</v>
      </c>
      <c r="J82" t="s">
        <v>2205</v>
      </c>
      <c r="K82">
        <v>11212</v>
      </c>
      <c r="N82" t="s">
        <v>2233</v>
      </c>
      <c r="O82" t="s">
        <v>2305</v>
      </c>
      <c r="Q82" t="s">
        <v>2985</v>
      </c>
      <c r="R82">
        <v>1</v>
      </c>
      <c r="S82">
        <v>0</v>
      </c>
      <c r="T82">
        <v>56.2</v>
      </c>
      <c r="W82">
        <v>7020</v>
      </c>
      <c r="Y82">
        <v>0</v>
      </c>
      <c r="AA82" t="s">
        <v>90</v>
      </c>
      <c r="AC82" t="s">
        <v>3942</v>
      </c>
      <c r="AD82" t="s">
        <v>3960</v>
      </c>
      <c r="AF82" t="s">
        <v>4054</v>
      </c>
      <c r="AH82" t="s">
        <v>3510</v>
      </c>
      <c r="AJ82" t="s">
        <v>3943</v>
      </c>
      <c r="AL82" t="s">
        <v>4087</v>
      </c>
      <c r="AM82" t="s">
        <v>2230</v>
      </c>
      <c r="AO82">
        <v>200</v>
      </c>
      <c r="AQ82">
        <v>96</v>
      </c>
      <c r="AS82" t="s">
        <v>4113</v>
      </c>
      <c r="AU82" t="s">
        <v>4128</v>
      </c>
      <c r="AW82">
        <v>4</v>
      </c>
      <c r="AY82" t="s">
        <v>4140</v>
      </c>
      <c r="BA82" t="s">
        <v>4149</v>
      </c>
      <c r="BC82" t="s">
        <v>4155</v>
      </c>
      <c r="BE82" t="s">
        <v>4162</v>
      </c>
      <c r="BF82" t="s">
        <v>4281</v>
      </c>
      <c r="BG82" t="s">
        <v>4159</v>
      </c>
      <c r="BM82" t="s">
        <v>4627</v>
      </c>
    </row>
    <row r="83" spans="1:65">
      <c r="A83" s="1">
        <f>HYPERLINK("https://lsnyc.legalserver.org/matter/dynamic-profile/view/1893448","19-1893448")</f>
        <v>0</v>
      </c>
      <c r="B83" t="s">
        <v>71</v>
      </c>
      <c r="C83" t="s">
        <v>93</v>
      </c>
      <c r="D83" t="s">
        <v>145</v>
      </c>
      <c r="F83" t="s">
        <v>540</v>
      </c>
      <c r="G83" t="s">
        <v>1074</v>
      </c>
      <c r="H83" t="s">
        <v>1603</v>
      </c>
      <c r="J83" t="s">
        <v>2205</v>
      </c>
      <c r="K83">
        <v>11208</v>
      </c>
      <c r="N83" t="s">
        <v>2233</v>
      </c>
      <c r="O83" t="s">
        <v>2306</v>
      </c>
      <c r="Q83" t="s">
        <v>2986</v>
      </c>
      <c r="R83">
        <v>2</v>
      </c>
      <c r="S83">
        <v>0</v>
      </c>
      <c r="T83">
        <v>215.26</v>
      </c>
      <c r="U83" t="s">
        <v>3446</v>
      </c>
      <c r="V83" t="s">
        <v>3458</v>
      </c>
      <c r="W83">
        <v>36400</v>
      </c>
      <c r="X83" t="s">
        <v>3484</v>
      </c>
      <c r="Y83">
        <v>0</v>
      </c>
      <c r="AA83" t="s">
        <v>90</v>
      </c>
      <c r="AC83" t="s">
        <v>3942</v>
      </c>
      <c r="AD83" t="s">
        <v>3957</v>
      </c>
      <c r="AF83" t="s">
        <v>4061</v>
      </c>
      <c r="AH83" t="s">
        <v>3510</v>
      </c>
      <c r="AJ83" t="s">
        <v>3942</v>
      </c>
      <c r="AK83" t="s">
        <v>4084</v>
      </c>
      <c r="AM83" t="s">
        <v>2230</v>
      </c>
      <c r="AN83" t="s">
        <v>4107</v>
      </c>
      <c r="AO83">
        <v>0</v>
      </c>
      <c r="AQ83">
        <v>9</v>
      </c>
      <c r="AR83" t="s">
        <v>4112</v>
      </c>
      <c r="AT83" t="s">
        <v>4127</v>
      </c>
      <c r="AV83" t="s">
        <v>4137</v>
      </c>
      <c r="AW83">
        <v>0</v>
      </c>
      <c r="AY83" t="s">
        <v>4140</v>
      </c>
      <c r="BA83" t="s">
        <v>4149</v>
      </c>
      <c r="BB83" t="s">
        <v>4154</v>
      </c>
      <c r="BF83" t="s">
        <v>4281</v>
      </c>
      <c r="BM83" t="s">
        <v>4627</v>
      </c>
    </row>
    <row r="84" spans="1:65">
      <c r="A84" s="1">
        <f>HYPERLINK("https://lsnyc.legalserver.org/matter/dynamic-profile/view/1913635","19-1913635")</f>
        <v>0</v>
      </c>
      <c r="B84" t="s">
        <v>71</v>
      </c>
      <c r="C84" t="s">
        <v>93</v>
      </c>
      <c r="D84" t="s">
        <v>98</v>
      </c>
      <c r="F84" t="s">
        <v>541</v>
      </c>
      <c r="G84" t="s">
        <v>1030</v>
      </c>
      <c r="H84" t="s">
        <v>1604</v>
      </c>
      <c r="I84" t="s">
        <v>1947</v>
      </c>
      <c r="J84" t="s">
        <v>2205</v>
      </c>
      <c r="K84">
        <v>11238</v>
      </c>
      <c r="N84" t="s">
        <v>2233</v>
      </c>
      <c r="O84" t="s">
        <v>2307</v>
      </c>
      <c r="Q84" t="s">
        <v>2987</v>
      </c>
      <c r="R84">
        <v>2</v>
      </c>
      <c r="S84">
        <v>2</v>
      </c>
      <c r="T84">
        <v>205.59</v>
      </c>
      <c r="W84">
        <v>52940</v>
      </c>
      <c r="X84" t="s">
        <v>3479</v>
      </c>
      <c r="Y84">
        <v>0</v>
      </c>
      <c r="AA84" t="s">
        <v>70</v>
      </c>
      <c r="AC84" t="s">
        <v>3942</v>
      </c>
      <c r="AD84" t="s">
        <v>3958</v>
      </c>
      <c r="AF84" t="s">
        <v>4058</v>
      </c>
      <c r="AH84" t="s">
        <v>4076</v>
      </c>
      <c r="AJ84" t="s">
        <v>3942</v>
      </c>
      <c r="AL84" t="s">
        <v>4070</v>
      </c>
      <c r="AM84" t="s">
        <v>2230</v>
      </c>
      <c r="AO84">
        <v>983.4400000000001</v>
      </c>
      <c r="AQ84">
        <v>16</v>
      </c>
      <c r="AS84" t="s">
        <v>4113</v>
      </c>
      <c r="AU84" t="s">
        <v>4128</v>
      </c>
      <c r="AW84">
        <v>13</v>
      </c>
      <c r="AY84" t="s">
        <v>4140</v>
      </c>
      <c r="BA84" t="s">
        <v>4149</v>
      </c>
      <c r="BC84" t="s">
        <v>4155</v>
      </c>
      <c r="BE84" t="s">
        <v>4128</v>
      </c>
      <c r="BF84" t="s">
        <v>4281</v>
      </c>
      <c r="BM84" t="s">
        <v>4627</v>
      </c>
    </row>
    <row r="85" spans="1:65">
      <c r="A85" s="1">
        <f>HYPERLINK("https://lsnyc.legalserver.org/matter/dynamic-profile/view/1846478","17-1846478")</f>
        <v>0</v>
      </c>
      <c r="B85" t="s">
        <v>71</v>
      </c>
      <c r="C85" t="s">
        <v>93</v>
      </c>
      <c r="D85" t="s">
        <v>152</v>
      </c>
      <c r="F85" t="s">
        <v>542</v>
      </c>
      <c r="G85" t="s">
        <v>1030</v>
      </c>
      <c r="H85" t="s">
        <v>1602</v>
      </c>
      <c r="I85" t="s">
        <v>1945</v>
      </c>
      <c r="J85" t="s">
        <v>2205</v>
      </c>
      <c r="K85">
        <v>11207</v>
      </c>
      <c r="N85" t="s">
        <v>2233</v>
      </c>
      <c r="O85" t="s">
        <v>2308</v>
      </c>
      <c r="Q85" t="s">
        <v>2988</v>
      </c>
      <c r="R85">
        <v>1</v>
      </c>
      <c r="S85">
        <v>0</v>
      </c>
      <c r="T85">
        <v>129.35</v>
      </c>
      <c r="W85">
        <v>15600</v>
      </c>
      <c r="Y85">
        <v>3.3</v>
      </c>
      <c r="Z85" t="s">
        <v>134</v>
      </c>
      <c r="AA85" t="s">
        <v>90</v>
      </c>
      <c r="AC85" t="s">
        <v>3942</v>
      </c>
      <c r="AD85" t="s">
        <v>3961</v>
      </c>
      <c r="AE85" t="s">
        <v>4049</v>
      </c>
      <c r="AH85" t="s">
        <v>4076</v>
      </c>
      <c r="AJ85" t="s">
        <v>3942</v>
      </c>
      <c r="AL85" t="s">
        <v>4086</v>
      </c>
      <c r="AM85" t="s">
        <v>2230</v>
      </c>
      <c r="AO85">
        <v>900</v>
      </c>
      <c r="AQ85">
        <v>7</v>
      </c>
      <c r="AS85" t="s">
        <v>4114</v>
      </c>
      <c r="AU85" t="s">
        <v>4130</v>
      </c>
      <c r="AV85" t="s">
        <v>4137</v>
      </c>
      <c r="AW85">
        <v>0</v>
      </c>
      <c r="AY85" t="s">
        <v>4140</v>
      </c>
      <c r="BB85" t="s">
        <v>4154</v>
      </c>
      <c r="BD85" t="s">
        <v>4157</v>
      </c>
      <c r="BE85" t="s">
        <v>4167</v>
      </c>
      <c r="BF85" t="s">
        <v>4281</v>
      </c>
      <c r="BM85" t="s">
        <v>4627</v>
      </c>
    </row>
    <row r="86" spans="1:65">
      <c r="A86" s="1">
        <f>HYPERLINK("https://lsnyc.legalserver.org/matter/dynamic-profile/view/1913598","19-1913598")</f>
        <v>0</v>
      </c>
      <c r="B86" t="s">
        <v>71</v>
      </c>
      <c r="C86" t="s">
        <v>93</v>
      </c>
      <c r="D86" t="s">
        <v>98</v>
      </c>
      <c r="F86" t="s">
        <v>537</v>
      </c>
      <c r="G86" t="s">
        <v>1071</v>
      </c>
      <c r="H86" t="s">
        <v>1604</v>
      </c>
      <c r="I86" t="s">
        <v>1948</v>
      </c>
      <c r="J86" t="s">
        <v>2205</v>
      </c>
      <c r="K86">
        <v>11238</v>
      </c>
      <c r="N86" t="s">
        <v>2233</v>
      </c>
      <c r="O86" t="s">
        <v>2303</v>
      </c>
      <c r="Q86" t="s">
        <v>2984</v>
      </c>
      <c r="R86">
        <v>2</v>
      </c>
      <c r="S86">
        <v>0</v>
      </c>
      <c r="T86">
        <v>4967.47</v>
      </c>
      <c r="W86">
        <v>840000</v>
      </c>
      <c r="Y86">
        <v>0</v>
      </c>
      <c r="AA86" t="s">
        <v>70</v>
      </c>
      <c r="AC86" t="s">
        <v>3942</v>
      </c>
      <c r="AD86" t="s">
        <v>3958</v>
      </c>
      <c r="AF86" t="s">
        <v>4059</v>
      </c>
      <c r="AH86" t="s">
        <v>4078</v>
      </c>
      <c r="AJ86" t="s">
        <v>3942</v>
      </c>
      <c r="AL86" t="s">
        <v>4070</v>
      </c>
      <c r="AM86" t="s">
        <v>2230</v>
      </c>
      <c r="AO86">
        <v>1048.29</v>
      </c>
      <c r="AQ86">
        <v>16</v>
      </c>
      <c r="AS86" t="s">
        <v>4113</v>
      </c>
      <c r="AU86" t="s">
        <v>4128</v>
      </c>
      <c r="AV86" t="s">
        <v>4137</v>
      </c>
      <c r="AW86">
        <v>0</v>
      </c>
      <c r="AY86" t="s">
        <v>4140</v>
      </c>
      <c r="BA86" t="s">
        <v>4149</v>
      </c>
      <c r="BC86" t="s">
        <v>4155</v>
      </c>
      <c r="BE86" t="s">
        <v>4128</v>
      </c>
      <c r="BF86" t="s">
        <v>4281</v>
      </c>
      <c r="BM86" t="s">
        <v>4627</v>
      </c>
    </row>
    <row r="87" spans="1:65">
      <c r="A87" s="1">
        <f>HYPERLINK("https://lsnyc.legalserver.org/matter/dynamic-profile/view/1895312","19-1895312")</f>
        <v>0</v>
      </c>
      <c r="B87" t="s">
        <v>71</v>
      </c>
      <c r="C87" t="s">
        <v>93</v>
      </c>
      <c r="D87" t="s">
        <v>99</v>
      </c>
      <c r="F87" t="s">
        <v>543</v>
      </c>
      <c r="G87" t="s">
        <v>1075</v>
      </c>
      <c r="H87" t="s">
        <v>1601</v>
      </c>
      <c r="I87" t="s">
        <v>1926</v>
      </c>
      <c r="J87" t="s">
        <v>2205</v>
      </c>
      <c r="K87">
        <v>11212</v>
      </c>
      <c r="N87" t="s">
        <v>2233</v>
      </c>
      <c r="O87" t="s">
        <v>2309</v>
      </c>
      <c r="Q87" t="s">
        <v>2989</v>
      </c>
      <c r="R87">
        <v>2</v>
      </c>
      <c r="S87">
        <v>0</v>
      </c>
      <c r="T87">
        <v>165.58</v>
      </c>
      <c r="W87">
        <v>28000</v>
      </c>
      <c r="X87" t="s">
        <v>3485</v>
      </c>
      <c r="Y87">
        <v>0</v>
      </c>
      <c r="AA87" t="s">
        <v>90</v>
      </c>
      <c r="AC87" t="s">
        <v>3942</v>
      </c>
      <c r="AD87" t="s">
        <v>99</v>
      </c>
      <c r="AF87" t="s">
        <v>4051</v>
      </c>
      <c r="AH87" t="s">
        <v>4076</v>
      </c>
      <c r="AJ87" t="s">
        <v>3942</v>
      </c>
      <c r="AL87" t="s">
        <v>4089</v>
      </c>
      <c r="AM87" t="s">
        <v>2230</v>
      </c>
      <c r="AO87">
        <v>625.95</v>
      </c>
      <c r="AQ87">
        <v>8</v>
      </c>
      <c r="AS87" t="s">
        <v>4113</v>
      </c>
      <c r="AU87" t="s">
        <v>4128</v>
      </c>
      <c r="AW87">
        <v>22</v>
      </c>
      <c r="AY87" t="s">
        <v>4140</v>
      </c>
      <c r="BB87" t="s">
        <v>4154</v>
      </c>
      <c r="BE87" t="s">
        <v>4159</v>
      </c>
      <c r="BG87" t="s">
        <v>4285</v>
      </c>
      <c r="BM87" t="s">
        <v>4627</v>
      </c>
    </row>
    <row r="88" spans="1:65">
      <c r="A88" s="1">
        <f>HYPERLINK("https://lsnyc.legalserver.org/matter/dynamic-profile/view/1903231","19-1903231")</f>
        <v>0</v>
      </c>
      <c r="B88" t="s">
        <v>71</v>
      </c>
      <c r="C88" t="s">
        <v>93</v>
      </c>
      <c r="D88" t="s">
        <v>153</v>
      </c>
      <c r="F88" t="s">
        <v>544</v>
      </c>
      <c r="G88" t="s">
        <v>1076</v>
      </c>
      <c r="H88" t="s">
        <v>1606</v>
      </c>
      <c r="I88" t="s">
        <v>1928</v>
      </c>
      <c r="J88" t="s">
        <v>2205</v>
      </c>
      <c r="K88">
        <v>11212</v>
      </c>
      <c r="N88" t="s">
        <v>2233</v>
      </c>
      <c r="O88" t="s">
        <v>2310</v>
      </c>
      <c r="Q88" t="s">
        <v>2990</v>
      </c>
      <c r="R88">
        <v>1</v>
      </c>
      <c r="S88">
        <v>0</v>
      </c>
      <c r="T88">
        <v>93.19</v>
      </c>
      <c r="W88">
        <v>11640</v>
      </c>
      <c r="Y88">
        <v>6.2</v>
      </c>
      <c r="Z88" t="s">
        <v>110</v>
      </c>
      <c r="AA88" t="s">
        <v>90</v>
      </c>
      <c r="AC88" t="s">
        <v>3942</v>
      </c>
      <c r="AD88" t="s">
        <v>182</v>
      </c>
      <c r="AF88" t="s">
        <v>4053</v>
      </c>
      <c r="AH88" t="s">
        <v>4076</v>
      </c>
      <c r="AJ88" t="s">
        <v>3942</v>
      </c>
      <c r="AK88" t="s">
        <v>4084</v>
      </c>
      <c r="AM88" t="s">
        <v>2230</v>
      </c>
      <c r="AN88" t="s">
        <v>4107</v>
      </c>
      <c r="AO88">
        <v>0</v>
      </c>
      <c r="AP88" t="s">
        <v>4108</v>
      </c>
      <c r="AQ88" t="s">
        <v>4110</v>
      </c>
      <c r="AS88" t="s">
        <v>4113</v>
      </c>
      <c r="AU88" t="s">
        <v>4128</v>
      </c>
      <c r="AV88" t="s">
        <v>4137</v>
      </c>
      <c r="AW88">
        <v>0</v>
      </c>
      <c r="AY88" t="s">
        <v>4140</v>
      </c>
      <c r="BA88" t="s">
        <v>4149</v>
      </c>
      <c r="BC88" t="s">
        <v>4155</v>
      </c>
      <c r="BE88" t="s">
        <v>4128</v>
      </c>
      <c r="BF88" t="s">
        <v>4281</v>
      </c>
      <c r="BG88" t="s">
        <v>4323</v>
      </c>
      <c r="BM88" t="s">
        <v>4627</v>
      </c>
    </row>
    <row r="89" spans="1:65">
      <c r="A89" s="1">
        <f>HYPERLINK("https://lsnyc.legalserver.org/matter/dynamic-profile/view/1882206","18-1882206")</f>
        <v>0</v>
      </c>
      <c r="B89" t="s">
        <v>71</v>
      </c>
      <c r="C89" t="s">
        <v>93</v>
      </c>
      <c r="D89" t="s">
        <v>141</v>
      </c>
      <c r="F89" t="s">
        <v>545</v>
      </c>
      <c r="G89" t="s">
        <v>1077</v>
      </c>
      <c r="H89" t="s">
        <v>1600</v>
      </c>
      <c r="I89" t="s">
        <v>1950</v>
      </c>
      <c r="J89" t="s">
        <v>2205</v>
      </c>
      <c r="K89">
        <v>11233</v>
      </c>
      <c r="N89" t="s">
        <v>2233</v>
      </c>
      <c r="O89" t="s">
        <v>2311</v>
      </c>
      <c r="Q89" t="s">
        <v>2991</v>
      </c>
      <c r="R89">
        <v>1</v>
      </c>
      <c r="S89">
        <v>2</v>
      </c>
      <c r="T89">
        <v>90.84</v>
      </c>
      <c r="W89">
        <v>18876</v>
      </c>
      <c r="X89" t="s">
        <v>3486</v>
      </c>
      <c r="Y89">
        <v>0</v>
      </c>
      <c r="AA89" t="s">
        <v>90</v>
      </c>
      <c r="AC89" t="s">
        <v>3942</v>
      </c>
      <c r="AD89" t="s">
        <v>3962</v>
      </c>
      <c r="AF89" t="s">
        <v>4061</v>
      </c>
      <c r="AH89" t="s">
        <v>4080</v>
      </c>
      <c r="AJ89" t="s">
        <v>3942</v>
      </c>
      <c r="AL89" t="s">
        <v>4086</v>
      </c>
      <c r="AM89" t="s">
        <v>2230</v>
      </c>
      <c r="AO89">
        <v>1300</v>
      </c>
      <c r="AQ89">
        <v>6</v>
      </c>
      <c r="AS89" t="s">
        <v>4113</v>
      </c>
      <c r="AU89" t="s">
        <v>4131</v>
      </c>
      <c r="AW89">
        <v>1</v>
      </c>
      <c r="AY89" t="s">
        <v>4070</v>
      </c>
      <c r="BA89" t="s">
        <v>4149</v>
      </c>
      <c r="BB89" t="s">
        <v>4154</v>
      </c>
      <c r="BE89" t="s">
        <v>4162</v>
      </c>
      <c r="BF89" t="s">
        <v>4281</v>
      </c>
      <c r="BG89" t="s">
        <v>4054</v>
      </c>
      <c r="BM89" t="s">
        <v>4627</v>
      </c>
    </row>
    <row r="90" spans="1:65">
      <c r="A90" s="1">
        <f>HYPERLINK("https://lsnyc.legalserver.org/matter/dynamic-profile/view/1905783","19-1905783")</f>
        <v>0</v>
      </c>
      <c r="B90" t="s">
        <v>71</v>
      </c>
      <c r="C90" t="s">
        <v>93</v>
      </c>
      <c r="D90" t="s">
        <v>154</v>
      </c>
      <c r="F90" t="s">
        <v>543</v>
      </c>
      <c r="G90" t="s">
        <v>1075</v>
      </c>
      <c r="H90" t="s">
        <v>1601</v>
      </c>
      <c r="I90" t="s">
        <v>1926</v>
      </c>
      <c r="J90" t="s">
        <v>2205</v>
      </c>
      <c r="K90">
        <v>11212</v>
      </c>
      <c r="N90" t="s">
        <v>2234</v>
      </c>
      <c r="O90" t="s">
        <v>2309</v>
      </c>
      <c r="Q90" t="s">
        <v>2989</v>
      </c>
      <c r="R90">
        <v>2</v>
      </c>
      <c r="S90">
        <v>0</v>
      </c>
      <c r="T90">
        <v>165.58</v>
      </c>
      <c r="W90">
        <v>28000</v>
      </c>
      <c r="X90" t="s">
        <v>3487</v>
      </c>
      <c r="Y90">
        <v>0</v>
      </c>
      <c r="AA90" t="s">
        <v>90</v>
      </c>
      <c r="AC90" t="s">
        <v>3942</v>
      </c>
      <c r="AD90" t="s">
        <v>99</v>
      </c>
      <c r="AF90" t="s">
        <v>4051</v>
      </c>
      <c r="AH90" t="s">
        <v>4076</v>
      </c>
      <c r="AJ90" t="s">
        <v>3942</v>
      </c>
      <c r="AL90" t="s">
        <v>4086</v>
      </c>
      <c r="AM90" t="s">
        <v>2230</v>
      </c>
      <c r="AO90">
        <v>625.95</v>
      </c>
      <c r="AQ90">
        <v>8</v>
      </c>
      <c r="AS90" t="s">
        <v>4113</v>
      </c>
      <c r="AU90" t="s">
        <v>4128</v>
      </c>
      <c r="AW90">
        <v>22</v>
      </c>
      <c r="AY90" t="s">
        <v>4140</v>
      </c>
      <c r="BA90" t="s">
        <v>4149</v>
      </c>
      <c r="BC90" t="s">
        <v>4155</v>
      </c>
      <c r="BE90" t="s">
        <v>4159</v>
      </c>
      <c r="BF90" t="s">
        <v>4281</v>
      </c>
      <c r="BG90" t="s">
        <v>4307</v>
      </c>
      <c r="BM90" t="s">
        <v>4627</v>
      </c>
    </row>
    <row r="91" spans="1:65">
      <c r="A91" s="1">
        <f>HYPERLINK("https://lsnyc.legalserver.org/matter/dynamic-profile/view/1885320","18-1885320")</f>
        <v>0</v>
      </c>
      <c r="B91" t="s">
        <v>71</v>
      </c>
      <c r="C91" t="s">
        <v>93</v>
      </c>
      <c r="D91" t="s">
        <v>155</v>
      </c>
      <c r="F91" t="s">
        <v>546</v>
      </c>
      <c r="G91" t="s">
        <v>1078</v>
      </c>
      <c r="H91" t="s">
        <v>1607</v>
      </c>
      <c r="I91" t="s">
        <v>1920</v>
      </c>
      <c r="J91" t="s">
        <v>2205</v>
      </c>
      <c r="K91">
        <v>11212</v>
      </c>
      <c r="N91" t="s">
        <v>2233</v>
      </c>
      <c r="O91" t="s">
        <v>2312</v>
      </c>
      <c r="Q91" t="s">
        <v>2992</v>
      </c>
      <c r="R91">
        <v>2</v>
      </c>
      <c r="S91">
        <v>0</v>
      </c>
      <c r="T91">
        <v>85.73999999999999</v>
      </c>
      <c r="W91">
        <v>14112</v>
      </c>
      <c r="Y91">
        <v>18.8</v>
      </c>
      <c r="Z91" t="s">
        <v>134</v>
      </c>
      <c r="AA91" t="s">
        <v>90</v>
      </c>
      <c r="AC91" t="s">
        <v>3942</v>
      </c>
      <c r="AD91" t="s">
        <v>155</v>
      </c>
      <c r="AF91" t="s">
        <v>4063</v>
      </c>
      <c r="AH91" t="s">
        <v>4076</v>
      </c>
      <c r="AJ91" t="s">
        <v>3942</v>
      </c>
      <c r="AK91" t="s">
        <v>4084</v>
      </c>
      <c r="AM91" t="s">
        <v>2230</v>
      </c>
      <c r="AN91" t="s">
        <v>4107</v>
      </c>
      <c r="AO91">
        <v>0</v>
      </c>
      <c r="AQ91">
        <v>36</v>
      </c>
      <c r="AR91" t="s">
        <v>4112</v>
      </c>
      <c r="AT91" t="s">
        <v>4127</v>
      </c>
      <c r="AV91" t="s">
        <v>4137</v>
      </c>
      <c r="AW91">
        <v>0</v>
      </c>
      <c r="AY91" t="s">
        <v>4140</v>
      </c>
      <c r="BB91" t="s">
        <v>4154</v>
      </c>
      <c r="BG91" t="s">
        <v>4324</v>
      </c>
      <c r="BM91" t="s">
        <v>4627</v>
      </c>
    </row>
    <row r="92" spans="1:65">
      <c r="A92" s="1">
        <f>HYPERLINK("https://lsnyc.legalserver.org/matter/dynamic-profile/view/1886583","18-1886583")</f>
        <v>0</v>
      </c>
      <c r="B92" t="s">
        <v>71</v>
      </c>
      <c r="C92" t="s">
        <v>93</v>
      </c>
      <c r="D92" t="s">
        <v>107</v>
      </c>
      <c r="F92" t="s">
        <v>547</v>
      </c>
      <c r="G92" t="s">
        <v>1079</v>
      </c>
      <c r="H92" t="s">
        <v>1608</v>
      </c>
      <c r="J92" t="s">
        <v>2206</v>
      </c>
      <c r="K92">
        <v>10453</v>
      </c>
      <c r="N92" t="s">
        <v>2233</v>
      </c>
      <c r="O92" t="s">
        <v>2313</v>
      </c>
      <c r="Q92" t="s">
        <v>2993</v>
      </c>
      <c r="R92">
        <v>1</v>
      </c>
      <c r="S92">
        <v>0</v>
      </c>
      <c r="T92">
        <v>82.64</v>
      </c>
      <c r="W92">
        <v>10032</v>
      </c>
      <c r="Y92">
        <v>16.8</v>
      </c>
      <c r="Z92" t="s">
        <v>215</v>
      </c>
      <c r="AA92" t="s">
        <v>70</v>
      </c>
      <c r="AC92" t="s">
        <v>3942</v>
      </c>
      <c r="AD92" t="s">
        <v>202</v>
      </c>
      <c r="AF92" t="s">
        <v>4063</v>
      </c>
      <c r="AH92" t="s">
        <v>4076</v>
      </c>
      <c r="AJ92" t="s">
        <v>3943</v>
      </c>
      <c r="AL92" t="s">
        <v>4070</v>
      </c>
      <c r="AM92" t="s">
        <v>2230</v>
      </c>
      <c r="AN92" t="s">
        <v>4107</v>
      </c>
      <c r="AO92">
        <v>0</v>
      </c>
      <c r="AQ92">
        <v>28</v>
      </c>
      <c r="AR92" t="s">
        <v>4112</v>
      </c>
      <c r="AU92" t="s">
        <v>4132</v>
      </c>
      <c r="AV92" t="s">
        <v>4137</v>
      </c>
      <c r="AW92">
        <v>0</v>
      </c>
      <c r="AY92" t="s">
        <v>4140</v>
      </c>
      <c r="BB92" t="s">
        <v>4154</v>
      </c>
      <c r="BG92" t="s">
        <v>4325</v>
      </c>
      <c r="BM92" t="s">
        <v>4627</v>
      </c>
    </row>
    <row r="93" spans="1:65">
      <c r="A93" s="1">
        <f>HYPERLINK("https://lsnyc.legalserver.org/matter/dynamic-profile/view/1882204","18-1882204")</f>
        <v>0</v>
      </c>
      <c r="B93" t="s">
        <v>71</v>
      </c>
      <c r="C93" t="s">
        <v>93</v>
      </c>
      <c r="D93" t="s">
        <v>141</v>
      </c>
      <c r="F93" t="s">
        <v>528</v>
      </c>
      <c r="G93" t="s">
        <v>1080</v>
      </c>
      <c r="H93" t="s">
        <v>1600</v>
      </c>
      <c r="I93" t="s">
        <v>1924</v>
      </c>
      <c r="J93" t="s">
        <v>2205</v>
      </c>
      <c r="K93">
        <v>11233</v>
      </c>
      <c r="N93" t="s">
        <v>2233</v>
      </c>
      <c r="O93" t="s">
        <v>2314</v>
      </c>
      <c r="Q93" t="s">
        <v>2994</v>
      </c>
      <c r="R93">
        <v>3</v>
      </c>
      <c r="S93">
        <v>4</v>
      </c>
      <c r="T93">
        <v>81.98</v>
      </c>
      <c r="W93">
        <v>31200</v>
      </c>
      <c r="X93" t="s">
        <v>3488</v>
      </c>
      <c r="Y93">
        <v>1.3</v>
      </c>
      <c r="Z93" t="s">
        <v>360</v>
      </c>
      <c r="AA93" t="s">
        <v>90</v>
      </c>
      <c r="AC93" t="s">
        <v>3942</v>
      </c>
      <c r="AD93" t="s">
        <v>3963</v>
      </c>
      <c r="AF93" t="s">
        <v>4061</v>
      </c>
      <c r="AH93" t="s">
        <v>3510</v>
      </c>
      <c r="AJ93" t="s">
        <v>3942</v>
      </c>
      <c r="AL93" t="s">
        <v>4086</v>
      </c>
      <c r="AM93" t="s">
        <v>2230</v>
      </c>
      <c r="AO93">
        <v>1290</v>
      </c>
      <c r="AQ93">
        <v>6</v>
      </c>
      <c r="AS93" t="s">
        <v>4113</v>
      </c>
      <c r="AU93" t="s">
        <v>4133</v>
      </c>
      <c r="AW93">
        <v>13</v>
      </c>
      <c r="AY93" t="s">
        <v>4140</v>
      </c>
      <c r="BA93" t="s">
        <v>4149</v>
      </c>
      <c r="BC93" t="s">
        <v>4155</v>
      </c>
      <c r="BE93" t="s">
        <v>4162</v>
      </c>
      <c r="BF93" t="s">
        <v>4281</v>
      </c>
      <c r="BG93" t="s">
        <v>4054</v>
      </c>
      <c r="BM93" t="s">
        <v>4627</v>
      </c>
    </row>
    <row r="94" spans="1:65">
      <c r="A94" s="1">
        <f>HYPERLINK("https://lsnyc.legalserver.org/matter/dynamic-profile/view/1915071","19-1915071")</f>
        <v>0</v>
      </c>
      <c r="B94" t="s">
        <v>71</v>
      </c>
      <c r="C94" t="s">
        <v>93</v>
      </c>
      <c r="D94" t="s">
        <v>156</v>
      </c>
      <c r="F94" t="s">
        <v>548</v>
      </c>
      <c r="G94" t="s">
        <v>1081</v>
      </c>
      <c r="H94" t="s">
        <v>1599</v>
      </c>
      <c r="I94" t="s">
        <v>1951</v>
      </c>
      <c r="J94" t="s">
        <v>2205</v>
      </c>
      <c r="K94">
        <v>11212</v>
      </c>
      <c r="N94" t="s">
        <v>2233</v>
      </c>
      <c r="O94" t="s">
        <v>2315</v>
      </c>
      <c r="Q94" t="s">
        <v>2995</v>
      </c>
      <c r="R94">
        <v>1</v>
      </c>
      <c r="S94">
        <v>0</v>
      </c>
      <c r="T94">
        <v>520.42</v>
      </c>
      <c r="W94">
        <v>65000</v>
      </c>
      <c r="X94" t="s">
        <v>3489</v>
      </c>
      <c r="Y94">
        <v>0</v>
      </c>
      <c r="AA94" t="s">
        <v>90</v>
      </c>
      <c r="AC94" t="s">
        <v>3942</v>
      </c>
      <c r="AD94" t="s">
        <v>116</v>
      </c>
      <c r="AF94" t="s">
        <v>4052</v>
      </c>
      <c r="AH94" t="s">
        <v>4077</v>
      </c>
      <c r="AJ94" t="s">
        <v>3942</v>
      </c>
      <c r="AL94" t="s">
        <v>4089</v>
      </c>
      <c r="AM94" t="s">
        <v>2230</v>
      </c>
      <c r="AO94">
        <v>789.73</v>
      </c>
      <c r="AQ94">
        <v>19</v>
      </c>
      <c r="AS94" t="s">
        <v>4113</v>
      </c>
      <c r="AU94" t="s">
        <v>4128</v>
      </c>
      <c r="AV94" t="s">
        <v>4137</v>
      </c>
      <c r="AW94">
        <v>0</v>
      </c>
      <c r="AY94" t="s">
        <v>4140</v>
      </c>
      <c r="BA94" t="s">
        <v>4149</v>
      </c>
      <c r="BC94" t="s">
        <v>4155</v>
      </c>
      <c r="BE94" t="s">
        <v>4159</v>
      </c>
      <c r="BF94" t="s">
        <v>4281</v>
      </c>
      <c r="BG94" t="s">
        <v>4318</v>
      </c>
      <c r="BM94" t="s">
        <v>4627</v>
      </c>
    </row>
    <row r="95" spans="1:65">
      <c r="A95" s="1">
        <f>HYPERLINK("https://lsnyc.legalserver.org/matter/dynamic-profile/view/1893451","19-1893451")</f>
        <v>0</v>
      </c>
      <c r="B95" t="s">
        <v>71</v>
      </c>
      <c r="C95" t="s">
        <v>93</v>
      </c>
      <c r="D95" t="s">
        <v>145</v>
      </c>
      <c r="E95" t="s">
        <v>134</v>
      </c>
      <c r="F95" t="s">
        <v>549</v>
      </c>
      <c r="G95" t="s">
        <v>1082</v>
      </c>
      <c r="H95" t="s">
        <v>1609</v>
      </c>
      <c r="J95" t="s">
        <v>2205</v>
      </c>
      <c r="K95">
        <v>11208</v>
      </c>
      <c r="L95" t="s">
        <v>2224</v>
      </c>
      <c r="N95" t="s">
        <v>2233</v>
      </c>
      <c r="O95" t="s">
        <v>2316</v>
      </c>
      <c r="P95" t="s">
        <v>2930</v>
      </c>
      <c r="R95">
        <v>1</v>
      </c>
      <c r="S95">
        <v>0</v>
      </c>
      <c r="T95">
        <v>81.67</v>
      </c>
      <c r="W95">
        <v>10200</v>
      </c>
      <c r="Y95">
        <v>0.5</v>
      </c>
      <c r="Z95" t="s">
        <v>252</v>
      </c>
      <c r="AA95" t="s">
        <v>70</v>
      </c>
      <c r="AC95" t="s">
        <v>3942</v>
      </c>
      <c r="AD95" t="s">
        <v>3957</v>
      </c>
      <c r="AF95" t="s">
        <v>4061</v>
      </c>
      <c r="AH95" t="s">
        <v>3510</v>
      </c>
      <c r="AJ95" t="s">
        <v>3942</v>
      </c>
      <c r="AK95" t="s">
        <v>4084</v>
      </c>
      <c r="AM95" t="s">
        <v>2230</v>
      </c>
      <c r="AN95" t="s">
        <v>4107</v>
      </c>
      <c r="AO95">
        <v>0</v>
      </c>
      <c r="AQ95">
        <v>9</v>
      </c>
      <c r="AR95" t="s">
        <v>4112</v>
      </c>
      <c r="AT95" t="s">
        <v>4127</v>
      </c>
      <c r="AV95" t="s">
        <v>4137</v>
      </c>
      <c r="AW95">
        <v>0</v>
      </c>
      <c r="AY95" t="s">
        <v>4140</v>
      </c>
      <c r="BB95" t="s">
        <v>4154</v>
      </c>
      <c r="BF95" t="s">
        <v>4281</v>
      </c>
      <c r="BM95" t="s">
        <v>4628</v>
      </c>
    </row>
    <row r="96" spans="1:65">
      <c r="A96" s="1">
        <f>HYPERLINK("https://lsnyc.legalserver.org/matter/dynamic-profile/view/1907759","19-1907759")</f>
        <v>0</v>
      </c>
      <c r="B96" t="s">
        <v>71</v>
      </c>
      <c r="C96" t="s">
        <v>93</v>
      </c>
      <c r="D96" t="s">
        <v>157</v>
      </c>
      <c r="F96" t="s">
        <v>550</v>
      </c>
      <c r="G96" t="s">
        <v>1083</v>
      </c>
      <c r="H96" t="s">
        <v>1605</v>
      </c>
      <c r="I96" t="s">
        <v>1952</v>
      </c>
      <c r="J96" t="s">
        <v>2205</v>
      </c>
      <c r="K96">
        <v>11212</v>
      </c>
      <c r="N96" t="s">
        <v>2233</v>
      </c>
      <c r="O96" t="s">
        <v>2317</v>
      </c>
      <c r="Q96" t="s">
        <v>2996</v>
      </c>
      <c r="R96">
        <v>1</v>
      </c>
      <c r="S96">
        <v>0</v>
      </c>
      <c r="T96">
        <v>80.7</v>
      </c>
      <c r="W96">
        <v>10080</v>
      </c>
      <c r="Y96">
        <v>119.7</v>
      </c>
      <c r="Z96" t="s">
        <v>340</v>
      </c>
      <c r="AA96" t="s">
        <v>70</v>
      </c>
      <c r="AC96" t="s">
        <v>3942</v>
      </c>
      <c r="AD96" t="s">
        <v>237</v>
      </c>
      <c r="AF96" t="s">
        <v>4061</v>
      </c>
      <c r="AH96" t="s">
        <v>3510</v>
      </c>
      <c r="AJ96" t="s">
        <v>3942</v>
      </c>
      <c r="AL96" t="s">
        <v>4087</v>
      </c>
      <c r="AM96" t="s">
        <v>2230</v>
      </c>
      <c r="AO96">
        <v>594.1799999999999</v>
      </c>
      <c r="AQ96">
        <v>96</v>
      </c>
      <c r="AS96" t="s">
        <v>4113</v>
      </c>
      <c r="AU96" t="s">
        <v>4134</v>
      </c>
      <c r="AW96">
        <v>35</v>
      </c>
      <c r="AY96" t="s">
        <v>4140</v>
      </c>
      <c r="BA96" t="s">
        <v>4149</v>
      </c>
      <c r="BC96" t="s">
        <v>4155</v>
      </c>
      <c r="BF96" t="s">
        <v>4281</v>
      </c>
      <c r="BG96" t="s">
        <v>4128</v>
      </c>
      <c r="BM96" t="s">
        <v>4627</v>
      </c>
    </row>
    <row r="97" spans="1:65">
      <c r="A97" s="1">
        <f>HYPERLINK("https://lsnyc.legalserver.org/matter/dynamic-profile/view/1895191","19-1895191")</f>
        <v>0</v>
      </c>
      <c r="B97" t="s">
        <v>71</v>
      </c>
      <c r="C97" t="s">
        <v>93</v>
      </c>
      <c r="D97" t="s">
        <v>158</v>
      </c>
      <c r="F97" t="s">
        <v>550</v>
      </c>
      <c r="G97" t="s">
        <v>1083</v>
      </c>
      <c r="H97" t="s">
        <v>1605</v>
      </c>
      <c r="I97" t="s">
        <v>1953</v>
      </c>
      <c r="J97" t="s">
        <v>2205</v>
      </c>
      <c r="K97">
        <v>11212</v>
      </c>
      <c r="N97" t="s">
        <v>2233</v>
      </c>
      <c r="O97" t="s">
        <v>2317</v>
      </c>
      <c r="Q97" t="s">
        <v>2996</v>
      </c>
      <c r="R97">
        <v>1</v>
      </c>
      <c r="S97">
        <v>0</v>
      </c>
      <c r="T97">
        <v>78.11</v>
      </c>
      <c r="W97">
        <v>9756</v>
      </c>
      <c r="Y97">
        <v>28.4</v>
      </c>
      <c r="Z97" t="s">
        <v>160</v>
      </c>
      <c r="AA97" t="s">
        <v>71</v>
      </c>
      <c r="AC97" t="s">
        <v>3942</v>
      </c>
      <c r="AD97" t="s">
        <v>158</v>
      </c>
      <c r="AF97" t="s">
        <v>4061</v>
      </c>
      <c r="AH97" t="s">
        <v>3510</v>
      </c>
      <c r="AJ97" t="s">
        <v>3942</v>
      </c>
      <c r="AK97" t="s">
        <v>4084</v>
      </c>
      <c r="AM97" t="s">
        <v>2230</v>
      </c>
      <c r="AN97" t="s">
        <v>4107</v>
      </c>
      <c r="AO97">
        <v>0</v>
      </c>
      <c r="AP97" t="s">
        <v>4108</v>
      </c>
      <c r="AQ97" t="s">
        <v>4110</v>
      </c>
      <c r="AR97" t="s">
        <v>4112</v>
      </c>
      <c r="AT97" t="s">
        <v>4127</v>
      </c>
      <c r="AV97" t="s">
        <v>4137</v>
      </c>
      <c r="AW97">
        <v>0</v>
      </c>
      <c r="AY97" t="s">
        <v>4140</v>
      </c>
      <c r="BB97" t="s">
        <v>4154</v>
      </c>
      <c r="BF97" t="s">
        <v>4281</v>
      </c>
      <c r="BM97" t="s">
        <v>4627</v>
      </c>
    </row>
    <row r="98" spans="1:65">
      <c r="A98" s="1">
        <f>HYPERLINK("https://lsnyc.legalserver.org/matter/dynamic-profile/view/1882209","18-1882209")</f>
        <v>0</v>
      </c>
      <c r="B98" t="s">
        <v>71</v>
      </c>
      <c r="C98" t="s">
        <v>93</v>
      </c>
      <c r="D98" t="s">
        <v>141</v>
      </c>
      <c r="F98" t="s">
        <v>551</v>
      </c>
      <c r="G98" t="s">
        <v>1064</v>
      </c>
      <c r="H98" t="s">
        <v>1600</v>
      </c>
      <c r="I98" t="s">
        <v>1927</v>
      </c>
      <c r="J98" t="s">
        <v>2205</v>
      </c>
      <c r="K98">
        <v>11233</v>
      </c>
      <c r="N98" t="s">
        <v>2233</v>
      </c>
      <c r="O98" t="s">
        <v>2318</v>
      </c>
      <c r="Q98" t="s">
        <v>2997</v>
      </c>
      <c r="R98">
        <v>1</v>
      </c>
      <c r="S98">
        <v>1</v>
      </c>
      <c r="T98">
        <v>172.67</v>
      </c>
      <c r="W98">
        <v>28422.12</v>
      </c>
      <c r="X98" t="s">
        <v>3490</v>
      </c>
      <c r="Y98">
        <v>1</v>
      </c>
      <c r="Z98" t="s">
        <v>298</v>
      </c>
      <c r="AA98" t="s">
        <v>90</v>
      </c>
      <c r="AC98" t="s">
        <v>3942</v>
      </c>
      <c r="AD98" t="s">
        <v>3839</v>
      </c>
      <c r="AF98" t="s">
        <v>4061</v>
      </c>
      <c r="AH98" t="s">
        <v>3510</v>
      </c>
      <c r="AJ98" t="s">
        <v>3942</v>
      </c>
      <c r="AL98" t="s">
        <v>4086</v>
      </c>
      <c r="AM98" t="s">
        <v>2230</v>
      </c>
      <c r="AO98">
        <v>1500</v>
      </c>
      <c r="AQ98">
        <v>6</v>
      </c>
      <c r="AS98" t="s">
        <v>4113</v>
      </c>
      <c r="AT98" t="s">
        <v>4127</v>
      </c>
      <c r="AW98">
        <v>1</v>
      </c>
      <c r="AY98" t="s">
        <v>4140</v>
      </c>
      <c r="BA98" t="s">
        <v>4149</v>
      </c>
      <c r="BB98" t="s">
        <v>4154</v>
      </c>
      <c r="BF98" t="s">
        <v>4281</v>
      </c>
      <c r="BM98" t="s">
        <v>4627</v>
      </c>
    </row>
    <row r="99" spans="1:65">
      <c r="A99" s="1">
        <f>HYPERLINK("https://lsnyc.legalserver.org/matter/dynamic-profile/view/1913628","19-1913628")</f>
        <v>0</v>
      </c>
      <c r="B99" t="s">
        <v>71</v>
      </c>
      <c r="C99" t="s">
        <v>93</v>
      </c>
      <c r="D99" t="s">
        <v>98</v>
      </c>
      <c r="F99" t="s">
        <v>541</v>
      </c>
      <c r="G99" t="s">
        <v>1030</v>
      </c>
      <c r="H99" t="s">
        <v>1604</v>
      </c>
      <c r="I99" t="s">
        <v>1947</v>
      </c>
      <c r="J99" t="s">
        <v>2205</v>
      </c>
      <c r="K99">
        <v>11238</v>
      </c>
      <c r="N99" t="s">
        <v>2233</v>
      </c>
      <c r="O99" t="s">
        <v>2307</v>
      </c>
      <c r="Q99" t="s">
        <v>2987</v>
      </c>
      <c r="R99">
        <v>2</v>
      </c>
      <c r="S99">
        <v>2</v>
      </c>
      <c r="T99">
        <v>182.52</v>
      </c>
      <c r="W99">
        <v>47000</v>
      </c>
      <c r="X99" t="s">
        <v>3480</v>
      </c>
      <c r="Y99">
        <v>0</v>
      </c>
      <c r="AA99" t="s">
        <v>70</v>
      </c>
      <c r="AC99" t="s">
        <v>3942</v>
      </c>
      <c r="AD99" t="s">
        <v>3958</v>
      </c>
      <c r="AF99" t="s">
        <v>4059</v>
      </c>
      <c r="AH99" t="s">
        <v>4078</v>
      </c>
      <c r="AJ99" t="s">
        <v>3942</v>
      </c>
      <c r="AL99" t="s">
        <v>4070</v>
      </c>
      <c r="AM99" t="s">
        <v>2230</v>
      </c>
      <c r="AO99">
        <v>983.4400000000001</v>
      </c>
      <c r="AQ99">
        <v>16</v>
      </c>
      <c r="AS99" t="s">
        <v>4113</v>
      </c>
      <c r="AU99" t="s">
        <v>4128</v>
      </c>
      <c r="AW99">
        <v>13</v>
      </c>
      <c r="AY99" t="s">
        <v>4140</v>
      </c>
      <c r="BA99" t="s">
        <v>4149</v>
      </c>
      <c r="BC99" t="s">
        <v>4155</v>
      </c>
      <c r="BE99" t="s">
        <v>4128</v>
      </c>
      <c r="BF99" t="s">
        <v>4281</v>
      </c>
      <c r="BM99" t="s">
        <v>4627</v>
      </c>
    </row>
    <row r="100" spans="1:65">
      <c r="A100" s="1">
        <f>HYPERLINK("https://lsnyc.legalserver.org/matter/dynamic-profile/view/1913622","19-1913622")</f>
        <v>0</v>
      </c>
      <c r="B100" t="s">
        <v>71</v>
      </c>
      <c r="C100" t="s">
        <v>93</v>
      </c>
      <c r="D100" t="s">
        <v>98</v>
      </c>
      <c r="F100" t="s">
        <v>541</v>
      </c>
      <c r="G100" t="s">
        <v>1030</v>
      </c>
      <c r="H100" t="s">
        <v>1604</v>
      </c>
      <c r="I100" t="s">
        <v>1947</v>
      </c>
      <c r="J100" t="s">
        <v>2205</v>
      </c>
      <c r="K100">
        <v>11238</v>
      </c>
      <c r="N100" t="s">
        <v>2233</v>
      </c>
      <c r="O100" t="s">
        <v>2307</v>
      </c>
      <c r="Q100" t="s">
        <v>2987</v>
      </c>
      <c r="R100">
        <v>2</v>
      </c>
      <c r="S100">
        <v>2</v>
      </c>
      <c r="T100">
        <v>182.52</v>
      </c>
      <c r="W100">
        <v>47000</v>
      </c>
      <c r="X100" t="s">
        <v>3482</v>
      </c>
      <c r="Y100">
        <v>0</v>
      </c>
      <c r="AA100" t="s">
        <v>70</v>
      </c>
      <c r="AC100" t="s">
        <v>3942</v>
      </c>
      <c r="AD100" t="s">
        <v>98</v>
      </c>
      <c r="AF100" t="s">
        <v>4061</v>
      </c>
      <c r="AH100" t="s">
        <v>3510</v>
      </c>
      <c r="AJ100" t="s">
        <v>3942</v>
      </c>
      <c r="AL100" t="s">
        <v>4070</v>
      </c>
      <c r="AM100" t="s">
        <v>2230</v>
      </c>
      <c r="AO100">
        <v>983.4400000000001</v>
      </c>
      <c r="AQ100">
        <v>16</v>
      </c>
      <c r="AS100" t="s">
        <v>4113</v>
      </c>
      <c r="AU100" t="s">
        <v>4128</v>
      </c>
      <c r="AW100">
        <v>13</v>
      </c>
      <c r="AY100" t="s">
        <v>4140</v>
      </c>
      <c r="BA100" t="s">
        <v>4149</v>
      </c>
      <c r="BC100" t="s">
        <v>4155</v>
      </c>
      <c r="BE100" t="s">
        <v>4128</v>
      </c>
      <c r="BF100" t="s">
        <v>4281</v>
      </c>
      <c r="BG100" t="s">
        <v>4054</v>
      </c>
      <c r="BM100" t="s">
        <v>4627</v>
      </c>
    </row>
    <row r="101" spans="1:65">
      <c r="A101" s="1">
        <f>HYPERLINK("https://lsnyc.legalserver.org/matter/dynamic-profile/view/1881667","18-1881667")</f>
        <v>0</v>
      </c>
      <c r="B101" t="s">
        <v>71</v>
      </c>
      <c r="C101" t="s">
        <v>93</v>
      </c>
      <c r="D101" t="s">
        <v>159</v>
      </c>
      <c r="F101" t="s">
        <v>484</v>
      </c>
      <c r="G101" t="s">
        <v>1084</v>
      </c>
      <c r="H101" t="s">
        <v>1610</v>
      </c>
      <c r="I101">
        <v>201</v>
      </c>
      <c r="J101" t="s">
        <v>2207</v>
      </c>
      <c r="K101">
        <v>10025</v>
      </c>
      <c r="N101" t="s">
        <v>2233</v>
      </c>
      <c r="O101" t="s">
        <v>2319</v>
      </c>
      <c r="Q101" t="s">
        <v>2998</v>
      </c>
      <c r="R101">
        <v>2</v>
      </c>
      <c r="S101">
        <v>0</v>
      </c>
      <c r="T101">
        <v>187.96</v>
      </c>
      <c r="V101" t="s">
        <v>3459</v>
      </c>
      <c r="W101">
        <v>30938</v>
      </c>
      <c r="X101" t="s">
        <v>3491</v>
      </c>
      <c r="Y101">
        <v>68.8</v>
      </c>
      <c r="Z101" t="s">
        <v>102</v>
      </c>
      <c r="AA101" t="s">
        <v>90</v>
      </c>
      <c r="AC101" t="s">
        <v>3942</v>
      </c>
      <c r="AD101" t="s">
        <v>472</v>
      </c>
      <c r="AF101" t="s">
        <v>4063</v>
      </c>
      <c r="AH101" t="s">
        <v>4076</v>
      </c>
      <c r="AJ101" t="s">
        <v>3942</v>
      </c>
      <c r="AL101" t="s">
        <v>4093</v>
      </c>
      <c r="AM101" t="s">
        <v>2230</v>
      </c>
      <c r="AN101" t="s">
        <v>4107</v>
      </c>
      <c r="AO101">
        <v>0</v>
      </c>
      <c r="AQ101">
        <v>24</v>
      </c>
      <c r="AS101" t="s">
        <v>4113</v>
      </c>
      <c r="AU101" t="s">
        <v>4132</v>
      </c>
      <c r="AV101" t="s">
        <v>4137</v>
      </c>
      <c r="AW101">
        <v>0</v>
      </c>
      <c r="AY101" t="s">
        <v>4140</v>
      </c>
      <c r="BA101" t="s">
        <v>4149</v>
      </c>
      <c r="BB101" t="s">
        <v>4154</v>
      </c>
      <c r="BG101" t="s">
        <v>4326</v>
      </c>
      <c r="BM101" t="s">
        <v>4627</v>
      </c>
    </row>
    <row r="102" spans="1:65">
      <c r="A102" s="1">
        <f>HYPERLINK("https://lsnyc.legalserver.org/matter/dynamic-profile/view/1887512","19-1887512")</f>
        <v>0</v>
      </c>
      <c r="B102" t="s">
        <v>71</v>
      </c>
      <c r="C102" t="s">
        <v>93</v>
      </c>
      <c r="D102" t="s">
        <v>115</v>
      </c>
      <c r="E102" t="s">
        <v>134</v>
      </c>
      <c r="F102" t="s">
        <v>484</v>
      </c>
      <c r="G102" t="s">
        <v>1084</v>
      </c>
      <c r="H102" t="s">
        <v>1610</v>
      </c>
      <c r="I102">
        <v>201</v>
      </c>
      <c r="J102" t="s">
        <v>2207</v>
      </c>
      <c r="K102">
        <v>10025</v>
      </c>
      <c r="L102" t="s">
        <v>2224</v>
      </c>
      <c r="N102" t="s">
        <v>2237</v>
      </c>
      <c r="O102" t="s">
        <v>2319</v>
      </c>
      <c r="Q102" t="s">
        <v>2998</v>
      </c>
      <c r="R102">
        <v>2</v>
      </c>
      <c r="S102">
        <v>0</v>
      </c>
      <c r="T102">
        <v>63.18</v>
      </c>
      <c r="W102">
        <v>10400</v>
      </c>
      <c r="X102" t="s">
        <v>3492</v>
      </c>
      <c r="Y102">
        <v>9.25</v>
      </c>
      <c r="Z102" t="s">
        <v>292</v>
      </c>
      <c r="AA102" t="s">
        <v>71</v>
      </c>
      <c r="AC102" t="s">
        <v>3942</v>
      </c>
      <c r="AD102" t="s">
        <v>115</v>
      </c>
      <c r="AF102" t="s">
        <v>4061</v>
      </c>
      <c r="AH102" t="s">
        <v>3510</v>
      </c>
      <c r="AI102" t="s">
        <v>4082</v>
      </c>
      <c r="AK102" t="s">
        <v>4084</v>
      </c>
      <c r="AM102" t="s">
        <v>2230</v>
      </c>
      <c r="AN102" t="s">
        <v>4107</v>
      </c>
      <c r="AO102">
        <v>0</v>
      </c>
      <c r="AP102" t="s">
        <v>4108</v>
      </c>
      <c r="AQ102" t="s">
        <v>4110</v>
      </c>
      <c r="AR102" t="s">
        <v>4112</v>
      </c>
      <c r="AT102" t="s">
        <v>4127</v>
      </c>
      <c r="AV102" t="s">
        <v>4137</v>
      </c>
      <c r="AW102">
        <v>0</v>
      </c>
      <c r="AY102" t="s">
        <v>4140</v>
      </c>
      <c r="BB102" t="s">
        <v>4154</v>
      </c>
      <c r="BF102" t="s">
        <v>4281</v>
      </c>
      <c r="BM102" t="s">
        <v>4628</v>
      </c>
    </row>
    <row r="103" spans="1:65">
      <c r="A103" s="1">
        <f>HYPERLINK("https://lsnyc.legalserver.org/matter/dynamic-profile/view/1908444","19-1908444")</f>
        <v>0</v>
      </c>
      <c r="B103" t="s">
        <v>71</v>
      </c>
      <c r="C103" t="s">
        <v>93</v>
      </c>
      <c r="D103" t="s">
        <v>160</v>
      </c>
      <c r="F103" t="s">
        <v>484</v>
      </c>
      <c r="G103" t="s">
        <v>1084</v>
      </c>
      <c r="H103" t="s">
        <v>1610</v>
      </c>
      <c r="I103">
        <v>201</v>
      </c>
      <c r="J103" t="s">
        <v>2207</v>
      </c>
      <c r="K103">
        <v>10025</v>
      </c>
      <c r="N103" t="s">
        <v>2233</v>
      </c>
      <c r="O103" t="s">
        <v>2319</v>
      </c>
      <c r="Q103" t="s">
        <v>2998</v>
      </c>
      <c r="R103">
        <v>2</v>
      </c>
      <c r="S103">
        <v>0</v>
      </c>
      <c r="T103">
        <v>61.5</v>
      </c>
      <c r="W103">
        <v>10400</v>
      </c>
      <c r="X103" t="s">
        <v>3493</v>
      </c>
      <c r="Y103">
        <v>16.5</v>
      </c>
      <c r="Z103" t="s">
        <v>136</v>
      </c>
      <c r="AA103" t="s">
        <v>90</v>
      </c>
      <c r="AC103" t="s">
        <v>3942</v>
      </c>
      <c r="AD103" t="s">
        <v>160</v>
      </c>
      <c r="AF103" t="s">
        <v>4061</v>
      </c>
      <c r="AH103" t="s">
        <v>4080</v>
      </c>
      <c r="AJ103" t="s">
        <v>3943</v>
      </c>
      <c r="AL103" t="s">
        <v>4086</v>
      </c>
      <c r="AM103" t="s">
        <v>2230</v>
      </c>
      <c r="AO103">
        <v>900</v>
      </c>
      <c r="AQ103">
        <v>10</v>
      </c>
      <c r="AS103" t="s">
        <v>4113</v>
      </c>
      <c r="AU103" t="s">
        <v>4131</v>
      </c>
      <c r="AV103" t="s">
        <v>4137</v>
      </c>
      <c r="AW103">
        <v>0</v>
      </c>
      <c r="AY103" t="s">
        <v>4140</v>
      </c>
      <c r="BA103" t="s">
        <v>4149</v>
      </c>
      <c r="BC103" t="s">
        <v>4156</v>
      </c>
      <c r="BD103" t="s">
        <v>4157</v>
      </c>
      <c r="BE103">
        <v>10154731</v>
      </c>
      <c r="BF103" t="s">
        <v>4281</v>
      </c>
      <c r="BG103" t="s">
        <v>4159</v>
      </c>
      <c r="BM103" t="s">
        <v>4627</v>
      </c>
    </row>
    <row r="104" spans="1:65">
      <c r="A104" s="1">
        <f>HYPERLINK("https://lsnyc.legalserver.org/matter/dynamic-profile/view/1896456","19-1896456")</f>
        <v>0</v>
      </c>
      <c r="B104" t="s">
        <v>71</v>
      </c>
      <c r="C104" t="s">
        <v>93</v>
      </c>
      <c r="D104" t="s">
        <v>161</v>
      </c>
      <c r="F104" t="s">
        <v>484</v>
      </c>
      <c r="G104" t="s">
        <v>1084</v>
      </c>
      <c r="H104" t="s">
        <v>1610</v>
      </c>
      <c r="I104">
        <v>201</v>
      </c>
      <c r="J104" t="s">
        <v>2207</v>
      </c>
      <c r="K104">
        <v>10025</v>
      </c>
      <c r="N104" t="s">
        <v>2233</v>
      </c>
      <c r="O104" t="s">
        <v>2319</v>
      </c>
      <c r="Q104" t="s">
        <v>2998</v>
      </c>
      <c r="R104">
        <v>2</v>
      </c>
      <c r="S104">
        <v>0</v>
      </c>
      <c r="T104">
        <v>61.5</v>
      </c>
      <c r="W104">
        <v>10400</v>
      </c>
      <c r="X104" t="s">
        <v>3494</v>
      </c>
      <c r="Y104">
        <v>0</v>
      </c>
      <c r="AA104" t="s">
        <v>90</v>
      </c>
      <c r="AC104" t="s">
        <v>3942</v>
      </c>
      <c r="AD104" t="s">
        <v>115</v>
      </c>
      <c r="AF104" t="s">
        <v>4062</v>
      </c>
      <c r="AH104" t="s">
        <v>4076</v>
      </c>
      <c r="AJ104" t="s">
        <v>3943</v>
      </c>
      <c r="AK104" t="s">
        <v>4084</v>
      </c>
      <c r="AM104" t="s">
        <v>2230</v>
      </c>
      <c r="AN104" t="s">
        <v>4107</v>
      </c>
      <c r="AO104">
        <v>0</v>
      </c>
      <c r="AP104" t="s">
        <v>4108</v>
      </c>
      <c r="AQ104" t="s">
        <v>4110</v>
      </c>
      <c r="AR104" t="s">
        <v>4112</v>
      </c>
      <c r="AT104" t="s">
        <v>4127</v>
      </c>
      <c r="AV104" t="s">
        <v>4137</v>
      </c>
      <c r="AW104">
        <v>0</v>
      </c>
      <c r="AY104" t="s">
        <v>4140</v>
      </c>
      <c r="BA104" t="s">
        <v>4149</v>
      </c>
      <c r="BB104" t="s">
        <v>4154</v>
      </c>
      <c r="BF104" t="s">
        <v>4281</v>
      </c>
      <c r="BM104" t="s">
        <v>4627</v>
      </c>
    </row>
    <row r="105" spans="1:65">
      <c r="A105" s="1">
        <f>HYPERLINK("https://lsnyc.legalserver.org/matter/dynamic-profile/view/1893447","19-1893447")</f>
        <v>0</v>
      </c>
      <c r="B105" t="s">
        <v>71</v>
      </c>
      <c r="C105" t="s">
        <v>93</v>
      </c>
      <c r="D105" t="s">
        <v>145</v>
      </c>
      <c r="F105" t="s">
        <v>478</v>
      </c>
      <c r="G105" t="s">
        <v>1030</v>
      </c>
      <c r="H105" t="s">
        <v>1603</v>
      </c>
      <c r="I105" t="s">
        <v>1954</v>
      </c>
      <c r="J105" t="s">
        <v>2205</v>
      </c>
      <c r="K105">
        <v>11208</v>
      </c>
      <c r="N105" t="s">
        <v>2233</v>
      </c>
      <c r="O105" t="s">
        <v>2320</v>
      </c>
      <c r="Q105" t="s">
        <v>2999</v>
      </c>
      <c r="R105">
        <v>1</v>
      </c>
      <c r="S105">
        <v>0</v>
      </c>
      <c r="T105">
        <v>81.67</v>
      </c>
      <c r="W105">
        <v>10200</v>
      </c>
      <c r="Y105">
        <v>6.4</v>
      </c>
      <c r="Z105" t="s">
        <v>134</v>
      </c>
      <c r="AA105" t="s">
        <v>70</v>
      </c>
      <c r="AC105" t="s">
        <v>3942</v>
      </c>
      <c r="AD105" t="s">
        <v>3957</v>
      </c>
      <c r="AF105" t="s">
        <v>4061</v>
      </c>
      <c r="AH105" t="s">
        <v>3510</v>
      </c>
      <c r="AJ105" t="s">
        <v>3942</v>
      </c>
      <c r="AL105" t="s">
        <v>4070</v>
      </c>
      <c r="AM105" t="s">
        <v>2230</v>
      </c>
      <c r="AO105">
        <v>400</v>
      </c>
      <c r="AQ105">
        <v>9</v>
      </c>
      <c r="AR105" t="s">
        <v>4112</v>
      </c>
      <c r="AU105" t="s">
        <v>4128</v>
      </c>
      <c r="AV105" t="s">
        <v>4137</v>
      </c>
      <c r="AW105">
        <v>0</v>
      </c>
      <c r="AY105" t="s">
        <v>4140</v>
      </c>
      <c r="BB105" t="s">
        <v>4154</v>
      </c>
      <c r="BF105" t="s">
        <v>4281</v>
      </c>
      <c r="BM105" t="s">
        <v>4627</v>
      </c>
    </row>
    <row r="106" spans="1:65">
      <c r="A106" s="1">
        <f>HYPERLINK("https://lsnyc.legalserver.org/matter/dynamic-profile/view/1913614","19-1913614")</f>
        <v>0</v>
      </c>
      <c r="B106" t="s">
        <v>71</v>
      </c>
      <c r="C106" t="s">
        <v>93</v>
      </c>
      <c r="D106" t="s">
        <v>98</v>
      </c>
      <c r="F106" t="s">
        <v>537</v>
      </c>
      <c r="G106" t="s">
        <v>1071</v>
      </c>
      <c r="H106" t="s">
        <v>1604</v>
      </c>
      <c r="I106" t="s">
        <v>1948</v>
      </c>
      <c r="J106" t="s">
        <v>2205</v>
      </c>
      <c r="K106">
        <v>11238</v>
      </c>
      <c r="N106" t="s">
        <v>2233</v>
      </c>
      <c r="O106" t="s">
        <v>2303</v>
      </c>
      <c r="Q106" t="s">
        <v>2984</v>
      </c>
      <c r="R106">
        <v>2</v>
      </c>
      <c r="S106">
        <v>0</v>
      </c>
      <c r="T106">
        <v>4967.47</v>
      </c>
      <c r="W106">
        <v>840000</v>
      </c>
      <c r="X106" t="s">
        <v>3479</v>
      </c>
      <c r="Y106">
        <v>0</v>
      </c>
      <c r="AA106" t="s">
        <v>70</v>
      </c>
      <c r="AC106" t="s">
        <v>3942</v>
      </c>
      <c r="AD106" t="s">
        <v>3964</v>
      </c>
      <c r="AF106" t="s">
        <v>4058</v>
      </c>
      <c r="AH106" t="s">
        <v>4076</v>
      </c>
      <c r="AJ106" t="s">
        <v>3942</v>
      </c>
      <c r="AL106" t="s">
        <v>4070</v>
      </c>
      <c r="AM106" t="s">
        <v>2230</v>
      </c>
      <c r="AO106">
        <v>1048.29</v>
      </c>
      <c r="AQ106">
        <v>16</v>
      </c>
      <c r="AS106" t="s">
        <v>4113</v>
      </c>
      <c r="AU106" t="s">
        <v>4128</v>
      </c>
      <c r="AV106" t="s">
        <v>4137</v>
      </c>
      <c r="AW106">
        <v>0</v>
      </c>
      <c r="AY106" t="s">
        <v>4140</v>
      </c>
      <c r="BA106" t="s">
        <v>4149</v>
      </c>
      <c r="BC106" t="s">
        <v>4155</v>
      </c>
      <c r="BE106" t="s">
        <v>4128</v>
      </c>
      <c r="BF106" t="s">
        <v>4281</v>
      </c>
      <c r="BM106" t="s">
        <v>4627</v>
      </c>
    </row>
    <row r="107" spans="1:65">
      <c r="A107" s="1">
        <f>HYPERLINK("https://lsnyc.legalserver.org/matter/dynamic-profile/view/1915073","19-1915073")</f>
        <v>0</v>
      </c>
      <c r="B107" t="s">
        <v>71</v>
      </c>
      <c r="C107" t="s">
        <v>93</v>
      </c>
      <c r="D107" t="s">
        <v>156</v>
      </c>
      <c r="F107" t="s">
        <v>548</v>
      </c>
      <c r="G107" t="s">
        <v>1081</v>
      </c>
      <c r="H107" t="s">
        <v>1599</v>
      </c>
      <c r="I107" t="s">
        <v>1951</v>
      </c>
      <c r="J107" t="s">
        <v>2205</v>
      </c>
      <c r="K107">
        <v>11212</v>
      </c>
      <c r="N107" t="s">
        <v>2233</v>
      </c>
      <c r="O107" t="s">
        <v>2315</v>
      </c>
      <c r="Q107" t="s">
        <v>2995</v>
      </c>
      <c r="R107">
        <v>1</v>
      </c>
      <c r="S107">
        <v>0</v>
      </c>
      <c r="T107">
        <v>520.42</v>
      </c>
      <c r="W107">
        <v>65000</v>
      </c>
      <c r="X107" t="s">
        <v>3495</v>
      </c>
      <c r="Y107">
        <v>0</v>
      </c>
      <c r="AA107" t="s">
        <v>90</v>
      </c>
      <c r="AC107" t="s">
        <v>3942</v>
      </c>
      <c r="AD107" t="s">
        <v>357</v>
      </c>
      <c r="AF107" t="s">
        <v>4061</v>
      </c>
      <c r="AH107" t="s">
        <v>3510</v>
      </c>
      <c r="AJ107" t="s">
        <v>3942</v>
      </c>
      <c r="AL107" t="s">
        <v>4089</v>
      </c>
      <c r="AM107" t="s">
        <v>2230</v>
      </c>
      <c r="AO107">
        <v>789.73</v>
      </c>
      <c r="AQ107">
        <v>19</v>
      </c>
      <c r="AS107" t="s">
        <v>4113</v>
      </c>
      <c r="AU107" t="s">
        <v>4128</v>
      </c>
      <c r="AV107" t="s">
        <v>4137</v>
      </c>
      <c r="AW107">
        <v>0</v>
      </c>
      <c r="AY107" t="s">
        <v>4140</v>
      </c>
      <c r="BA107" t="s">
        <v>4149</v>
      </c>
      <c r="BC107" t="s">
        <v>4155</v>
      </c>
      <c r="BE107" t="s">
        <v>4159</v>
      </c>
      <c r="BF107" t="s">
        <v>4281</v>
      </c>
      <c r="BG107" t="s">
        <v>4327</v>
      </c>
      <c r="BM107" t="s">
        <v>4627</v>
      </c>
    </row>
    <row r="108" spans="1:65">
      <c r="A108" s="1">
        <f>HYPERLINK("https://lsnyc.legalserver.org/matter/dynamic-profile/view/1908325","19-1908325")</f>
        <v>0</v>
      </c>
      <c r="B108" t="s">
        <v>71</v>
      </c>
      <c r="C108" t="s">
        <v>93</v>
      </c>
      <c r="D108" t="s">
        <v>162</v>
      </c>
      <c r="F108" t="s">
        <v>552</v>
      </c>
      <c r="G108" t="s">
        <v>1085</v>
      </c>
      <c r="H108" t="s">
        <v>1590</v>
      </c>
      <c r="I108" t="s">
        <v>1955</v>
      </c>
      <c r="J108" t="s">
        <v>2205</v>
      </c>
      <c r="K108">
        <v>11213</v>
      </c>
      <c r="N108" t="s">
        <v>2233</v>
      </c>
      <c r="O108" t="s">
        <v>2321</v>
      </c>
      <c r="Q108" t="s">
        <v>3000</v>
      </c>
      <c r="R108">
        <v>1</v>
      </c>
      <c r="S108">
        <v>0</v>
      </c>
      <c r="T108">
        <v>8.789999999999999</v>
      </c>
      <c r="W108">
        <v>1098</v>
      </c>
      <c r="Y108">
        <v>0</v>
      </c>
      <c r="AA108" t="s">
        <v>90</v>
      </c>
      <c r="AC108" t="s">
        <v>3942</v>
      </c>
      <c r="AD108" t="s">
        <v>157</v>
      </c>
      <c r="AF108" t="s">
        <v>4054</v>
      </c>
      <c r="AH108" t="s">
        <v>3510</v>
      </c>
      <c r="AJ108" t="s">
        <v>3942</v>
      </c>
      <c r="AL108" t="s">
        <v>4087</v>
      </c>
      <c r="AM108" t="s">
        <v>2230</v>
      </c>
      <c r="AN108" t="s">
        <v>4107</v>
      </c>
      <c r="AO108">
        <v>0</v>
      </c>
      <c r="AQ108">
        <v>107</v>
      </c>
      <c r="AS108" t="s">
        <v>4113</v>
      </c>
      <c r="AT108" t="s">
        <v>4127</v>
      </c>
      <c r="AW108">
        <v>4</v>
      </c>
      <c r="AY108" t="s">
        <v>4140</v>
      </c>
      <c r="BA108" t="s">
        <v>4149</v>
      </c>
      <c r="BC108" t="s">
        <v>4155</v>
      </c>
      <c r="BE108" t="s">
        <v>4168</v>
      </c>
      <c r="BF108" t="s">
        <v>4281</v>
      </c>
      <c r="BG108" t="s">
        <v>4128</v>
      </c>
      <c r="BM108" t="s">
        <v>4627</v>
      </c>
    </row>
    <row r="109" spans="1:65">
      <c r="A109" s="1">
        <f>HYPERLINK("https://lsnyc.legalserver.org/matter/dynamic-profile/view/1906363","19-1906363")</f>
        <v>0</v>
      </c>
      <c r="B109" t="s">
        <v>71</v>
      </c>
      <c r="C109" t="s">
        <v>93</v>
      </c>
      <c r="D109" t="s">
        <v>163</v>
      </c>
      <c r="F109" t="s">
        <v>553</v>
      </c>
      <c r="G109" t="s">
        <v>1086</v>
      </c>
      <c r="H109" t="s">
        <v>1611</v>
      </c>
      <c r="I109" t="s">
        <v>1956</v>
      </c>
      <c r="J109" t="s">
        <v>2205</v>
      </c>
      <c r="K109">
        <v>11216</v>
      </c>
      <c r="N109" t="s">
        <v>2233</v>
      </c>
      <c r="O109" t="s">
        <v>2322</v>
      </c>
      <c r="Q109" t="s">
        <v>3001</v>
      </c>
      <c r="R109">
        <v>1</v>
      </c>
      <c r="S109">
        <v>0</v>
      </c>
      <c r="T109">
        <v>792.63</v>
      </c>
      <c r="V109" t="s">
        <v>3458</v>
      </c>
      <c r="W109">
        <v>99000</v>
      </c>
      <c r="X109" t="s">
        <v>3496</v>
      </c>
      <c r="Y109">
        <v>0</v>
      </c>
      <c r="AA109" t="s">
        <v>90</v>
      </c>
      <c r="AC109" t="s">
        <v>3942</v>
      </c>
      <c r="AD109" t="s">
        <v>215</v>
      </c>
      <c r="AF109" t="s">
        <v>4054</v>
      </c>
      <c r="AH109" t="s">
        <v>3510</v>
      </c>
      <c r="AJ109" t="s">
        <v>3942</v>
      </c>
      <c r="AL109" t="s">
        <v>4089</v>
      </c>
      <c r="AM109" t="s">
        <v>2230</v>
      </c>
      <c r="AO109">
        <v>1550</v>
      </c>
      <c r="AQ109">
        <v>82</v>
      </c>
      <c r="AS109" t="s">
        <v>4113</v>
      </c>
      <c r="AU109" t="s">
        <v>4128</v>
      </c>
      <c r="AW109">
        <v>8</v>
      </c>
      <c r="AY109" t="s">
        <v>4140</v>
      </c>
      <c r="BA109" t="s">
        <v>4149</v>
      </c>
      <c r="BC109" t="s">
        <v>4155</v>
      </c>
      <c r="BE109" t="s">
        <v>4159</v>
      </c>
      <c r="BF109" t="s">
        <v>4281</v>
      </c>
      <c r="BG109" t="s">
        <v>4159</v>
      </c>
      <c r="BM109" t="s">
        <v>4627</v>
      </c>
    </row>
    <row r="110" spans="1:65">
      <c r="A110" s="1">
        <f>HYPERLINK("https://lsnyc.legalserver.org/matter/dynamic-profile/view/1839479","17-1839479")</f>
        <v>0</v>
      </c>
      <c r="B110" t="s">
        <v>71</v>
      </c>
      <c r="C110" t="s">
        <v>93</v>
      </c>
      <c r="D110" t="s">
        <v>164</v>
      </c>
      <c r="F110" t="s">
        <v>554</v>
      </c>
      <c r="G110" t="s">
        <v>1087</v>
      </c>
      <c r="H110" t="s">
        <v>1602</v>
      </c>
      <c r="I110">
        <v>5</v>
      </c>
      <c r="J110" t="s">
        <v>2205</v>
      </c>
      <c r="K110">
        <v>11207</v>
      </c>
      <c r="N110" t="s">
        <v>2233</v>
      </c>
      <c r="O110" t="s">
        <v>2323</v>
      </c>
      <c r="Q110" t="s">
        <v>3002</v>
      </c>
      <c r="R110">
        <v>3</v>
      </c>
      <c r="S110">
        <v>0</v>
      </c>
      <c r="T110">
        <v>0</v>
      </c>
      <c r="W110">
        <v>0</v>
      </c>
      <c r="Y110">
        <v>179.9</v>
      </c>
      <c r="Z110" t="s">
        <v>357</v>
      </c>
      <c r="AA110" t="s">
        <v>3897</v>
      </c>
      <c r="AC110" t="s">
        <v>3942</v>
      </c>
      <c r="AD110" t="s">
        <v>3961</v>
      </c>
      <c r="AF110" t="s">
        <v>4062</v>
      </c>
      <c r="AH110" t="s">
        <v>4076</v>
      </c>
      <c r="AJ110" t="s">
        <v>3942</v>
      </c>
      <c r="AK110" t="s">
        <v>4084</v>
      </c>
      <c r="AM110" t="s">
        <v>2230</v>
      </c>
      <c r="AO110">
        <v>500</v>
      </c>
      <c r="AQ110">
        <v>7</v>
      </c>
      <c r="AS110" t="s">
        <v>4114</v>
      </c>
      <c r="AT110" t="s">
        <v>4127</v>
      </c>
      <c r="AW110">
        <v>46</v>
      </c>
      <c r="AY110" t="s">
        <v>4140</v>
      </c>
      <c r="BB110" t="s">
        <v>4154</v>
      </c>
      <c r="BF110" t="s">
        <v>4281</v>
      </c>
      <c r="BM110" t="s">
        <v>4627</v>
      </c>
    </row>
    <row r="111" spans="1:65">
      <c r="A111" s="1">
        <f>HYPERLINK("https://lsnyc.legalserver.org/matter/dynamic-profile/view/1848024","17-1848024")</f>
        <v>0</v>
      </c>
      <c r="B111" t="s">
        <v>71</v>
      </c>
      <c r="C111" t="s">
        <v>93</v>
      </c>
      <c r="D111" t="s">
        <v>165</v>
      </c>
      <c r="F111" t="s">
        <v>554</v>
      </c>
      <c r="G111" t="s">
        <v>1087</v>
      </c>
      <c r="H111" t="s">
        <v>1602</v>
      </c>
      <c r="I111">
        <v>5</v>
      </c>
      <c r="J111" t="s">
        <v>2205</v>
      </c>
      <c r="K111">
        <v>11207</v>
      </c>
      <c r="N111" t="s">
        <v>2233</v>
      </c>
      <c r="O111" t="s">
        <v>2255</v>
      </c>
      <c r="P111" t="s">
        <v>2930</v>
      </c>
      <c r="R111">
        <v>3</v>
      </c>
      <c r="S111">
        <v>0</v>
      </c>
      <c r="T111">
        <v>0</v>
      </c>
      <c r="W111">
        <v>0</v>
      </c>
      <c r="Y111">
        <v>0.7</v>
      </c>
      <c r="Z111" t="s">
        <v>134</v>
      </c>
      <c r="AA111" t="s">
        <v>90</v>
      </c>
      <c r="AC111" t="s">
        <v>3942</v>
      </c>
      <c r="AD111" t="s">
        <v>3965</v>
      </c>
      <c r="AF111" t="s">
        <v>4061</v>
      </c>
      <c r="AH111" t="s">
        <v>3510</v>
      </c>
      <c r="AJ111" t="s">
        <v>3942</v>
      </c>
      <c r="AL111" t="s">
        <v>4090</v>
      </c>
      <c r="AM111" t="s">
        <v>2230</v>
      </c>
      <c r="AO111">
        <v>500</v>
      </c>
      <c r="AQ111">
        <v>7</v>
      </c>
      <c r="AS111" t="s">
        <v>4114</v>
      </c>
      <c r="AU111" t="s">
        <v>4128</v>
      </c>
      <c r="AV111" t="s">
        <v>4137</v>
      </c>
      <c r="AW111">
        <v>0</v>
      </c>
      <c r="AX111" t="s">
        <v>4139</v>
      </c>
      <c r="BB111" t="s">
        <v>4154</v>
      </c>
      <c r="BF111" t="s">
        <v>4281</v>
      </c>
      <c r="BM111" t="s">
        <v>4627</v>
      </c>
    </row>
    <row r="112" spans="1:65">
      <c r="A112" s="1">
        <f>HYPERLINK("https://lsnyc.legalserver.org/matter/dynamic-profile/view/1883131","18-1883131")</f>
        <v>0</v>
      </c>
      <c r="B112" t="s">
        <v>72</v>
      </c>
      <c r="C112" t="s">
        <v>93</v>
      </c>
      <c r="D112" t="s">
        <v>166</v>
      </c>
      <c r="F112" t="s">
        <v>555</v>
      </c>
      <c r="G112" t="s">
        <v>1088</v>
      </c>
      <c r="H112" t="s">
        <v>1612</v>
      </c>
      <c r="I112">
        <v>7</v>
      </c>
      <c r="J112" t="s">
        <v>2205</v>
      </c>
      <c r="K112">
        <v>11233</v>
      </c>
      <c r="N112" t="s">
        <v>2233</v>
      </c>
      <c r="O112" t="s">
        <v>2324</v>
      </c>
      <c r="Q112" t="s">
        <v>3003</v>
      </c>
      <c r="R112">
        <v>2</v>
      </c>
      <c r="S112">
        <v>1</v>
      </c>
      <c r="T112">
        <v>141.19</v>
      </c>
      <c r="W112">
        <v>29340</v>
      </c>
      <c r="X112" t="s">
        <v>3497</v>
      </c>
      <c r="Y112">
        <v>23.8</v>
      </c>
      <c r="Z112" t="s">
        <v>196</v>
      </c>
      <c r="AA112" t="s">
        <v>90</v>
      </c>
      <c r="AC112" t="s">
        <v>3942</v>
      </c>
      <c r="AD112" t="s">
        <v>166</v>
      </c>
      <c r="AF112" t="s">
        <v>4053</v>
      </c>
      <c r="AH112" t="s">
        <v>4076</v>
      </c>
      <c r="AJ112" t="s">
        <v>3943</v>
      </c>
      <c r="AL112" t="s">
        <v>4086</v>
      </c>
      <c r="AM112" t="s">
        <v>2230</v>
      </c>
      <c r="AO112">
        <v>1473.42</v>
      </c>
      <c r="AQ112">
        <v>8</v>
      </c>
      <c r="AS112" t="s">
        <v>4113</v>
      </c>
      <c r="AU112" t="s">
        <v>4134</v>
      </c>
      <c r="AW112">
        <v>9</v>
      </c>
      <c r="AY112" t="s">
        <v>4140</v>
      </c>
      <c r="BA112" t="s">
        <v>4149</v>
      </c>
      <c r="BB112" t="s">
        <v>4154</v>
      </c>
      <c r="BE112" t="s">
        <v>4169</v>
      </c>
      <c r="BG112" t="s">
        <v>4328</v>
      </c>
      <c r="BM112" t="s">
        <v>4627</v>
      </c>
    </row>
    <row r="113" spans="1:65">
      <c r="A113" s="1">
        <f>HYPERLINK("https://lsnyc.legalserver.org/matter/dynamic-profile/view/1879125","18-1879125")</f>
        <v>0</v>
      </c>
      <c r="B113" t="s">
        <v>72</v>
      </c>
      <c r="C113" t="s">
        <v>93</v>
      </c>
      <c r="D113" t="s">
        <v>167</v>
      </c>
      <c r="E113" t="s">
        <v>125</v>
      </c>
      <c r="F113" t="s">
        <v>556</v>
      </c>
      <c r="G113" t="s">
        <v>1089</v>
      </c>
      <c r="H113" t="s">
        <v>1613</v>
      </c>
      <c r="I113" t="s">
        <v>1927</v>
      </c>
      <c r="J113" t="s">
        <v>2205</v>
      </c>
      <c r="K113">
        <v>11207</v>
      </c>
      <c r="L113" t="s">
        <v>2223</v>
      </c>
      <c r="N113" t="s">
        <v>2233</v>
      </c>
      <c r="O113" t="s">
        <v>2325</v>
      </c>
      <c r="Q113" t="s">
        <v>3004</v>
      </c>
      <c r="R113">
        <v>2</v>
      </c>
      <c r="S113">
        <v>1</v>
      </c>
      <c r="T113">
        <v>119.63</v>
      </c>
      <c r="W113">
        <v>24860</v>
      </c>
      <c r="Y113">
        <v>50.6</v>
      </c>
      <c r="Z113" t="s">
        <v>368</v>
      </c>
      <c r="AA113" t="s">
        <v>90</v>
      </c>
      <c r="AC113" t="s">
        <v>3942</v>
      </c>
      <c r="AD113" t="s">
        <v>141</v>
      </c>
      <c r="AF113" t="s">
        <v>4053</v>
      </c>
      <c r="AH113" t="s">
        <v>4076</v>
      </c>
      <c r="AJ113" t="s">
        <v>3943</v>
      </c>
      <c r="AL113" t="s">
        <v>4086</v>
      </c>
      <c r="AM113" t="s">
        <v>2230</v>
      </c>
      <c r="AO113">
        <v>1277</v>
      </c>
      <c r="AQ113">
        <v>6</v>
      </c>
      <c r="AS113" t="s">
        <v>4113</v>
      </c>
      <c r="AU113" t="s">
        <v>4133</v>
      </c>
      <c r="AW113">
        <v>23</v>
      </c>
      <c r="AY113" t="s">
        <v>4140</v>
      </c>
      <c r="BA113" t="s">
        <v>4152</v>
      </c>
      <c r="BC113" t="s">
        <v>4155</v>
      </c>
      <c r="BE113" t="s">
        <v>4170</v>
      </c>
      <c r="BG113" t="s">
        <v>4329</v>
      </c>
      <c r="BH113" t="s">
        <v>4619</v>
      </c>
      <c r="BJ113" t="s">
        <v>4622</v>
      </c>
      <c r="BL113" t="s">
        <v>4626</v>
      </c>
      <c r="BM113" t="s">
        <v>4628</v>
      </c>
    </row>
    <row r="114" spans="1:65">
      <c r="A114" s="1">
        <f>HYPERLINK("https://lsnyc.legalserver.org/matter/dynamic-profile/view/1892359","19-1892359")</f>
        <v>0</v>
      </c>
      <c r="B114" t="s">
        <v>72</v>
      </c>
      <c r="C114" t="s">
        <v>93</v>
      </c>
      <c r="D114" t="s">
        <v>168</v>
      </c>
      <c r="F114" t="s">
        <v>557</v>
      </c>
      <c r="G114" t="s">
        <v>1090</v>
      </c>
      <c r="H114" t="s">
        <v>1614</v>
      </c>
      <c r="I114">
        <v>1</v>
      </c>
      <c r="J114" t="s">
        <v>2205</v>
      </c>
      <c r="K114">
        <v>11208</v>
      </c>
      <c r="N114" t="s">
        <v>2233</v>
      </c>
      <c r="O114" t="s">
        <v>2326</v>
      </c>
      <c r="P114" t="s">
        <v>2930</v>
      </c>
      <c r="R114">
        <v>1</v>
      </c>
      <c r="S114">
        <v>0</v>
      </c>
      <c r="T114">
        <v>87.43000000000001</v>
      </c>
      <c r="W114">
        <v>10920</v>
      </c>
      <c r="Y114">
        <v>42.1</v>
      </c>
      <c r="Z114" t="s">
        <v>241</v>
      </c>
      <c r="AA114" t="s">
        <v>70</v>
      </c>
      <c r="AC114" t="s">
        <v>3942</v>
      </c>
      <c r="AD114" t="s">
        <v>446</v>
      </c>
      <c r="AF114" t="s">
        <v>4050</v>
      </c>
      <c r="AH114" t="s">
        <v>4076</v>
      </c>
      <c r="AJ114" t="s">
        <v>3943</v>
      </c>
      <c r="AL114" t="s">
        <v>4099</v>
      </c>
      <c r="AM114" t="s">
        <v>2230</v>
      </c>
      <c r="AO114">
        <v>1268</v>
      </c>
      <c r="AQ114">
        <v>3</v>
      </c>
      <c r="AS114" t="s">
        <v>4114</v>
      </c>
      <c r="AU114" t="s">
        <v>4132</v>
      </c>
      <c r="AW114">
        <v>1</v>
      </c>
      <c r="AY114" t="s">
        <v>4140</v>
      </c>
      <c r="BB114" t="s">
        <v>4154</v>
      </c>
      <c r="BE114" t="s">
        <v>4171</v>
      </c>
      <c r="BG114" t="s">
        <v>4330</v>
      </c>
      <c r="BM114" t="s">
        <v>4627</v>
      </c>
    </row>
    <row r="115" spans="1:65">
      <c r="A115" s="1">
        <f>HYPERLINK("https://lsnyc.legalserver.org/matter/dynamic-profile/view/1869305","18-1869305")</f>
        <v>0</v>
      </c>
      <c r="B115" t="s">
        <v>72</v>
      </c>
      <c r="C115" t="s">
        <v>93</v>
      </c>
      <c r="D115" t="s">
        <v>169</v>
      </c>
      <c r="F115" t="s">
        <v>558</v>
      </c>
      <c r="G115" t="s">
        <v>881</v>
      </c>
      <c r="H115" t="s">
        <v>1615</v>
      </c>
      <c r="I115" t="s">
        <v>1944</v>
      </c>
      <c r="J115" t="s">
        <v>2205</v>
      </c>
      <c r="K115">
        <v>11207</v>
      </c>
      <c r="N115" t="s">
        <v>2233</v>
      </c>
      <c r="O115" t="s">
        <v>2327</v>
      </c>
      <c r="Q115" t="s">
        <v>3005</v>
      </c>
      <c r="R115">
        <v>1</v>
      </c>
      <c r="S115">
        <v>0</v>
      </c>
      <c r="T115">
        <v>11.86</v>
      </c>
      <c r="W115">
        <v>1440</v>
      </c>
      <c r="Y115">
        <v>59.65</v>
      </c>
      <c r="Z115" t="s">
        <v>170</v>
      </c>
      <c r="AA115" t="s">
        <v>90</v>
      </c>
      <c r="AC115" t="s">
        <v>3942</v>
      </c>
      <c r="AD115" t="s">
        <v>261</v>
      </c>
      <c r="AF115" t="s">
        <v>4050</v>
      </c>
      <c r="AH115" t="s">
        <v>4076</v>
      </c>
      <c r="AJ115" t="s">
        <v>3943</v>
      </c>
      <c r="AK115" t="s">
        <v>4084</v>
      </c>
      <c r="AM115" t="s">
        <v>2230</v>
      </c>
      <c r="AO115">
        <v>215</v>
      </c>
      <c r="AQ115">
        <v>60</v>
      </c>
      <c r="AS115" t="s">
        <v>4118</v>
      </c>
      <c r="AU115" t="s">
        <v>4129</v>
      </c>
      <c r="AW115">
        <v>20</v>
      </c>
      <c r="AY115" t="s">
        <v>4140</v>
      </c>
      <c r="BB115" t="s">
        <v>4154</v>
      </c>
      <c r="BD115" t="s">
        <v>4157</v>
      </c>
      <c r="BE115">
        <v>33843008</v>
      </c>
      <c r="BG115" t="s">
        <v>4331</v>
      </c>
      <c r="BM115" t="s">
        <v>4627</v>
      </c>
    </row>
    <row r="116" spans="1:65">
      <c r="A116" s="1">
        <f>HYPERLINK("https://lsnyc.legalserver.org/matter/dynamic-profile/view/1901836","19-1901836")</f>
        <v>0</v>
      </c>
      <c r="B116" t="s">
        <v>72</v>
      </c>
      <c r="C116" t="s">
        <v>93</v>
      </c>
      <c r="D116" t="s">
        <v>170</v>
      </c>
      <c r="E116" t="s">
        <v>125</v>
      </c>
      <c r="F116" t="s">
        <v>559</v>
      </c>
      <c r="G116" t="s">
        <v>1091</v>
      </c>
      <c r="H116" t="s">
        <v>1616</v>
      </c>
      <c r="I116" t="s">
        <v>1957</v>
      </c>
      <c r="J116" t="s">
        <v>2205</v>
      </c>
      <c r="K116">
        <v>11233</v>
      </c>
      <c r="L116" t="s">
        <v>2223</v>
      </c>
      <c r="N116" t="s">
        <v>2233</v>
      </c>
      <c r="O116" t="s">
        <v>2328</v>
      </c>
      <c r="Q116" t="s">
        <v>3006</v>
      </c>
      <c r="R116">
        <v>2</v>
      </c>
      <c r="S116">
        <v>0</v>
      </c>
      <c r="T116">
        <v>64.87</v>
      </c>
      <c r="W116">
        <v>10970.16</v>
      </c>
      <c r="Y116">
        <v>21.5</v>
      </c>
      <c r="Z116" t="s">
        <v>180</v>
      </c>
      <c r="AA116" t="s">
        <v>3892</v>
      </c>
      <c r="AC116" t="s">
        <v>3942</v>
      </c>
      <c r="AD116" t="s">
        <v>163</v>
      </c>
      <c r="AF116" t="s">
        <v>4053</v>
      </c>
      <c r="AH116" t="s">
        <v>4076</v>
      </c>
      <c r="AJ116" t="s">
        <v>3943</v>
      </c>
      <c r="AL116" t="s">
        <v>4100</v>
      </c>
      <c r="AM116" t="s">
        <v>2230</v>
      </c>
      <c r="AO116">
        <v>146</v>
      </c>
      <c r="AQ116">
        <v>36</v>
      </c>
      <c r="AS116" t="s">
        <v>4113</v>
      </c>
      <c r="AU116" t="s">
        <v>4129</v>
      </c>
      <c r="AW116">
        <v>15</v>
      </c>
      <c r="AY116" t="s">
        <v>4140</v>
      </c>
      <c r="BA116" t="s">
        <v>4150</v>
      </c>
      <c r="BC116" t="s">
        <v>4156</v>
      </c>
      <c r="BD116" t="s">
        <v>4157</v>
      </c>
      <c r="BE116" t="s">
        <v>4172</v>
      </c>
      <c r="BG116" t="s">
        <v>4332</v>
      </c>
      <c r="BH116" t="s">
        <v>4619</v>
      </c>
      <c r="BJ116" t="s">
        <v>4622</v>
      </c>
      <c r="BL116" t="s">
        <v>4626</v>
      </c>
      <c r="BM116" t="s">
        <v>4628</v>
      </c>
    </row>
    <row r="117" spans="1:65">
      <c r="A117" s="1">
        <f>HYPERLINK("https://lsnyc.legalserver.org/matter/dynamic-profile/view/1903031","19-1903031")</f>
        <v>0</v>
      </c>
      <c r="B117" t="s">
        <v>72</v>
      </c>
      <c r="C117" t="s">
        <v>93</v>
      </c>
      <c r="D117" t="s">
        <v>171</v>
      </c>
      <c r="F117" t="s">
        <v>560</v>
      </c>
      <c r="G117" t="s">
        <v>1092</v>
      </c>
      <c r="H117" t="s">
        <v>1617</v>
      </c>
      <c r="I117">
        <v>318</v>
      </c>
      <c r="J117" t="s">
        <v>2205</v>
      </c>
      <c r="K117">
        <v>11208</v>
      </c>
      <c r="N117" t="s">
        <v>2233</v>
      </c>
      <c r="O117" t="s">
        <v>2329</v>
      </c>
      <c r="Q117" t="s">
        <v>3007</v>
      </c>
      <c r="R117">
        <v>1</v>
      </c>
      <c r="S117">
        <v>0</v>
      </c>
      <c r="T117">
        <v>0</v>
      </c>
      <c r="W117">
        <v>0</v>
      </c>
      <c r="Y117">
        <v>3.1</v>
      </c>
      <c r="Z117" t="s">
        <v>401</v>
      </c>
      <c r="AA117" t="s">
        <v>70</v>
      </c>
      <c r="AB117" t="s">
        <v>3940</v>
      </c>
      <c r="AC117" t="s">
        <v>3943</v>
      </c>
      <c r="AF117" t="s">
        <v>4053</v>
      </c>
      <c r="AH117" t="s">
        <v>4076</v>
      </c>
      <c r="AJ117" t="s">
        <v>3943</v>
      </c>
      <c r="AL117" t="s">
        <v>4086</v>
      </c>
      <c r="AM117" t="s">
        <v>2230</v>
      </c>
      <c r="AO117">
        <v>1348</v>
      </c>
      <c r="AQ117">
        <v>323</v>
      </c>
      <c r="AS117" t="s">
        <v>4113</v>
      </c>
      <c r="AU117" t="s">
        <v>4131</v>
      </c>
      <c r="AV117" t="s">
        <v>4137</v>
      </c>
      <c r="AW117">
        <v>0</v>
      </c>
      <c r="AY117" t="s">
        <v>4140</v>
      </c>
      <c r="AZ117" t="s">
        <v>4148</v>
      </c>
      <c r="BC117" t="s">
        <v>4156</v>
      </c>
      <c r="BE117" t="s">
        <v>4173</v>
      </c>
      <c r="BG117" t="s">
        <v>4333</v>
      </c>
      <c r="BM117" t="s">
        <v>4627</v>
      </c>
    </row>
    <row r="118" spans="1:65">
      <c r="A118" s="1">
        <f>HYPERLINK("https://lsnyc.legalserver.org/matter/dynamic-profile/view/1883471","18-1883471")</f>
        <v>0</v>
      </c>
      <c r="B118" t="s">
        <v>72</v>
      </c>
      <c r="C118" t="s">
        <v>93</v>
      </c>
      <c r="D118" t="s">
        <v>172</v>
      </c>
      <c r="F118" t="s">
        <v>503</v>
      </c>
      <c r="G118" t="s">
        <v>1093</v>
      </c>
      <c r="H118" t="s">
        <v>1618</v>
      </c>
      <c r="I118" t="s">
        <v>1942</v>
      </c>
      <c r="J118" t="s">
        <v>2205</v>
      </c>
      <c r="K118">
        <v>11208</v>
      </c>
      <c r="N118" t="s">
        <v>2233</v>
      </c>
      <c r="O118" t="s">
        <v>2330</v>
      </c>
      <c r="Q118" t="s">
        <v>3008</v>
      </c>
      <c r="R118">
        <v>1</v>
      </c>
      <c r="S118">
        <v>0</v>
      </c>
      <c r="T118">
        <v>84.70999999999999</v>
      </c>
      <c r="W118">
        <v>10284</v>
      </c>
      <c r="X118" t="s">
        <v>3498</v>
      </c>
      <c r="Y118">
        <v>46.4</v>
      </c>
      <c r="Z118" t="s">
        <v>182</v>
      </c>
      <c r="AA118" t="s">
        <v>3901</v>
      </c>
      <c r="AC118" t="s">
        <v>3942</v>
      </c>
      <c r="AD118" t="s">
        <v>376</v>
      </c>
      <c r="AF118" t="s">
        <v>4053</v>
      </c>
      <c r="AH118" t="s">
        <v>4076</v>
      </c>
      <c r="AI118" t="s">
        <v>4082</v>
      </c>
      <c r="AL118" t="s">
        <v>4099</v>
      </c>
      <c r="AM118" t="s">
        <v>2230</v>
      </c>
      <c r="AO118">
        <v>1375</v>
      </c>
      <c r="AQ118">
        <v>56</v>
      </c>
      <c r="AS118" t="s">
        <v>4113</v>
      </c>
      <c r="AT118" t="s">
        <v>4127</v>
      </c>
      <c r="AW118">
        <v>9</v>
      </c>
      <c r="AY118" t="s">
        <v>4140</v>
      </c>
      <c r="BB118" t="s">
        <v>4154</v>
      </c>
      <c r="BE118" t="s">
        <v>4174</v>
      </c>
      <c r="BG118" t="s">
        <v>4334</v>
      </c>
      <c r="BM118" t="s">
        <v>4627</v>
      </c>
    </row>
    <row r="119" spans="1:65">
      <c r="A119" s="1">
        <f>HYPERLINK("https://lsnyc.legalserver.org/matter/dynamic-profile/view/1914732","19-1914732")</f>
        <v>0</v>
      </c>
      <c r="B119" t="s">
        <v>72</v>
      </c>
      <c r="C119" t="s">
        <v>93</v>
      </c>
      <c r="D119" t="s">
        <v>173</v>
      </c>
      <c r="F119" t="s">
        <v>561</v>
      </c>
      <c r="G119" t="s">
        <v>1094</v>
      </c>
      <c r="H119" t="s">
        <v>1619</v>
      </c>
      <c r="I119" t="s">
        <v>1958</v>
      </c>
      <c r="J119" t="s">
        <v>2205</v>
      </c>
      <c r="K119">
        <v>11212</v>
      </c>
      <c r="N119" t="s">
        <v>2233</v>
      </c>
      <c r="O119" t="s">
        <v>2331</v>
      </c>
      <c r="Q119" t="s">
        <v>3009</v>
      </c>
      <c r="R119">
        <v>1</v>
      </c>
      <c r="S119">
        <v>0</v>
      </c>
      <c r="T119">
        <v>84.55</v>
      </c>
      <c r="W119">
        <v>10560</v>
      </c>
      <c r="Y119">
        <v>0.5</v>
      </c>
      <c r="Z119" t="s">
        <v>173</v>
      </c>
      <c r="AA119" t="s">
        <v>3902</v>
      </c>
      <c r="AB119" t="s">
        <v>3940</v>
      </c>
      <c r="AC119" t="s">
        <v>3944</v>
      </c>
      <c r="AF119" t="s">
        <v>4053</v>
      </c>
      <c r="AH119" t="s">
        <v>4079</v>
      </c>
      <c r="AJ119" t="s">
        <v>3943</v>
      </c>
      <c r="AL119" t="s">
        <v>4070</v>
      </c>
      <c r="AM119" t="s">
        <v>2230</v>
      </c>
      <c r="AO119">
        <v>570</v>
      </c>
      <c r="AQ119">
        <v>6</v>
      </c>
      <c r="AS119" t="s">
        <v>4116</v>
      </c>
      <c r="AT119" t="s">
        <v>4127</v>
      </c>
      <c r="AW119">
        <v>38</v>
      </c>
      <c r="AY119" t="s">
        <v>4140</v>
      </c>
      <c r="AZ119" t="s">
        <v>4148</v>
      </c>
      <c r="BB119" t="s">
        <v>4154</v>
      </c>
      <c r="BG119" t="s">
        <v>4335</v>
      </c>
      <c r="BM119" t="s">
        <v>4627</v>
      </c>
    </row>
    <row r="120" spans="1:65">
      <c r="A120" s="1">
        <f>HYPERLINK("https://lsnyc.legalserver.org/matter/dynamic-profile/view/1887570","19-1887570")</f>
        <v>0</v>
      </c>
      <c r="B120" t="s">
        <v>72</v>
      </c>
      <c r="C120" t="s">
        <v>93</v>
      </c>
      <c r="D120" t="s">
        <v>174</v>
      </c>
      <c r="F120" t="s">
        <v>544</v>
      </c>
      <c r="G120" t="s">
        <v>1095</v>
      </c>
      <c r="H120" t="s">
        <v>1620</v>
      </c>
      <c r="I120" t="s">
        <v>1959</v>
      </c>
      <c r="J120" t="s">
        <v>2205</v>
      </c>
      <c r="K120">
        <v>11207</v>
      </c>
      <c r="N120" t="s">
        <v>2233</v>
      </c>
      <c r="O120" t="s">
        <v>2332</v>
      </c>
      <c r="Q120" t="s">
        <v>3010</v>
      </c>
      <c r="R120">
        <v>2</v>
      </c>
      <c r="S120">
        <v>0</v>
      </c>
      <c r="T120">
        <v>121.51</v>
      </c>
      <c r="W120">
        <v>20000</v>
      </c>
      <c r="Y120">
        <v>13.1</v>
      </c>
      <c r="Z120" t="s">
        <v>163</v>
      </c>
      <c r="AA120" t="s">
        <v>90</v>
      </c>
      <c r="AC120" t="s">
        <v>3942</v>
      </c>
      <c r="AD120" t="s">
        <v>168</v>
      </c>
      <c r="AF120" t="s">
        <v>4053</v>
      </c>
      <c r="AH120" t="s">
        <v>4076</v>
      </c>
      <c r="AJ120" t="s">
        <v>3943</v>
      </c>
      <c r="AL120" t="s">
        <v>4086</v>
      </c>
      <c r="AM120" t="s">
        <v>2230</v>
      </c>
      <c r="AO120">
        <v>1337</v>
      </c>
      <c r="AQ120">
        <v>25</v>
      </c>
      <c r="AS120" t="s">
        <v>4113</v>
      </c>
      <c r="AU120" t="s">
        <v>4129</v>
      </c>
      <c r="AW120">
        <v>7</v>
      </c>
      <c r="AY120" t="s">
        <v>4140</v>
      </c>
      <c r="BA120" t="s">
        <v>4149</v>
      </c>
      <c r="BC120" t="s">
        <v>4155</v>
      </c>
      <c r="BD120" t="s">
        <v>4157</v>
      </c>
      <c r="BE120" t="s">
        <v>4175</v>
      </c>
      <c r="BG120" t="s">
        <v>4336</v>
      </c>
      <c r="BM120" t="s">
        <v>4627</v>
      </c>
    </row>
    <row r="121" spans="1:65">
      <c r="A121" s="1">
        <f>HYPERLINK("https://lsnyc.legalserver.org/matter/dynamic-profile/view/1895582","19-1895582")</f>
        <v>0</v>
      </c>
      <c r="B121" t="s">
        <v>72</v>
      </c>
      <c r="C121" t="s">
        <v>93</v>
      </c>
      <c r="D121" t="s">
        <v>175</v>
      </c>
      <c r="E121" t="s">
        <v>125</v>
      </c>
      <c r="F121" t="s">
        <v>562</v>
      </c>
      <c r="G121" t="s">
        <v>1030</v>
      </c>
      <c r="H121" t="s">
        <v>1621</v>
      </c>
      <c r="J121" t="s">
        <v>2205</v>
      </c>
      <c r="K121">
        <v>11233</v>
      </c>
      <c r="L121" t="s">
        <v>2224</v>
      </c>
      <c r="N121" t="s">
        <v>2233</v>
      </c>
      <c r="O121" t="s">
        <v>2333</v>
      </c>
      <c r="Q121" t="s">
        <v>3011</v>
      </c>
      <c r="R121">
        <v>1</v>
      </c>
      <c r="S121">
        <v>0</v>
      </c>
      <c r="T121">
        <v>124.11</v>
      </c>
      <c r="W121">
        <v>15501.6</v>
      </c>
      <c r="Y121">
        <v>4.25</v>
      </c>
      <c r="Z121" t="s">
        <v>3817</v>
      </c>
      <c r="AA121" t="s">
        <v>3898</v>
      </c>
      <c r="AC121" t="s">
        <v>3942</v>
      </c>
      <c r="AD121" t="s">
        <v>3817</v>
      </c>
      <c r="AF121" t="s">
        <v>4050</v>
      </c>
      <c r="AH121" t="s">
        <v>4081</v>
      </c>
      <c r="AJ121" t="s">
        <v>3943</v>
      </c>
      <c r="AL121" t="s">
        <v>4092</v>
      </c>
      <c r="AM121" t="s">
        <v>2230</v>
      </c>
      <c r="AO121">
        <v>750</v>
      </c>
      <c r="AQ121">
        <v>2</v>
      </c>
      <c r="AS121" t="s">
        <v>4114</v>
      </c>
      <c r="AU121" t="s">
        <v>4128</v>
      </c>
      <c r="AW121">
        <v>2</v>
      </c>
      <c r="AY121" t="s">
        <v>4140</v>
      </c>
      <c r="BA121" t="s">
        <v>4149</v>
      </c>
      <c r="BC121" t="s">
        <v>4156</v>
      </c>
      <c r="BD121" t="s">
        <v>4157</v>
      </c>
      <c r="BE121" t="s">
        <v>4176</v>
      </c>
      <c r="BG121" t="s">
        <v>4337</v>
      </c>
      <c r="BM121" t="s">
        <v>4628</v>
      </c>
    </row>
    <row r="122" spans="1:65">
      <c r="A122" s="1">
        <f>HYPERLINK("https://lsnyc.legalserver.org/matter/dynamic-profile/view/1915541","19-1915541")</f>
        <v>0</v>
      </c>
      <c r="B122" t="s">
        <v>72</v>
      </c>
      <c r="C122" t="s">
        <v>93</v>
      </c>
      <c r="D122" t="s">
        <v>176</v>
      </c>
      <c r="F122" t="s">
        <v>563</v>
      </c>
      <c r="G122" t="s">
        <v>1096</v>
      </c>
      <c r="H122" t="s">
        <v>1577</v>
      </c>
      <c r="I122" t="s">
        <v>1928</v>
      </c>
      <c r="J122" t="s">
        <v>2205</v>
      </c>
      <c r="K122">
        <v>11233</v>
      </c>
      <c r="N122" t="s">
        <v>2233</v>
      </c>
      <c r="O122" t="s">
        <v>2334</v>
      </c>
      <c r="Q122" t="s">
        <v>3012</v>
      </c>
      <c r="R122">
        <v>2</v>
      </c>
      <c r="S122">
        <v>1</v>
      </c>
      <c r="T122">
        <v>124.17</v>
      </c>
      <c r="W122">
        <v>26485</v>
      </c>
      <c r="Y122">
        <v>0</v>
      </c>
      <c r="AA122" t="s">
        <v>70</v>
      </c>
      <c r="AB122" t="s">
        <v>3940</v>
      </c>
      <c r="AC122" t="s">
        <v>3944</v>
      </c>
      <c r="AF122" t="s">
        <v>4053</v>
      </c>
      <c r="AH122" t="s">
        <v>4079</v>
      </c>
      <c r="AJ122" t="s">
        <v>3943</v>
      </c>
      <c r="AL122" t="s">
        <v>4095</v>
      </c>
      <c r="AM122" t="s">
        <v>2230</v>
      </c>
      <c r="AO122">
        <v>981</v>
      </c>
      <c r="AQ122">
        <v>357</v>
      </c>
      <c r="AS122" t="s">
        <v>4119</v>
      </c>
      <c r="AU122" t="s">
        <v>4131</v>
      </c>
      <c r="AW122">
        <v>1</v>
      </c>
      <c r="AY122" t="s">
        <v>4140</v>
      </c>
      <c r="AZ122" t="s">
        <v>4148</v>
      </c>
      <c r="BB122" t="s">
        <v>4154</v>
      </c>
      <c r="BG122" t="s">
        <v>4338</v>
      </c>
      <c r="BM122" t="s">
        <v>4627</v>
      </c>
    </row>
    <row r="123" spans="1:65">
      <c r="A123" s="1">
        <f>HYPERLINK("https://lsnyc.legalserver.org/matter/dynamic-profile/view/1904669","19-1904669")</f>
        <v>0</v>
      </c>
      <c r="B123" t="s">
        <v>72</v>
      </c>
      <c r="C123" t="s">
        <v>93</v>
      </c>
      <c r="D123" t="s">
        <v>177</v>
      </c>
      <c r="F123" t="s">
        <v>499</v>
      </c>
      <c r="G123" t="s">
        <v>1097</v>
      </c>
      <c r="H123" t="s">
        <v>1622</v>
      </c>
      <c r="I123" t="s">
        <v>1960</v>
      </c>
      <c r="J123" t="s">
        <v>2205</v>
      </c>
      <c r="K123">
        <v>11208</v>
      </c>
      <c r="N123" t="s">
        <v>2233</v>
      </c>
      <c r="O123" t="s">
        <v>2335</v>
      </c>
      <c r="Q123" t="s">
        <v>3013</v>
      </c>
      <c r="R123">
        <v>1</v>
      </c>
      <c r="S123">
        <v>7</v>
      </c>
      <c r="T123">
        <v>65.98</v>
      </c>
      <c r="W123">
        <v>28656</v>
      </c>
      <c r="Y123">
        <v>40.5</v>
      </c>
      <c r="Z123" t="s">
        <v>134</v>
      </c>
      <c r="AA123" t="s">
        <v>90</v>
      </c>
      <c r="AC123" t="s">
        <v>3942</v>
      </c>
      <c r="AD123" t="s">
        <v>459</v>
      </c>
      <c r="AF123" t="s">
        <v>4050</v>
      </c>
      <c r="AH123" t="s">
        <v>4076</v>
      </c>
      <c r="AJ123" t="s">
        <v>3943</v>
      </c>
      <c r="AL123" t="s">
        <v>4101</v>
      </c>
      <c r="AM123" t="s">
        <v>2230</v>
      </c>
      <c r="AN123" t="s">
        <v>4107</v>
      </c>
      <c r="AO123">
        <v>0</v>
      </c>
      <c r="AQ123">
        <v>319</v>
      </c>
      <c r="AS123" t="s">
        <v>4113</v>
      </c>
      <c r="AU123" t="s">
        <v>4133</v>
      </c>
      <c r="AV123" t="s">
        <v>4137</v>
      </c>
      <c r="AW123">
        <v>0</v>
      </c>
      <c r="AY123" t="s">
        <v>4140</v>
      </c>
      <c r="BA123" t="s">
        <v>4150</v>
      </c>
      <c r="BC123" t="s">
        <v>4156</v>
      </c>
      <c r="BE123" t="s">
        <v>4177</v>
      </c>
      <c r="BG123" t="s">
        <v>4339</v>
      </c>
      <c r="BM123" t="s">
        <v>4627</v>
      </c>
    </row>
    <row r="124" spans="1:65">
      <c r="A124" s="1">
        <f>HYPERLINK("https://lsnyc.legalserver.org/matter/dynamic-profile/view/1910678","19-1910678")</f>
        <v>0</v>
      </c>
      <c r="B124" t="s">
        <v>72</v>
      </c>
      <c r="C124" t="s">
        <v>93</v>
      </c>
      <c r="D124" t="s">
        <v>178</v>
      </c>
      <c r="E124" t="s">
        <v>125</v>
      </c>
      <c r="F124" t="s">
        <v>564</v>
      </c>
      <c r="G124" t="s">
        <v>1098</v>
      </c>
      <c r="H124" t="s">
        <v>1623</v>
      </c>
      <c r="J124" t="s">
        <v>2205</v>
      </c>
      <c r="K124">
        <v>11207</v>
      </c>
      <c r="L124" t="s">
        <v>2222</v>
      </c>
      <c r="N124" t="s">
        <v>2233</v>
      </c>
      <c r="O124" t="s">
        <v>2336</v>
      </c>
      <c r="Q124" t="s">
        <v>3014</v>
      </c>
      <c r="R124">
        <v>1</v>
      </c>
      <c r="S124">
        <v>0</v>
      </c>
      <c r="T124">
        <v>83.23</v>
      </c>
      <c r="W124">
        <v>10396</v>
      </c>
      <c r="Y124">
        <v>0.9</v>
      </c>
      <c r="Z124" t="s">
        <v>3818</v>
      </c>
      <c r="AA124" t="s">
        <v>90</v>
      </c>
      <c r="AC124" t="s">
        <v>3942</v>
      </c>
      <c r="AD124" t="s">
        <v>178</v>
      </c>
      <c r="AF124" t="s">
        <v>4060</v>
      </c>
      <c r="AH124" t="s">
        <v>4081</v>
      </c>
      <c r="AJ124" t="s">
        <v>3943</v>
      </c>
      <c r="AL124" t="s">
        <v>4086</v>
      </c>
      <c r="AM124" t="s">
        <v>2230</v>
      </c>
      <c r="AO124">
        <v>680</v>
      </c>
      <c r="AQ124">
        <v>3</v>
      </c>
      <c r="AS124" t="s">
        <v>4117</v>
      </c>
      <c r="AU124" t="s">
        <v>4134</v>
      </c>
      <c r="AW124">
        <v>34</v>
      </c>
      <c r="AY124" t="s">
        <v>4141</v>
      </c>
      <c r="BC124" t="s">
        <v>4155</v>
      </c>
      <c r="BD124" t="s">
        <v>4157</v>
      </c>
      <c r="BE124" t="s">
        <v>4178</v>
      </c>
      <c r="BF124" t="s">
        <v>4281</v>
      </c>
      <c r="BG124" t="s">
        <v>4054</v>
      </c>
      <c r="BM124" t="s">
        <v>4628</v>
      </c>
    </row>
    <row r="125" spans="1:65">
      <c r="A125" s="1">
        <f>HYPERLINK("https://lsnyc.legalserver.org/matter/dynamic-profile/view/1880006","18-1880006")</f>
        <v>0</v>
      </c>
      <c r="B125" t="s">
        <v>72</v>
      </c>
      <c r="C125" t="s">
        <v>93</v>
      </c>
      <c r="D125" t="s">
        <v>179</v>
      </c>
      <c r="E125" t="s">
        <v>125</v>
      </c>
      <c r="F125" t="s">
        <v>565</v>
      </c>
      <c r="G125" t="s">
        <v>1099</v>
      </c>
      <c r="H125" t="s">
        <v>1624</v>
      </c>
      <c r="I125" t="s">
        <v>1940</v>
      </c>
      <c r="J125" t="s">
        <v>2205</v>
      </c>
      <c r="K125">
        <v>11212</v>
      </c>
      <c r="L125" t="s">
        <v>2223</v>
      </c>
      <c r="N125" t="s">
        <v>2233</v>
      </c>
      <c r="O125" t="s">
        <v>2337</v>
      </c>
      <c r="Q125" t="s">
        <v>3015</v>
      </c>
      <c r="R125">
        <v>1</v>
      </c>
      <c r="S125">
        <v>2</v>
      </c>
      <c r="T125">
        <v>146.3</v>
      </c>
      <c r="W125">
        <v>30402</v>
      </c>
      <c r="Y125">
        <v>45.4</v>
      </c>
      <c r="Z125" t="s">
        <v>3819</v>
      </c>
      <c r="AA125" t="s">
        <v>90</v>
      </c>
      <c r="AC125" t="s">
        <v>3942</v>
      </c>
      <c r="AD125" t="s">
        <v>185</v>
      </c>
      <c r="AF125" t="s">
        <v>4053</v>
      </c>
      <c r="AH125" t="s">
        <v>4076</v>
      </c>
      <c r="AJ125" t="s">
        <v>3943</v>
      </c>
      <c r="AL125" t="s">
        <v>4086</v>
      </c>
      <c r="AM125" t="s">
        <v>2230</v>
      </c>
      <c r="AO125">
        <v>1550</v>
      </c>
      <c r="AQ125">
        <v>6</v>
      </c>
      <c r="AS125" t="s">
        <v>4113</v>
      </c>
      <c r="AU125" t="s">
        <v>4128</v>
      </c>
      <c r="AW125">
        <v>2</v>
      </c>
      <c r="AY125" t="s">
        <v>4140</v>
      </c>
      <c r="BA125" t="s">
        <v>4149</v>
      </c>
      <c r="BB125" t="s">
        <v>4154</v>
      </c>
      <c r="BE125" t="s">
        <v>4162</v>
      </c>
      <c r="BG125" t="s">
        <v>4340</v>
      </c>
      <c r="BH125" t="s">
        <v>4619</v>
      </c>
      <c r="BJ125" t="s">
        <v>4622</v>
      </c>
      <c r="BL125" t="s">
        <v>4626</v>
      </c>
      <c r="BM125" t="s">
        <v>4628</v>
      </c>
    </row>
    <row r="126" spans="1:65">
      <c r="A126" s="1">
        <f>HYPERLINK("https://lsnyc.legalserver.org/matter/dynamic-profile/view/1911428","19-1911428")</f>
        <v>0</v>
      </c>
      <c r="B126" t="s">
        <v>72</v>
      </c>
      <c r="C126" t="s">
        <v>93</v>
      </c>
      <c r="D126" t="s">
        <v>180</v>
      </c>
      <c r="F126" t="s">
        <v>566</v>
      </c>
      <c r="G126" t="s">
        <v>1100</v>
      </c>
      <c r="H126" t="s">
        <v>1625</v>
      </c>
      <c r="J126" t="s">
        <v>2205</v>
      </c>
      <c r="K126">
        <v>11233</v>
      </c>
      <c r="N126" t="s">
        <v>2233</v>
      </c>
      <c r="O126" t="s">
        <v>2338</v>
      </c>
      <c r="Q126" t="s">
        <v>3016</v>
      </c>
      <c r="R126">
        <v>3</v>
      </c>
      <c r="S126">
        <v>1</v>
      </c>
      <c r="T126">
        <v>124.85</v>
      </c>
      <c r="W126">
        <v>32150</v>
      </c>
      <c r="Y126">
        <v>2</v>
      </c>
      <c r="Z126" t="s">
        <v>221</v>
      </c>
      <c r="AA126" t="s">
        <v>90</v>
      </c>
      <c r="AC126" t="s">
        <v>3942</v>
      </c>
      <c r="AD126" t="s">
        <v>221</v>
      </c>
      <c r="AF126" t="s">
        <v>4050</v>
      </c>
      <c r="AH126" t="s">
        <v>3510</v>
      </c>
      <c r="AJ126" t="s">
        <v>3943</v>
      </c>
      <c r="AL126" t="s">
        <v>4092</v>
      </c>
      <c r="AM126" t="s">
        <v>2230</v>
      </c>
      <c r="AO126">
        <v>2100</v>
      </c>
      <c r="AQ126">
        <v>4</v>
      </c>
      <c r="AS126" t="s">
        <v>4114</v>
      </c>
      <c r="AU126" t="s">
        <v>4129</v>
      </c>
      <c r="AW126">
        <v>3</v>
      </c>
      <c r="AY126" t="s">
        <v>4140</v>
      </c>
      <c r="BA126" t="s">
        <v>4149</v>
      </c>
      <c r="BC126" t="s">
        <v>4155</v>
      </c>
      <c r="BD126" t="s">
        <v>4157</v>
      </c>
      <c r="BE126" t="s">
        <v>4179</v>
      </c>
      <c r="BG126" t="s">
        <v>4341</v>
      </c>
      <c r="BM126" t="s">
        <v>4627</v>
      </c>
    </row>
    <row r="127" spans="1:65">
      <c r="A127" s="1">
        <f>HYPERLINK("https://lsnyc.legalserver.org/matter/dynamic-profile/view/1882511","18-1882511")</f>
        <v>0</v>
      </c>
      <c r="B127" t="s">
        <v>72</v>
      </c>
      <c r="C127" t="s">
        <v>93</v>
      </c>
      <c r="D127" t="s">
        <v>118</v>
      </c>
      <c r="F127" t="s">
        <v>567</v>
      </c>
      <c r="G127" t="s">
        <v>1101</v>
      </c>
      <c r="H127" t="s">
        <v>1626</v>
      </c>
      <c r="I127">
        <v>2</v>
      </c>
      <c r="J127" t="s">
        <v>2205</v>
      </c>
      <c r="K127">
        <v>11233</v>
      </c>
      <c r="N127" t="s">
        <v>2233</v>
      </c>
      <c r="O127" t="s">
        <v>2339</v>
      </c>
      <c r="Q127" t="s">
        <v>3017</v>
      </c>
      <c r="R127">
        <v>3</v>
      </c>
      <c r="S127">
        <v>0</v>
      </c>
      <c r="T127">
        <v>190.57</v>
      </c>
      <c r="W127">
        <v>39600</v>
      </c>
      <c r="Y127">
        <v>30.1</v>
      </c>
      <c r="Z127" t="s">
        <v>3820</v>
      </c>
      <c r="AA127" t="s">
        <v>3903</v>
      </c>
      <c r="AC127" t="s">
        <v>3942</v>
      </c>
      <c r="AD127" t="s">
        <v>168</v>
      </c>
      <c r="AF127" t="s">
        <v>4053</v>
      </c>
      <c r="AH127" t="s">
        <v>4076</v>
      </c>
      <c r="AJ127" t="s">
        <v>3943</v>
      </c>
      <c r="AL127" t="s">
        <v>4092</v>
      </c>
      <c r="AM127" t="s">
        <v>2230</v>
      </c>
      <c r="AO127">
        <v>1025</v>
      </c>
      <c r="AQ127">
        <v>3</v>
      </c>
      <c r="AS127" t="s">
        <v>4114</v>
      </c>
      <c r="AU127" t="s">
        <v>4128</v>
      </c>
      <c r="AW127">
        <v>8</v>
      </c>
      <c r="AY127" t="s">
        <v>4140</v>
      </c>
      <c r="BA127" t="s">
        <v>4149</v>
      </c>
      <c r="BC127" t="s">
        <v>4155</v>
      </c>
      <c r="BD127" t="s">
        <v>4157</v>
      </c>
      <c r="BE127">
        <v>17593488</v>
      </c>
      <c r="BG127" t="s">
        <v>4342</v>
      </c>
      <c r="BM127" t="s">
        <v>4627</v>
      </c>
    </row>
    <row r="128" spans="1:65">
      <c r="A128" s="1">
        <f>HYPERLINK("https://lsnyc.legalserver.org/matter/dynamic-profile/view/1886767","18-1886767")</f>
        <v>0</v>
      </c>
      <c r="B128" t="s">
        <v>72</v>
      </c>
      <c r="C128" t="s">
        <v>93</v>
      </c>
      <c r="D128" t="s">
        <v>181</v>
      </c>
      <c r="F128" t="s">
        <v>568</v>
      </c>
      <c r="G128" t="s">
        <v>1017</v>
      </c>
      <c r="H128" t="s">
        <v>1627</v>
      </c>
      <c r="I128" t="s">
        <v>1960</v>
      </c>
      <c r="J128" t="s">
        <v>2205</v>
      </c>
      <c r="K128">
        <v>11206</v>
      </c>
      <c r="N128" t="s">
        <v>2233</v>
      </c>
      <c r="O128" t="s">
        <v>2340</v>
      </c>
      <c r="Q128" t="s">
        <v>3018</v>
      </c>
      <c r="R128">
        <v>1</v>
      </c>
      <c r="S128">
        <v>0</v>
      </c>
      <c r="T128">
        <v>128.5</v>
      </c>
      <c r="W128">
        <v>15600</v>
      </c>
      <c r="X128" t="s">
        <v>3499</v>
      </c>
      <c r="Y128">
        <v>28.8</v>
      </c>
      <c r="Z128" t="s">
        <v>360</v>
      </c>
      <c r="AA128" t="s">
        <v>70</v>
      </c>
      <c r="AC128" t="s">
        <v>3942</v>
      </c>
      <c r="AD128" t="s">
        <v>181</v>
      </c>
      <c r="AF128" t="s">
        <v>4053</v>
      </c>
      <c r="AH128" t="s">
        <v>4076</v>
      </c>
      <c r="AJ128" t="s">
        <v>3943</v>
      </c>
      <c r="AL128" t="s">
        <v>4086</v>
      </c>
      <c r="AM128" t="s">
        <v>2230</v>
      </c>
      <c r="AO128">
        <v>296</v>
      </c>
      <c r="AQ128">
        <v>272</v>
      </c>
      <c r="AS128" t="s">
        <v>4113</v>
      </c>
      <c r="AU128" t="s">
        <v>4129</v>
      </c>
      <c r="AW128">
        <v>8</v>
      </c>
      <c r="AY128" t="s">
        <v>4140</v>
      </c>
      <c r="BB128" t="s">
        <v>4154</v>
      </c>
      <c r="BG128" t="s">
        <v>4343</v>
      </c>
      <c r="BM128" t="s">
        <v>4627</v>
      </c>
    </row>
    <row r="129" spans="1:65">
      <c r="A129" s="1">
        <f>HYPERLINK("https://lsnyc.legalserver.org/matter/dynamic-profile/view/1902901","19-1902901")</f>
        <v>0</v>
      </c>
      <c r="B129" t="s">
        <v>72</v>
      </c>
      <c r="C129" t="s">
        <v>93</v>
      </c>
      <c r="D129" t="s">
        <v>182</v>
      </c>
      <c r="E129" t="s">
        <v>125</v>
      </c>
      <c r="F129" t="s">
        <v>543</v>
      </c>
      <c r="G129" t="s">
        <v>1102</v>
      </c>
      <c r="H129" t="s">
        <v>1628</v>
      </c>
      <c r="I129" t="s">
        <v>1961</v>
      </c>
      <c r="J129" t="s">
        <v>2205</v>
      </c>
      <c r="K129">
        <v>11208</v>
      </c>
      <c r="L129" t="s">
        <v>2224</v>
      </c>
      <c r="N129" t="s">
        <v>2233</v>
      </c>
      <c r="O129" t="s">
        <v>2341</v>
      </c>
      <c r="Q129" t="s">
        <v>3019</v>
      </c>
      <c r="R129">
        <v>1</v>
      </c>
      <c r="S129">
        <v>0</v>
      </c>
      <c r="T129">
        <v>176.97</v>
      </c>
      <c r="W129">
        <v>22104</v>
      </c>
      <c r="Y129">
        <v>3</v>
      </c>
      <c r="Z129" t="s">
        <v>3817</v>
      </c>
      <c r="AA129" t="s">
        <v>3904</v>
      </c>
      <c r="AC129" t="s">
        <v>3942</v>
      </c>
      <c r="AD129" t="s">
        <v>3817</v>
      </c>
      <c r="AF129" t="s">
        <v>4050</v>
      </c>
      <c r="AH129" t="s">
        <v>4081</v>
      </c>
      <c r="AJ129" t="s">
        <v>3943</v>
      </c>
      <c r="AL129" t="s">
        <v>4093</v>
      </c>
      <c r="AM129" t="s">
        <v>2230</v>
      </c>
      <c r="AO129">
        <v>1300</v>
      </c>
      <c r="AQ129">
        <v>2</v>
      </c>
      <c r="AS129" t="s">
        <v>4114</v>
      </c>
      <c r="AU129" t="s">
        <v>4070</v>
      </c>
      <c r="AW129">
        <v>14</v>
      </c>
      <c r="AY129" t="s">
        <v>4140</v>
      </c>
      <c r="BA129" t="s">
        <v>4149</v>
      </c>
      <c r="BC129" t="s">
        <v>4155</v>
      </c>
      <c r="BD129" t="s">
        <v>4157</v>
      </c>
      <c r="BE129" t="s">
        <v>4180</v>
      </c>
      <c r="BG129" t="s">
        <v>4344</v>
      </c>
      <c r="BM129" t="s">
        <v>4628</v>
      </c>
    </row>
    <row r="130" spans="1:65">
      <c r="A130" s="1">
        <f>HYPERLINK("https://lsnyc.legalserver.org/matter/dynamic-profile/view/1913760","19-1913760")</f>
        <v>0</v>
      </c>
      <c r="B130" t="s">
        <v>72</v>
      </c>
      <c r="C130" t="s">
        <v>93</v>
      </c>
      <c r="D130" t="s">
        <v>183</v>
      </c>
      <c r="F130" t="s">
        <v>569</v>
      </c>
      <c r="G130" t="s">
        <v>1103</v>
      </c>
      <c r="H130" t="s">
        <v>1629</v>
      </c>
      <c r="I130" t="s">
        <v>1962</v>
      </c>
      <c r="J130" t="s">
        <v>2205</v>
      </c>
      <c r="K130">
        <v>11208</v>
      </c>
      <c r="N130" t="s">
        <v>2233</v>
      </c>
      <c r="O130" t="s">
        <v>2342</v>
      </c>
      <c r="Q130" t="s">
        <v>3020</v>
      </c>
      <c r="R130">
        <v>1</v>
      </c>
      <c r="S130">
        <v>0</v>
      </c>
      <c r="T130">
        <v>176.11</v>
      </c>
      <c r="W130">
        <v>21996</v>
      </c>
      <c r="Y130">
        <v>0</v>
      </c>
      <c r="AA130" t="s">
        <v>70</v>
      </c>
      <c r="AB130" t="s">
        <v>3940</v>
      </c>
      <c r="AC130" t="s">
        <v>3944</v>
      </c>
      <c r="AF130" t="s">
        <v>4053</v>
      </c>
      <c r="AH130" t="s">
        <v>4079</v>
      </c>
      <c r="AJ130" t="s">
        <v>3943</v>
      </c>
      <c r="AL130" t="s">
        <v>4086</v>
      </c>
      <c r="AM130" t="s">
        <v>2230</v>
      </c>
      <c r="AO130">
        <v>859</v>
      </c>
      <c r="AQ130">
        <v>1276</v>
      </c>
      <c r="AS130" t="s">
        <v>4113</v>
      </c>
      <c r="AU130" t="s">
        <v>4129</v>
      </c>
      <c r="AW130">
        <v>2</v>
      </c>
      <c r="AY130" t="s">
        <v>4140</v>
      </c>
      <c r="AZ130" t="s">
        <v>4148</v>
      </c>
      <c r="BB130" t="s">
        <v>4154</v>
      </c>
      <c r="BG130" t="s">
        <v>4345</v>
      </c>
      <c r="BM130" t="s">
        <v>4627</v>
      </c>
    </row>
    <row r="131" spans="1:65">
      <c r="A131" s="1">
        <f>HYPERLINK("https://lsnyc.legalserver.org/matter/dynamic-profile/view/1842901","17-1842901")</f>
        <v>0</v>
      </c>
      <c r="B131" t="s">
        <v>72</v>
      </c>
      <c r="C131" t="s">
        <v>93</v>
      </c>
      <c r="D131" t="s">
        <v>184</v>
      </c>
      <c r="F131" t="s">
        <v>570</v>
      </c>
      <c r="G131" t="s">
        <v>1104</v>
      </c>
      <c r="H131" t="s">
        <v>1630</v>
      </c>
      <c r="I131" t="s">
        <v>1963</v>
      </c>
      <c r="J131" t="s">
        <v>2205</v>
      </c>
      <c r="K131">
        <v>11218</v>
      </c>
      <c r="N131" t="s">
        <v>2233</v>
      </c>
      <c r="O131" t="s">
        <v>2343</v>
      </c>
      <c r="Q131" t="s">
        <v>3021</v>
      </c>
      <c r="R131">
        <v>1</v>
      </c>
      <c r="S131">
        <v>0</v>
      </c>
      <c r="T131">
        <v>301.82</v>
      </c>
      <c r="U131" t="s">
        <v>3447</v>
      </c>
      <c r="V131" t="s">
        <v>3458</v>
      </c>
      <c r="W131">
        <v>36400</v>
      </c>
      <c r="Y131">
        <v>45.85</v>
      </c>
      <c r="Z131" t="s">
        <v>3821</v>
      </c>
      <c r="AA131" t="s">
        <v>3897</v>
      </c>
      <c r="AC131" t="s">
        <v>3942</v>
      </c>
      <c r="AD131" t="s">
        <v>184</v>
      </c>
      <c r="AF131" t="s">
        <v>4050</v>
      </c>
      <c r="AH131" t="s">
        <v>4076</v>
      </c>
      <c r="AI131" t="s">
        <v>4082</v>
      </c>
      <c r="AK131" t="s">
        <v>4084</v>
      </c>
      <c r="AM131" t="s">
        <v>2230</v>
      </c>
      <c r="AO131">
        <v>1064.93</v>
      </c>
      <c r="AQ131">
        <v>46</v>
      </c>
      <c r="AS131" t="s">
        <v>4113</v>
      </c>
      <c r="AT131" t="s">
        <v>4127</v>
      </c>
      <c r="AW131">
        <v>14</v>
      </c>
      <c r="AY131" t="s">
        <v>4140</v>
      </c>
      <c r="BB131" t="s">
        <v>4154</v>
      </c>
      <c r="BG131" t="s">
        <v>4346</v>
      </c>
      <c r="BM131" t="s">
        <v>4627</v>
      </c>
    </row>
    <row r="132" spans="1:65">
      <c r="A132" s="1">
        <f>HYPERLINK("https://lsnyc.legalserver.org/matter/dynamic-profile/view/1884464","18-1884464")</f>
        <v>0</v>
      </c>
      <c r="B132" t="s">
        <v>72</v>
      </c>
      <c r="C132" t="s">
        <v>93</v>
      </c>
      <c r="D132" t="s">
        <v>185</v>
      </c>
      <c r="F132" t="s">
        <v>571</v>
      </c>
      <c r="G132" t="s">
        <v>1105</v>
      </c>
      <c r="H132" t="s">
        <v>1631</v>
      </c>
      <c r="I132" t="s">
        <v>1964</v>
      </c>
      <c r="J132" t="s">
        <v>2205</v>
      </c>
      <c r="K132">
        <v>11233</v>
      </c>
      <c r="N132" t="s">
        <v>2233</v>
      </c>
      <c r="O132" t="s">
        <v>2344</v>
      </c>
      <c r="Q132" t="s">
        <v>3022</v>
      </c>
      <c r="R132">
        <v>1</v>
      </c>
      <c r="S132">
        <v>0</v>
      </c>
      <c r="T132">
        <v>306.43</v>
      </c>
      <c r="U132" t="s">
        <v>453</v>
      </c>
      <c r="V132" t="s">
        <v>3458</v>
      </c>
      <c r="W132">
        <v>37200</v>
      </c>
      <c r="X132" t="s">
        <v>3499</v>
      </c>
      <c r="Y132">
        <v>71.90000000000001</v>
      </c>
      <c r="Z132" t="s">
        <v>357</v>
      </c>
      <c r="AA132" t="s">
        <v>3902</v>
      </c>
      <c r="AC132" t="s">
        <v>3942</v>
      </c>
      <c r="AD132" t="s">
        <v>185</v>
      </c>
      <c r="AF132" t="s">
        <v>4053</v>
      </c>
      <c r="AH132" t="s">
        <v>4076</v>
      </c>
      <c r="AJ132" t="s">
        <v>3943</v>
      </c>
      <c r="AL132" t="s">
        <v>4092</v>
      </c>
      <c r="AM132" t="s">
        <v>2230</v>
      </c>
      <c r="AO132">
        <v>2050</v>
      </c>
      <c r="AQ132">
        <v>6</v>
      </c>
      <c r="AS132" t="s">
        <v>4113</v>
      </c>
      <c r="AU132" t="s">
        <v>4128</v>
      </c>
      <c r="AV132" t="s">
        <v>4137</v>
      </c>
      <c r="AW132">
        <v>0</v>
      </c>
      <c r="AY132" t="s">
        <v>4140</v>
      </c>
      <c r="BA132" t="s">
        <v>4149</v>
      </c>
      <c r="BB132" t="s">
        <v>4154</v>
      </c>
      <c r="BE132" t="s">
        <v>4128</v>
      </c>
      <c r="BG132" t="s">
        <v>4347</v>
      </c>
      <c r="BM132" t="s">
        <v>4627</v>
      </c>
    </row>
    <row r="133" spans="1:65">
      <c r="A133" s="1">
        <f>HYPERLINK("https://lsnyc.legalserver.org/matter/dynamic-profile/view/1906165","19-1906165")</f>
        <v>0</v>
      </c>
      <c r="B133" t="s">
        <v>72</v>
      </c>
      <c r="C133" t="s">
        <v>93</v>
      </c>
      <c r="D133" t="s">
        <v>186</v>
      </c>
      <c r="F133" t="s">
        <v>572</v>
      </c>
      <c r="G133" t="s">
        <v>1106</v>
      </c>
      <c r="H133" t="s">
        <v>1632</v>
      </c>
      <c r="I133" t="s">
        <v>1965</v>
      </c>
      <c r="J133" t="s">
        <v>2205</v>
      </c>
      <c r="K133">
        <v>11233</v>
      </c>
      <c r="N133" t="s">
        <v>2233</v>
      </c>
      <c r="O133" t="s">
        <v>2345</v>
      </c>
      <c r="Q133" t="s">
        <v>3023</v>
      </c>
      <c r="R133">
        <v>1</v>
      </c>
      <c r="S133">
        <v>0</v>
      </c>
      <c r="T133">
        <v>98.8</v>
      </c>
      <c r="W133">
        <v>12340</v>
      </c>
      <c r="Y133">
        <v>12.1</v>
      </c>
      <c r="Z133" t="s">
        <v>298</v>
      </c>
      <c r="AA133" t="s">
        <v>3890</v>
      </c>
      <c r="AC133" t="s">
        <v>3942</v>
      </c>
      <c r="AD133" t="s">
        <v>3816</v>
      </c>
      <c r="AF133" t="s">
        <v>4053</v>
      </c>
      <c r="AH133" t="s">
        <v>4076</v>
      </c>
      <c r="AJ133" t="s">
        <v>3943</v>
      </c>
      <c r="AL133" t="s">
        <v>4070</v>
      </c>
      <c r="AM133" t="s">
        <v>2230</v>
      </c>
      <c r="AO133">
        <v>2100</v>
      </c>
      <c r="AQ133">
        <v>287</v>
      </c>
      <c r="AS133" t="s">
        <v>4113</v>
      </c>
      <c r="AU133" t="s">
        <v>4129</v>
      </c>
      <c r="AW133">
        <v>3</v>
      </c>
      <c r="AY133" t="s">
        <v>4140</v>
      </c>
      <c r="BA133" t="s">
        <v>4152</v>
      </c>
      <c r="BC133" t="s">
        <v>4155</v>
      </c>
      <c r="BD133" t="s">
        <v>4157</v>
      </c>
      <c r="BE133">
        <v>6659617</v>
      </c>
      <c r="BG133" t="s">
        <v>4348</v>
      </c>
      <c r="BM133" t="s">
        <v>4627</v>
      </c>
    </row>
    <row r="134" spans="1:65">
      <c r="A134" s="1">
        <f>HYPERLINK("https://lsnyc.legalserver.org/matter/dynamic-profile/view/1851961","17-1851961")</f>
        <v>0</v>
      </c>
      <c r="B134" t="s">
        <v>72</v>
      </c>
      <c r="C134" t="s">
        <v>93</v>
      </c>
      <c r="D134" t="s">
        <v>187</v>
      </c>
      <c r="F134" t="s">
        <v>573</v>
      </c>
      <c r="G134" t="s">
        <v>1107</v>
      </c>
      <c r="H134" t="s">
        <v>1633</v>
      </c>
      <c r="I134" t="s">
        <v>1966</v>
      </c>
      <c r="J134" t="s">
        <v>2205</v>
      </c>
      <c r="K134">
        <v>11233</v>
      </c>
      <c r="N134" t="s">
        <v>2233</v>
      </c>
      <c r="O134" t="s">
        <v>2346</v>
      </c>
      <c r="Q134" t="s">
        <v>3024</v>
      </c>
      <c r="R134">
        <v>1</v>
      </c>
      <c r="S134">
        <v>0</v>
      </c>
      <c r="T134">
        <v>0</v>
      </c>
      <c r="W134">
        <v>0</v>
      </c>
      <c r="Y134">
        <v>23.7</v>
      </c>
      <c r="Z134" t="s">
        <v>102</v>
      </c>
      <c r="AA134" t="s">
        <v>90</v>
      </c>
      <c r="AC134" t="s">
        <v>3942</v>
      </c>
      <c r="AD134" t="s">
        <v>3948</v>
      </c>
      <c r="AE134" t="s">
        <v>4049</v>
      </c>
      <c r="AH134" t="s">
        <v>4076</v>
      </c>
      <c r="AJ134" t="s">
        <v>3942</v>
      </c>
      <c r="AL134" t="s">
        <v>4100</v>
      </c>
      <c r="AM134" t="s">
        <v>2230</v>
      </c>
      <c r="AO134">
        <v>776</v>
      </c>
      <c r="AQ134">
        <v>764</v>
      </c>
      <c r="AS134" t="s">
        <v>4113</v>
      </c>
      <c r="AU134" t="s">
        <v>4128</v>
      </c>
      <c r="AW134">
        <v>29</v>
      </c>
      <c r="AY134" t="s">
        <v>4140</v>
      </c>
      <c r="BB134" t="s">
        <v>4154</v>
      </c>
      <c r="BE134" t="s">
        <v>4128</v>
      </c>
      <c r="BF134" t="s">
        <v>4281</v>
      </c>
      <c r="BM134" t="s">
        <v>4627</v>
      </c>
    </row>
    <row r="135" spans="1:65">
      <c r="A135" s="1">
        <f>HYPERLINK("https://lsnyc.legalserver.org/matter/dynamic-profile/view/1915667","19-1915667")</f>
        <v>0</v>
      </c>
      <c r="B135" t="s">
        <v>72</v>
      </c>
      <c r="C135" t="s">
        <v>93</v>
      </c>
      <c r="D135" t="s">
        <v>122</v>
      </c>
      <c r="F135" t="s">
        <v>574</v>
      </c>
      <c r="G135" t="s">
        <v>1030</v>
      </c>
      <c r="H135" t="s">
        <v>1634</v>
      </c>
      <c r="I135" t="s">
        <v>1967</v>
      </c>
      <c r="J135" t="s">
        <v>2205</v>
      </c>
      <c r="K135">
        <v>11233</v>
      </c>
      <c r="N135" t="s">
        <v>2233</v>
      </c>
      <c r="O135" t="s">
        <v>2347</v>
      </c>
      <c r="Q135" t="s">
        <v>3025</v>
      </c>
      <c r="R135">
        <v>2</v>
      </c>
      <c r="S135">
        <v>2</v>
      </c>
      <c r="T135">
        <v>837.53</v>
      </c>
      <c r="W135">
        <v>215664</v>
      </c>
      <c r="Y135">
        <v>0</v>
      </c>
      <c r="AA135" t="s">
        <v>70</v>
      </c>
      <c r="AB135" t="s">
        <v>3940</v>
      </c>
      <c r="AC135" t="s">
        <v>3944</v>
      </c>
      <c r="AF135" t="s">
        <v>4053</v>
      </c>
      <c r="AG135" t="s">
        <v>4075</v>
      </c>
      <c r="AJ135" t="s">
        <v>3943</v>
      </c>
      <c r="AL135" t="s">
        <v>4086</v>
      </c>
      <c r="AM135" t="s">
        <v>2230</v>
      </c>
      <c r="AO135">
        <v>1000</v>
      </c>
      <c r="AQ135">
        <v>3</v>
      </c>
      <c r="AS135" t="s">
        <v>4115</v>
      </c>
      <c r="AU135" t="s">
        <v>4128</v>
      </c>
      <c r="AW135">
        <v>7</v>
      </c>
      <c r="AY135" t="s">
        <v>4140</v>
      </c>
      <c r="AZ135" t="s">
        <v>4148</v>
      </c>
      <c r="BB135" t="s">
        <v>4154</v>
      </c>
      <c r="BE135" t="s">
        <v>4128</v>
      </c>
      <c r="BG135" t="s">
        <v>4349</v>
      </c>
      <c r="BM135" t="s">
        <v>4627</v>
      </c>
    </row>
    <row r="136" spans="1:65">
      <c r="A136" s="1">
        <f>HYPERLINK("https://lsnyc.legalserver.org/matter/dynamic-profile/view/1913378","19-1913378")</f>
        <v>0</v>
      </c>
      <c r="B136" t="s">
        <v>72</v>
      </c>
      <c r="C136" t="s">
        <v>93</v>
      </c>
      <c r="D136" t="s">
        <v>139</v>
      </c>
      <c r="F136" t="s">
        <v>559</v>
      </c>
      <c r="G136" t="s">
        <v>1108</v>
      </c>
      <c r="H136" t="s">
        <v>1635</v>
      </c>
      <c r="I136" t="s">
        <v>1942</v>
      </c>
      <c r="J136" t="s">
        <v>2205</v>
      </c>
      <c r="K136">
        <v>11212</v>
      </c>
      <c r="N136" t="s">
        <v>2233</v>
      </c>
      <c r="O136" t="s">
        <v>2348</v>
      </c>
      <c r="Q136" t="s">
        <v>3026</v>
      </c>
      <c r="R136">
        <v>1</v>
      </c>
      <c r="S136">
        <v>2</v>
      </c>
      <c r="T136">
        <v>163.62</v>
      </c>
      <c r="W136">
        <v>34900</v>
      </c>
      <c r="Y136">
        <v>3.1</v>
      </c>
      <c r="Z136" t="s">
        <v>204</v>
      </c>
      <c r="AA136" t="s">
        <v>90</v>
      </c>
      <c r="AB136" t="s">
        <v>3940</v>
      </c>
      <c r="AC136" t="s">
        <v>3943</v>
      </c>
      <c r="AF136" t="s">
        <v>4053</v>
      </c>
      <c r="AG136" t="s">
        <v>4075</v>
      </c>
      <c r="AJ136" t="s">
        <v>3943</v>
      </c>
      <c r="AL136" t="s">
        <v>4093</v>
      </c>
      <c r="AM136" t="s">
        <v>2230</v>
      </c>
      <c r="AO136">
        <v>1500</v>
      </c>
      <c r="AQ136">
        <v>32</v>
      </c>
      <c r="AS136" t="s">
        <v>4113</v>
      </c>
      <c r="AU136" t="s">
        <v>4128</v>
      </c>
      <c r="AW136">
        <v>3</v>
      </c>
      <c r="AY136" t="s">
        <v>4140</v>
      </c>
      <c r="BA136" t="s">
        <v>4149</v>
      </c>
      <c r="BB136" t="s">
        <v>4154</v>
      </c>
      <c r="BC136" t="s">
        <v>4128</v>
      </c>
      <c r="BD136" t="s">
        <v>4157</v>
      </c>
      <c r="BE136" t="s">
        <v>4181</v>
      </c>
      <c r="BG136" t="s">
        <v>4350</v>
      </c>
      <c r="BM136" t="s">
        <v>4627</v>
      </c>
    </row>
    <row r="137" spans="1:65">
      <c r="A137" s="1">
        <f>HYPERLINK("https://lsnyc.legalserver.org/matter/dynamic-profile/view/1851310","17-1851310")</f>
        <v>0</v>
      </c>
      <c r="B137" t="s">
        <v>72</v>
      </c>
      <c r="C137" t="s">
        <v>93</v>
      </c>
      <c r="D137" t="s">
        <v>188</v>
      </c>
      <c r="F137" t="s">
        <v>575</v>
      </c>
      <c r="G137" t="s">
        <v>1109</v>
      </c>
      <c r="H137" t="s">
        <v>1636</v>
      </c>
      <c r="I137" t="s">
        <v>1968</v>
      </c>
      <c r="J137" t="s">
        <v>2205</v>
      </c>
      <c r="K137">
        <v>11233</v>
      </c>
      <c r="N137" t="s">
        <v>2233</v>
      </c>
      <c r="O137" t="s">
        <v>2349</v>
      </c>
      <c r="Q137" t="s">
        <v>3027</v>
      </c>
      <c r="R137">
        <v>1</v>
      </c>
      <c r="S137">
        <v>2</v>
      </c>
      <c r="T137">
        <v>48.27</v>
      </c>
      <c r="W137">
        <v>9857</v>
      </c>
      <c r="Y137">
        <v>28.65</v>
      </c>
      <c r="Z137" t="s">
        <v>156</v>
      </c>
      <c r="AA137" t="s">
        <v>3905</v>
      </c>
      <c r="AC137" t="s">
        <v>3942</v>
      </c>
      <c r="AD137" t="s">
        <v>3966</v>
      </c>
      <c r="AF137" t="s">
        <v>4053</v>
      </c>
      <c r="AH137" t="s">
        <v>4076</v>
      </c>
      <c r="AJ137" t="s">
        <v>3943</v>
      </c>
      <c r="AL137" t="s">
        <v>4102</v>
      </c>
      <c r="AM137" t="s">
        <v>2230</v>
      </c>
      <c r="AO137">
        <v>1113</v>
      </c>
      <c r="AQ137">
        <v>66</v>
      </c>
      <c r="AS137" t="s">
        <v>4116</v>
      </c>
      <c r="AU137" t="s">
        <v>4131</v>
      </c>
      <c r="AW137">
        <v>-1</v>
      </c>
      <c r="AY137" t="s">
        <v>4140</v>
      </c>
      <c r="BB137" t="s">
        <v>4154</v>
      </c>
      <c r="BE137" t="s">
        <v>4182</v>
      </c>
      <c r="BG137" t="s">
        <v>4351</v>
      </c>
      <c r="BM137" t="s">
        <v>4627</v>
      </c>
    </row>
    <row r="138" spans="1:65">
      <c r="A138" s="1">
        <f>HYPERLINK("https://lsnyc.legalserver.org/matter/dynamic-profile/view/1879944","18-1879944")</f>
        <v>0</v>
      </c>
      <c r="B138" t="s">
        <v>72</v>
      </c>
      <c r="C138" t="s">
        <v>93</v>
      </c>
      <c r="D138" t="s">
        <v>189</v>
      </c>
      <c r="F138" t="s">
        <v>576</v>
      </c>
      <c r="G138" t="s">
        <v>1110</v>
      </c>
      <c r="H138" t="s">
        <v>1637</v>
      </c>
      <c r="I138" t="s">
        <v>1930</v>
      </c>
      <c r="J138" t="s">
        <v>2205</v>
      </c>
      <c r="K138">
        <v>11213</v>
      </c>
      <c r="N138" t="s">
        <v>2233</v>
      </c>
      <c r="O138" t="s">
        <v>2350</v>
      </c>
      <c r="P138" t="s">
        <v>2930</v>
      </c>
      <c r="R138">
        <v>1</v>
      </c>
      <c r="S138">
        <v>0</v>
      </c>
      <c r="T138">
        <v>172.59</v>
      </c>
      <c r="W138">
        <v>20952</v>
      </c>
      <c r="Y138">
        <v>50.2</v>
      </c>
      <c r="Z138" t="s">
        <v>116</v>
      </c>
      <c r="AA138" t="s">
        <v>72</v>
      </c>
      <c r="AC138" t="s">
        <v>3942</v>
      </c>
      <c r="AD138" t="s">
        <v>189</v>
      </c>
      <c r="AF138" t="s">
        <v>4052</v>
      </c>
      <c r="AH138" t="s">
        <v>4076</v>
      </c>
      <c r="AJ138" t="s">
        <v>3942</v>
      </c>
      <c r="AL138" t="s">
        <v>4070</v>
      </c>
      <c r="AM138" t="s">
        <v>2230</v>
      </c>
      <c r="AO138">
        <v>575</v>
      </c>
      <c r="AQ138">
        <v>6</v>
      </c>
      <c r="AS138" t="s">
        <v>4113</v>
      </c>
      <c r="AU138" t="s">
        <v>4128</v>
      </c>
      <c r="AW138">
        <v>22</v>
      </c>
      <c r="AY138" t="s">
        <v>4140</v>
      </c>
      <c r="BA138" t="s">
        <v>4149</v>
      </c>
      <c r="BB138" t="s">
        <v>4154</v>
      </c>
      <c r="BG138" t="s">
        <v>4352</v>
      </c>
      <c r="BM138" t="s">
        <v>4627</v>
      </c>
    </row>
    <row r="139" spans="1:65">
      <c r="A139" s="1">
        <f>HYPERLINK("https://lsnyc.legalserver.org/matter/dynamic-profile/view/1889626","19-1889626")</f>
        <v>0</v>
      </c>
      <c r="B139" t="s">
        <v>72</v>
      </c>
      <c r="C139" t="s">
        <v>93</v>
      </c>
      <c r="D139" t="s">
        <v>190</v>
      </c>
      <c r="E139" t="s">
        <v>125</v>
      </c>
      <c r="F139" t="s">
        <v>577</v>
      </c>
      <c r="G139" t="s">
        <v>1111</v>
      </c>
      <c r="H139" t="s">
        <v>1638</v>
      </c>
      <c r="I139" t="s">
        <v>1968</v>
      </c>
      <c r="J139" t="s">
        <v>2205</v>
      </c>
      <c r="K139">
        <v>11207</v>
      </c>
      <c r="L139" t="s">
        <v>2223</v>
      </c>
      <c r="N139" t="s">
        <v>2233</v>
      </c>
      <c r="O139" t="s">
        <v>2351</v>
      </c>
      <c r="Q139" t="s">
        <v>3028</v>
      </c>
      <c r="R139">
        <v>1</v>
      </c>
      <c r="S139">
        <v>5</v>
      </c>
      <c r="T139">
        <v>8.33</v>
      </c>
      <c r="W139">
        <v>2880</v>
      </c>
      <c r="Y139">
        <v>9.1</v>
      </c>
      <c r="Z139" t="s">
        <v>430</v>
      </c>
      <c r="AA139" t="s">
        <v>90</v>
      </c>
      <c r="AC139" t="s">
        <v>3942</v>
      </c>
      <c r="AD139" t="s">
        <v>439</v>
      </c>
      <c r="AF139" t="s">
        <v>4053</v>
      </c>
      <c r="AH139" t="s">
        <v>4076</v>
      </c>
      <c r="AJ139" t="s">
        <v>3943</v>
      </c>
      <c r="AL139" t="s">
        <v>4086</v>
      </c>
      <c r="AM139" t="s">
        <v>2230</v>
      </c>
      <c r="AO139">
        <v>1250</v>
      </c>
      <c r="AQ139">
        <v>6</v>
      </c>
      <c r="AS139" t="s">
        <v>4113</v>
      </c>
      <c r="AU139" t="s">
        <v>4128</v>
      </c>
      <c r="AW139">
        <v>5</v>
      </c>
      <c r="AY139" t="s">
        <v>4140</v>
      </c>
      <c r="BA139" t="s">
        <v>4149</v>
      </c>
      <c r="BC139" t="s">
        <v>4155</v>
      </c>
      <c r="BE139" t="s">
        <v>4183</v>
      </c>
      <c r="BG139" t="s">
        <v>4353</v>
      </c>
      <c r="BH139" t="s">
        <v>4619</v>
      </c>
      <c r="BJ139" t="s">
        <v>4622</v>
      </c>
      <c r="BL139" t="s">
        <v>4626</v>
      </c>
      <c r="BM139" t="s">
        <v>4628</v>
      </c>
    </row>
    <row r="140" spans="1:65">
      <c r="A140" s="1">
        <f>HYPERLINK("https://lsnyc.legalserver.org/matter/dynamic-profile/view/1878835","18-1878835")</f>
        <v>0</v>
      </c>
      <c r="B140" t="s">
        <v>72</v>
      </c>
      <c r="C140" t="s">
        <v>93</v>
      </c>
      <c r="D140" t="s">
        <v>191</v>
      </c>
      <c r="E140" t="s">
        <v>125</v>
      </c>
      <c r="F140" t="s">
        <v>578</v>
      </c>
      <c r="G140" t="s">
        <v>1112</v>
      </c>
      <c r="H140" t="s">
        <v>1639</v>
      </c>
      <c r="I140" t="s">
        <v>1969</v>
      </c>
      <c r="J140" t="s">
        <v>2205</v>
      </c>
      <c r="K140">
        <v>11208</v>
      </c>
      <c r="L140" t="s">
        <v>2223</v>
      </c>
      <c r="N140" t="s">
        <v>2233</v>
      </c>
      <c r="O140" t="s">
        <v>2352</v>
      </c>
      <c r="Q140" t="s">
        <v>3029</v>
      </c>
      <c r="R140">
        <v>1</v>
      </c>
      <c r="S140">
        <v>4</v>
      </c>
      <c r="T140">
        <v>47.76</v>
      </c>
      <c r="W140">
        <v>14050</v>
      </c>
      <c r="X140" t="s">
        <v>3473</v>
      </c>
      <c r="Y140">
        <v>66.75</v>
      </c>
      <c r="Z140" t="s">
        <v>464</v>
      </c>
      <c r="AA140" t="s">
        <v>3901</v>
      </c>
      <c r="AC140" t="s">
        <v>3942</v>
      </c>
      <c r="AD140" t="s">
        <v>191</v>
      </c>
      <c r="AF140" t="s">
        <v>4050</v>
      </c>
      <c r="AH140" t="s">
        <v>4076</v>
      </c>
      <c r="AJ140" t="s">
        <v>3943</v>
      </c>
      <c r="AL140" t="s">
        <v>4094</v>
      </c>
      <c r="AM140" t="s">
        <v>2230</v>
      </c>
      <c r="AO140">
        <v>1956</v>
      </c>
      <c r="AQ140">
        <v>3</v>
      </c>
      <c r="AS140" t="s">
        <v>4114</v>
      </c>
      <c r="AU140" t="s">
        <v>4131</v>
      </c>
      <c r="AW140">
        <v>1</v>
      </c>
      <c r="AY140" t="s">
        <v>4140</v>
      </c>
      <c r="BA140" t="s">
        <v>4149</v>
      </c>
      <c r="BB140" t="s">
        <v>4154</v>
      </c>
      <c r="BE140" t="s">
        <v>4184</v>
      </c>
      <c r="BG140" t="s">
        <v>4354</v>
      </c>
      <c r="BH140" t="s">
        <v>4619</v>
      </c>
      <c r="BJ140" t="s">
        <v>4622</v>
      </c>
      <c r="BL140" t="s">
        <v>4626</v>
      </c>
      <c r="BM140" t="s">
        <v>4628</v>
      </c>
    </row>
    <row r="141" spans="1:65">
      <c r="A141" s="1">
        <f>HYPERLINK("https://lsnyc.legalserver.org/matter/dynamic-profile/view/1911733","19-1911733")</f>
        <v>0</v>
      </c>
      <c r="B141" t="s">
        <v>72</v>
      </c>
      <c r="C141" t="s">
        <v>93</v>
      </c>
      <c r="D141" t="s">
        <v>192</v>
      </c>
      <c r="F141" t="s">
        <v>579</v>
      </c>
      <c r="G141" t="s">
        <v>1113</v>
      </c>
      <c r="H141" t="s">
        <v>1640</v>
      </c>
      <c r="I141" t="s">
        <v>1926</v>
      </c>
      <c r="J141" t="s">
        <v>2205</v>
      </c>
      <c r="K141">
        <v>11206</v>
      </c>
      <c r="N141" t="s">
        <v>2233</v>
      </c>
      <c r="O141" t="s">
        <v>2353</v>
      </c>
      <c r="Q141" t="s">
        <v>3030</v>
      </c>
      <c r="R141">
        <v>1</v>
      </c>
      <c r="S141">
        <v>4</v>
      </c>
      <c r="T141">
        <v>112.03</v>
      </c>
      <c r="W141">
        <v>33800</v>
      </c>
      <c r="Y141">
        <v>0</v>
      </c>
      <c r="AA141" t="s">
        <v>3905</v>
      </c>
      <c r="AC141" t="s">
        <v>3942</v>
      </c>
      <c r="AD141" t="s">
        <v>192</v>
      </c>
      <c r="AF141" t="s">
        <v>4050</v>
      </c>
      <c r="AG141" t="s">
        <v>4075</v>
      </c>
      <c r="AJ141" t="s">
        <v>3943</v>
      </c>
      <c r="AL141" t="s">
        <v>4070</v>
      </c>
      <c r="AM141" t="s">
        <v>2230</v>
      </c>
      <c r="AO141">
        <v>711</v>
      </c>
      <c r="AQ141">
        <v>82</v>
      </c>
      <c r="AS141" t="s">
        <v>4113</v>
      </c>
      <c r="AU141" t="s">
        <v>4128</v>
      </c>
      <c r="AW141">
        <v>8</v>
      </c>
      <c r="AY141" t="s">
        <v>4140</v>
      </c>
      <c r="BA141" t="s">
        <v>4149</v>
      </c>
      <c r="BC141" t="s">
        <v>4155</v>
      </c>
      <c r="BD141" t="s">
        <v>4157</v>
      </c>
      <c r="BE141" t="s">
        <v>4185</v>
      </c>
      <c r="BF141" t="s">
        <v>4281</v>
      </c>
      <c r="BG141" t="s">
        <v>4355</v>
      </c>
      <c r="BM141" t="s">
        <v>4627</v>
      </c>
    </row>
    <row r="142" spans="1:65">
      <c r="A142" s="1">
        <f>HYPERLINK("https://lsnyc.legalserver.org/matter/dynamic-profile/view/1908695","19-1908695")</f>
        <v>0</v>
      </c>
      <c r="B142" t="s">
        <v>72</v>
      </c>
      <c r="C142" t="s">
        <v>93</v>
      </c>
      <c r="D142" t="s">
        <v>193</v>
      </c>
      <c r="F142" t="s">
        <v>580</v>
      </c>
      <c r="G142" t="s">
        <v>1114</v>
      </c>
      <c r="H142" t="s">
        <v>1641</v>
      </c>
      <c r="I142">
        <v>50</v>
      </c>
      <c r="J142" t="s">
        <v>2205</v>
      </c>
      <c r="K142">
        <v>11207</v>
      </c>
      <c r="N142" t="s">
        <v>2233</v>
      </c>
      <c r="O142" t="s">
        <v>2354</v>
      </c>
      <c r="Q142" t="s">
        <v>3031</v>
      </c>
      <c r="R142">
        <v>3</v>
      </c>
      <c r="S142">
        <v>0</v>
      </c>
      <c r="T142">
        <v>173.46</v>
      </c>
      <c r="W142">
        <v>37000</v>
      </c>
      <c r="Y142">
        <v>0</v>
      </c>
      <c r="AA142" t="s">
        <v>90</v>
      </c>
      <c r="AB142" t="s">
        <v>3940</v>
      </c>
      <c r="AC142" t="s">
        <v>3943</v>
      </c>
      <c r="AF142" t="s">
        <v>4053</v>
      </c>
      <c r="AG142" t="s">
        <v>4075</v>
      </c>
      <c r="AJ142" t="s">
        <v>3943</v>
      </c>
      <c r="AL142" t="s">
        <v>4086</v>
      </c>
      <c r="AM142" t="s">
        <v>2230</v>
      </c>
      <c r="AO142">
        <v>1300</v>
      </c>
      <c r="AQ142">
        <v>83</v>
      </c>
      <c r="AS142" t="s">
        <v>4120</v>
      </c>
      <c r="AU142" t="s">
        <v>4128</v>
      </c>
      <c r="AW142">
        <v>31</v>
      </c>
      <c r="AY142" t="s">
        <v>4140</v>
      </c>
      <c r="BA142" t="s">
        <v>4149</v>
      </c>
      <c r="BB142" t="s">
        <v>4154</v>
      </c>
      <c r="BC142" t="s">
        <v>4128</v>
      </c>
      <c r="BE142" t="s">
        <v>4168</v>
      </c>
      <c r="BG142" t="s">
        <v>4356</v>
      </c>
      <c r="BM142" t="s">
        <v>4627</v>
      </c>
    </row>
    <row r="143" spans="1:65">
      <c r="A143" s="1">
        <f>HYPERLINK("https://lsnyc.legalserver.org/matter/dynamic-profile/view/1913644","19-1913644")</f>
        <v>0</v>
      </c>
      <c r="B143" t="s">
        <v>72</v>
      </c>
      <c r="C143" t="s">
        <v>93</v>
      </c>
      <c r="D143" t="s">
        <v>98</v>
      </c>
      <c r="F143" t="s">
        <v>581</v>
      </c>
      <c r="G143" t="s">
        <v>1115</v>
      </c>
      <c r="H143" t="s">
        <v>1642</v>
      </c>
      <c r="J143" t="s">
        <v>2205</v>
      </c>
      <c r="K143">
        <v>11212</v>
      </c>
      <c r="N143" t="s">
        <v>2233</v>
      </c>
      <c r="O143" t="s">
        <v>2355</v>
      </c>
      <c r="Q143" t="s">
        <v>3032</v>
      </c>
      <c r="R143">
        <v>2</v>
      </c>
      <c r="S143">
        <v>0</v>
      </c>
      <c r="T143">
        <v>5.79</v>
      </c>
      <c r="W143">
        <v>978.6</v>
      </c>
      <c r="Y143">
        <v>1</v>
      </c>
      <c r="Z143" t="s">
        <v>136</v>
      </c>
      <c r="AA143" t="s">
        <v>70</v>
      </c>
      <c r="AB143" t="s">
        <v>3940</v>
      </c>
      <c r="AC143" t="s">
        <v>3943</v>
      </c>
      <c r="AF143" t="s">
        <v>4053</v>
      </c>
      <c r="AH143" t="s">
        <v>4079</v>
      </c>
      <c r="AJ143" t="s">
        <v>3943</v>
      </c>
      <c r="AL143" t="s">
        <v>4070</v>
      </c>
      <c r="AM143" t="s">
        <v>2230</v>
      </c>
      <c r="AO143">
        <v>1417.68</v>
      </c>
      <c r="AQ143">
        <v>19</v>
      </c>
      <c r="AS143" t="s">
        <v>4113</v>
      </c>
      <c r="AU143" t="s">
        <v>4129</v>
      </c>
      <c r="AW143">
        <v>8</v>
      </c>
      <c r="AY143" t="s">
        <v>4140</v>
      </c>
      <c r="BA143" t="s">
        <v>4149</v>
      </c>
      <c r="BB143" t="s">
        <v>4154</v>
      </c>
      <c r="BC143" t="s">
        <v>4128</v>
      </c>
      <c r="BE143" t="s">
        <v>4186</v>
      </c>
      <c r="BG143" t="s">
        <v>4357</v>
      </c>
      <c r="BM143" t="s">
        <v>4627</v>
      </c>
    </row>
    <row r="144" spans="1:65">
      <c r="A144" s="1">
        <f>HYPERLINK("https://lsnyc.legalserver.org/matter/dynamic-profile/view/1889330","19-1889330")</f>
        <v>0</v>
      </c>
      <c r="B144" t="s">
        <v>72</v>
      </c>
      <c r="C144" t="s">
        <v>93</v>
      </c>
      <c r="D144" t="s">
        <v>194</v>
      </c>
      <c r="E144" t="s">
        <v>125</v>
      </c>
      <c r="F144" t="s">
        <v>582</v>
      </c>
      <c r="G144" t="s">
        <v>1116</v>
      </c>
      <c r="H144" t="s">
        <v>1643</v>
      </c>
      <c r="I144" t="s">
        <v>1970</v>
      </c>
      <c r="J144" t="s">
        <v>2205</v>
      </c>
      <c r="K144">
        <v>11220</v>
      </c>
      <c r="L144" t="s">
        <v>2223</v>
      </c>
      <c r="N144" t="s">
        <v>2233</v>
      </c>
      <c r="O144" t="s">
        <v>2356</v>
      </c>
      <c r="Q144" t="s">
        <v>3033</v>
      </c>
      <c r="R144">
        <v>1</v>
      </c>
      <c r="S144">
        <v>4</v>
      </c>
      <c r="T144">
        <v>57.08</v>
      </c>
      <c r="U144" t="s">
        <v>3444</v>
      </c>
      <c r="V144" t="s">
        <v>3457</v>
      </c>
      <c r="W144">
        <v>17220</v>
      </c>
      <c r="Y144">
        <v>24.5</v>
      </c>
      <c r="Z144" t="s">
        <v>105</v>
      </c>
      <c r="AA144" t="s">
        <v>90</v>
      </c>
      <c r="AC144" t="s">
        <v>3942</v>
      </c>
      <c r="AD144" t="s">
        <v>3967</v>
      </c>
      <c r="AF144" t="s">
        <v>4050</v>
      </c>
      <c r="AH144" t="s">
        <v>4076</v>
      </c>
      <c r="AJ144" t="s">
        <v>3943</v>
      </c>
      <c r="AL144" t="s">
        <v>4091</v>
      </c>
      <c r="AM144" t="s">
        <v>4106</v>
      </c>
      <c r="AO144">
        <v>1176</v>
      </c>
      <c r="AQ144">
        <v>11</v>
      </c>
      <c r="AS144" t="s">
        <v>4117</v>
      </c>
      <c r="AT144" t="s">
        <v>4127</v>
      </c>
      <c r="AW144">
        <v>14</v>
      </c>
      <c r="AY144" t="s">
        <v>4143</v>
      </c>
      <c r="BA144" t="s">
        <v>4149</v>
      </c>
      <c r="BC144" t="s">
        <v>4155</v>
      </c>
      <c r="BE144" t="s">
        <v>4187</v>
      </c>
      <c r="BG144" t="s">
        <v>4358</v>
      </c>
      <c r="BH144" t="s">
        <v>4619</v>
      </c>
      <c r="BJ144" t="s">
        <v>4622</v>
      </c>
      <c r="BL144" t="s">
        <v>4626</v>
      </c>
      <c r="BM144" t="s">
        <v>4628</v>
      </c>
    </row>
    <row r="145" spans="1:65">
      <c r="A145" s="1">
        <f>HYPERLINK("https://lsnyc.legalserver.org/matter/dynamic-profile/view/1898897","19-1898897")</f>
        <v>0</v>
      </c>
      <c r="B145" t="s">
        <v>72</v>
      </c>
      <c r="C145" t="s">
        <v>93</v>
      </c>
      <c r="D145" t="s">
        <v>195</v>
      </c>
      <c r="F145" t="s">
        <v>583</v>
      </c>
      <c r="G145" t="s">
        <v>1117</v>
      </c>
      <c r="H145" t="s">
        <v>1644</v>
      </c>
      <c r="I145" t="s">
        <v>1971</v>
      </c>
      <c r="J145" t="s">
        <v>2205</v>
      </c>
      <c r="K145">
        <v>11233</v>
      </c>
      <c r="N145" t="s">
        <v>2233</v>
      </c>
      <c r="O145" t="s">
        <v>2357</v>
      </c>
      <c r="P145" t="s">
        <v>2930</v>
      </c>
      <c r="R145">
        <v>1</v>
      </c>
      <c r="S145">
        <v>3</v>
      </c>
      <c r="T145">
        <v>57.18</v>
      </c>
      <c r="W145">
        <v>14724</v>
      </c>
      <c r="Y145">
        <v>8.300000000000001</v>
      </c>
      <c r="Z145" t="s">
        <v>225</v>
      </c>
      <c r="AA145" t="s">
        <v>3893</v>
      </c>
      <c r="AC145" t="s">
        <v>3942</v>
      </c>
      <c r="AD145" t="s">
        <v>368</v>
      </c>
      <c r="AF145" t="s">
        <v>4053</v>
      </c>
      <c r="AH145" t="s">
        <v>4076</v>
      </c>
      <c r="AJ145" t="s">
        <v>3943</v>
      </c>
      <c r="AL145" t="s">
        <v>4099</v>
      </c>
      <c r="AM145" t="s">
        <v>2230</v>
      </c>
      <c r="AO145">
        <v>850</v>
      </c>
      <c r="AQ145">
        <v>107</v>
      </c>
      <c r="AS145" t="s">
        <v>4121</v>
      </c>
      <c r="AT145" t="s">
        <v>4127</v>
      </c>
      <c r="AV145" t="s">
        <v>4137</v>
      </c>
      <c r="AW145">
        <v>0</v>
      </c>
      <c r="AY145" t="s">
        <v>4140</v>
      </c>
      <c r="BC145" t="s">
        <v>4155</v>
      </c>
      <c r="BE145" t="s">
        <v>4188</v>
      </c>
      <c r="BG145" t="s">
        <v>4359</v>
      </c>
      <c r="BM145" t="s">
        <v>4627</v>
      </c>
    </row>
    <row r="146" spans="1:65">
      <c r="A146" s="1">
        <f>HYPERLINK("https://lsnyc.legalserver.org/matter/dynamic-profile/view/1912555","19-1912555")</f>
        <v>0</v>
      </c>
      <c r="B146" t="s">
        <v>72</v>
      </c>
      <c r="C146" t="s">
        <v>93</v>
      </c>
      <c r="D146" t="s">
        <v>196</v>
      </c>
      <c r="F146" t="s">
        <v>584</v>
      </c>
      <c r="G146" t="s">
        <v>1118</v>
      </c>
      <c r="H146" t="s">
        <v>1645</v>
      </c>
      <c r="I146">
        <v>2</v>
      </c>
      <c r="J146" t="s">
        <v>2205</v>
      </c>
      <c r="K146">
        <v>11233</v>
      </c>
      <c r="N146" t="s">
        <v>2233</v>
      </c>
      <c r="O146" t="s">
        <v>2358</v>
      </c>
      <c r="Q146" t="s">
        <v>3034</v>
      </c>
      <c r="R146">
        <v>2</v>
      </c>
      <c r="S146">
        <v>2</v>
      </c>
      <c r="T146">
        <v>159.22</v>
      </c>
      <c r="W146">
        <v>41000</v>
      </c>
      <c r="Y146">
        <v>3.8</v>
      </c>
      <c r="Z146" t="s">
        <v>173</v>
      </c>
      <c r="AA146" t="s">
        <v>70</v>
      </c>
      <c r="AC146" t="s">
        <v>3942</v>
      </c>
      <c r="AD146" t="s">
        <v>138</v>
      </c>
      <c r="AF146" t="s">
        <v>4053</v>
      </c>
      <c r="AH146" t="s">
        <v>4079</v>
      </c>
      <c r="AJ146" t="s">
        <v>3943</v>
      </c>
      <c r="AL146" t="s">
        <v>4092</v>
      </c>
      <c r="AM146" t="s">
        <v>2230</v>
      </c>
      <c r="AO146">
        <v>2400</v>
      </c>
      <c r="AQ146">
        <v>2</v>
      </c>
      <c r="AS146" t="s">
        <v>4114</v>
      </c>
      <c r="AU146" t="s">
        <v>4128</v>
      </c>
      <c r="AV146" t="s">
        <v>4137</v>
      </c>
      <c r="AW146">
        <v>0</v>
      </c>
      <c r="AY146" t="s">
        <v>4140</v>
      </c>
      <c r="BC146" t="s">
        <v>4155</v>
      </c>
      <c r="BD146" t="s">
        <v>4157</v>
      </c>
      <c r="BE146" t="s">
        <v>4189</v>
      </c>
      <c r="BG146" t="s">
        <v>4360</v>
      </c>
      <c r="BM146" t="s">
        <v>4627</v>
      </c>
    </row>
    <row r="147" spans="1:65">
      <c r="A147" s="1">
        <f>HYPERLINK("https://lsnyc.legalserver.org/matter/dynamic-profile/view/1908285","19-1908285")</f>
        <v>0</v>
      </c>
      <c r="B147" t="s">
        <v>72</v>
      </c>
      <c r="C147" t="s">
        <v>93</v>
      </c>
      <c r="D147" t="s">
        <v>162</v>
      </c>
      <c r="E147" t="s">
        <v>125</v>
      </c>
      <c r="F147" t="s">
        <v>574</v>
      </c>
      <c r="G147" t="s">
        <v>1030</v>
      </c>
      <c r="H147" t="s">
        <v>1634</v>
      </c>
      <c r="I147" t="s">
        <v>1967</v>
      </c>
      <c r="J147" t="s">
        <v>2205</v>
      </c>
      <c r="K147">
        <v>11233</v>
      </c>
      <c r="L147" t="s">
        <v>2223</v>
      </c>
      <c r="N147" t="s">
        <v>2233</v>
      </c>
      <c r="O147" t="s">
        <v>2347</v>
      </c>
      <c r="Q147" t="s">
        <v>3025</v>
      </c>
      <c r="R147">
        <v>2</v>
      </c>
      <c r="S147">
        <v>2</v>
      </c>
      <c r="T147">
        <v>276.72</v>
      </c>
      <c r="W147">
        <v>71256</v>
      </c>
      <c r="Y147">
        <v>2.5</v>
      </c>
      <c r="Z147" t="s">
        <v>137</v>
      </c>
      <c r="AA147" t="s">
        <v>70</v>
      </c>
      <c r="AC147" t="s">
        <v>3942</v>
      </c>
      <c r="AD147" t="s">
        <v>401</v>
      </c>
      <c r="AF147" t="s">
        <v>4053</v>
      </c>
      <c r="AH147" t="s">
        <v>4076</v>
      </c>
      <c r="AJ147" t="s">
        <v>3943</v>
      </c>
      <c r="AL147" t="s">
        <v>4086</v>
      </c>
      <c r="AM147" t="s">
        <v>2230</v>
      </c>
      <c r="AO147">
        <v>1000</v>
      </c>
      <c r="AQ147">
        <v>3</v>
      </c>
      <c r="AS147" t="s">
        <v>4115</v>
      </c>
      <c r="AU147" t="s">
        <v>4128</v>
      </c>
      <c r="AW147">
        <v>7</v>
      </c>
      <c r="AY147" t="s">
        <v>4140</v>
      </c>
      <c r="BA147" t="s">
        <v>4149</v>
      </c>
      <c r="BC147" t="s">
        <v>4155</v>
      </c>
      <c r="BE147" t="s">
        <v>4128</v>
      </c>
      <c r="BG147" t="s">
        <v>4361</v>
      </c>
      <c r="BH147" t="s">
        <v>4619</v>
      </c>
      <c r="BJ147" t="s">
        <v>4622</v>
      </c>
      <c r="BL147" t="s">
        <v>4626</v>
      </c>
      <c r="BM147" t="s">
        <v>4628</v>
      </c>
    </row>
    <row r="148" spans="1:65">
      <c r="A148" s="1">
        <f>HYPERLINK("https://lsnyc.legalserver.org/matter/dynamic-profile/view/1872177","18-1872177")</f>
        <v>0</v>
      </c>
      <c r="B148" t="s">
        <v>72</v>
      </c>
      <c r="C148" t="s">
        <v>93</v>
      </c>
      <c r="D148" t="s">
        <v>197</v>
      </c>
      <c r="F148" t="s">
        <v>585</v>
      </c>
      <c r="G148" t="s">
        <v>1119</v>
      </c>
      <c r="H148" t="s">
        <v>1646</v>
      </c>
      <c r="I148" t="s">
        <v>1944</v>
      </c>
      <c r="J148" t="s">
        <v>2205</v>
      </c>
      <c r="K148">
        <v>11226</v>
      </c>
      <c r="N148" t="s">
        <v>2233</v>
      </c>
      <c r="O148" t="s">
        <v>2359</v>
      </c>
      <c r="Q148" t="s">
        <v>3035</v>
      </c>
      <c r="R148">
        <v>1</v>
      </c>
      <c r="S148">
        <v>0</v>
      </c>
      <c r="T148">
        <v>0</v>
      </c>
      <c r="U148" t="s">
        <v>3444</v>
      </c>
      <c r="V148" t="s">
        <v>3457</v>
      </c>
      <c r="W148">
        <v>0</v>
      </c>
      <c r="Y148">
        <v>53.2</v>
      </c>
      <c r="Z148" t="s">
        <v>116</v>
      </c>
      <c r="AA148" t="s">
        <v>3901</v>
      </c>
      <c r="AC148" t="s">
        <v>3942</v>
      </c>
      <c r="AD148" t="s">
        <v>197</v>
      </c>
      <c r="AF148" t="s">
        <v>4053</v>
      </c>
      <c r="AH148" t="s">
        <v>4076</v>
      </c>
      <c r="AJ148" t="s">
        <v>3943</v>
      </c>
      <c r="AL148" t="s">
        <v>4091</v>
      </c>
      <c r="AM148" t="s">
        <v>4106</v>
      </c>
      <c r="AO148">
        <v>1850</v>
      </c>
      <c r="AQ148">
        <v>16</v>
      </c>
      <c r="AS148" t="s">
        <v>4113</v>
      </c>
      <c r="AT148" t="s">
        <v>4127</v>
      </c>
      <c r="AW148">
        <v>10</v>
      </c>
      <c r="AY148" t="s">
        <v>4140</v>
      </c>
      <c r="BB148" t="s">
        <v>4154</v>
      </c>
      <c r="BE148" t="s">
        <v>4190</v>
      </c>
      <c r="BG148" t="s">
        <v>4362</v>
      </c>
      <c r="BM148" t="s">
        <v>4627</v>
      </c>
    </row>
    <row r="149" spans="1:65">
      <c r="A149" s="1">
        <f>HYPERLINK("https://lsnyc.legalserver.org/matter/dynamic-profile/view/1895973","19-1895973")</f>
        <v>0</v>
      </c>
      <c r="B149" t="s">
        <v>72</v>
      </c>
      <c r="C149" t="s">
        <v>93</v>
      </c>
      <c r="D149" t="s">
        <v>104</v>
      </c>
      <c r="E149" t="s">
        <v>125</v>
      </c>
      <c r="F149" t="s">
        <v>586</v>
      </c>
      <c r="G149" t="s">
        <v>1120</v>
      </c>
      <c r="H149" t="s">
        <v>1647</v>
      </c>
      <c r="I149" t="s">
        <v>1929</v>
      </c>
      <c r="J149" t="s">
        <v>2205</v>
      </c>
      <c r="K149">
        <v>11233</v>
      </c>
      <c r="L149" t="s">
        <v>2223</v>
      </c>
      <c r="N149" t="s">
        <v>2233</v>
      </c>
      <c r="O149" t="s">
        <v>2360</v>
      </c>
      <c r="Q149" t="s">
        <v>3036</v>
      </c>
      <c r="R149">
        <v>1</v>
      </c>
      <c r="S149">
        <v>0</v>
      </c>
      <c r="T149">
        <v>144.12</v>
      </c>
      <c r="W149">
        <v>18000</v>
      </c>
      <c r="Y149">
        <v>8.75</v>
      </c>
      <c r="Z149" t="s">
        <v>258</v>
      </c>
      <c r="AA149" t="s">
        <v>3901</v>
      </c>
      <c r="AC149" t="s">
        <v>3942</v>
      </c>
      <c r="AD149" t="s">
        <v>104</v>
      </c>
      <c r="AF149" t="s">
        <v>4053</v>
      </c>
      <c r="AH149" t="s">
        <v>4076</v>
      </c>
      <c r="AI149" t="s">
        <v>4082</v>
      </c>
      <c r="AL149" t="s">
        <v>4099</v>
      </c>
      <c r="AM149" t="s">
        <v>2230</v>
      </c>
      <c r="AO149">
        <v>327.05</v>
      </c>
      <c r="AQ149">
        <v>6</v>
      </c>
      <c r="AS149" t="s">
        <v>4115</v>
      </c>
      <c r="AT149" t="s">
        <v>4127</v>
      </c>
      <c r="AW149">
        <v>44</v>
      </c>
      <c r="AY149" t="s">
        <v>4140</v>
      </c>
      <c r="BA149" t="s">
        <v>4153</v>
      </c>
      <c r="BC149" t="s">
        <v>4155</v>
      </c>
      <c r="BG149" t="s">
        <v>4363</v>
      </c>
      <c r="BH149" t="s">
        <v>4619</v>
      </c>
      <c r="BJ149" t="s">
        <v>4622</v>
      </c>
      <c r="BL149" t="s">
        <v>4626</v>
      </c>
      <c r="BM149" t="s">
        <v>4628</v>
      </c>
    </row>
    <row r="150" spans="1:65">
      <c r="A150" s="1">
        <f>HYPERLINK("https://lsnyc.legalserver.org/matter/dynamic-profile/view/1896120","19-1896120")</f>
        <v>0</v>
      </c>
      <c r="B150" t="s">
        <v>72</v>
      </c>
      <c r="C150" t="s">
        <v>93</v>
      </c>
      <c r="D150" t="s">
        <v>198</v>
      </c>
      <c r="E150" t="s">
        <v>125</v>
      </c>
      <c r="F150" t="s">
        <v>569</v>
      </c>
      <c r="G150" t="s">
        <v>1103</v>
      </c>
      <c r="H150" t="s">
        <v>1629</v>
      </c>
      <c r="I150" t="s">
        <v>1962</v>
      </c>
      <c r="J150" t="s">
        <v>2205</v>
      </c>
      <c r="K150">
        <v>11208</v>
      </c>
      <c r="L150" t="s">
        <v>2223</v>
      </c>
      <c r="N150" t="s">
        <v>2233</v>
      </c>
      <c r="O150" t="s">
        <v>2342</v>
      </c>
      <c r="Q150" t="s">
        <v>3020</v>
      </c>
      <c r="R150">
        <v>1</v>
      </c>
      <c r="S150">
        <v>0</v>
      </c>
      <c r="T150">
        <v>176.11</v>
      </c>
      <c r="W150">
        <v>21996</v>
      </c>
      <c r="Y150">
        <v>5.65</v>
      </c>
      <c r="Z150" t="s">
        <v>435</v>
      </c>
      <c r="AA150" t="s">
        <v>70</v>
      </c>
      <c r="AC150" t="s">
        <v>3942</v>
      </c>
      <c r="AD150" t="s">
        <v>439</v>
      </c>
      <c r="AF150" t="s">
        <v>4053</v>
      </c>
      <c r="AH150" t="s">
        <v>4076</v>
      </c>
      <c r="AJ150" t="s">
        <v>3943</v>
      </c>
      <c r="AL150" t="s">
        <v>4093</v>
      </c>
      <c r="AM150" t="s">
        <v>2230</v>
      </c>
      <c r="AO150">
        <v>859</v>
      </c>
      <c r="AQ150">
        <v>1276</v>
      </c>
      <c r="AS150" t="s">
        <v>4113</v>
      </c>
      <c r="AU150" t="s">
        <v>4129</v>
      </c>
      <c r="AW150">
        <v>2</v>
      </c>
      <c r="AY150" t="s">
        <v>4140</v>
      </c>
      <c r="BA150" t="s">
        <v>4149</v>
      </c>
      <c r="BC150" t="s">
        <v>4155</v>
      </c>
      <c r="BG150" t="s">
        <v>4364</v>
      </c>
      <c r="BH150" t="s">
        <v>4619</v>
      </c>
      <c r="BJ150" t="s">
        <v>4622</v>
      </c>
      <c r="BL150" t="s">
        <v>4626</v>
      </c>
      <c r="BM150" t="s">
        <v>4628</v>
      </c>
    </row>
    <row r="151" spans="1:65">
      <c r="A151" s="1">
        <f>HYPERLINK("https://lsnyc.legalserver.org/matter/dynamic-profile/view/1899003","19-1899003")</f>
        <v>0</v>
      </c>
      <c r="B151" t="s">
        <v>72</v>
      </c>
      <c r="C151" t="s">
        <v>93</v>
      </c>
      <c r="D151" t="s">
        <v>199</v>
      </c>
      <c r="E151" t="s">
        <v>125</v>
      </c>
      <c r="F151" t="s">
        <v>552</v>
      </c>
      <c r="G151" t="s">
        <v>1121</v>
      </c>
      <c r="H151" t="s">
        <v>1648</v>
      </c>
      <c r="I151" t="s">
        <v>1972</v>
      </c>
      <c r="J151" t="s">
        <v>2205</v>
      </c>
      <c r="K151">
        <v>11208</v>
      </c>
      <c r="L151" t="s">
        <v>2223</v>
      </c>
      <c r="N151" t="s">
        <v>2233</v>
      </c>
      <c r="O151" t="s">
        <v>2361</v>
      </c>
      <c r="Q151" t="s">
        <v>3037</v>
      </c>
      <c r="R151">
        <v>1</v>
      </c>
      <c r="S151">
        <v>2</v>
      </c>
      <c r="T151">
        <v>14.18</v>
      </c>
      <c r="W151">
        <v>3024</v>
      </c>
      <c r="X151" t="s">
        <v>3500</v>
      </c>
      <c r="Y151">
        <v>19.7</v>
      </c>
      <c r="Z151" t="s">
        <v>423</v>
      </c>
      <c r="AA151" t="s">
        <v>70</v>
      </c>
      <c r="AC151" t="s">
        <v>3942</v>
      </c>
      <c r="AD151" t="s">
        <v>170</v>
      </c>
      <c r="AF151" t="s">
        <v>4050</v>
      </c>
      <c r="AH151" t="s">
        <v>4076</v>
      </c>
      <c r="AJ151" t="s">
        <v>3943</v>
      </c>
      <c r="AK151" t="s">
        <v>4084</v>
      </c>
      <c r="AM151" t="s">
        <v>2230</v>
      </c>
      <c r="AO151">
        <v>1297</v>
      </c>
      <c r="AQ151">
        <v>2</v>
      </c>
      <c r="AS151" t="s">
        <v>4114</v>
      </c>
      <c r="AU151" t="s">
        <v>4129</v>
      </c>
      <c r="AW151">
        <v>12</v>
      </c>
      <c r="AY151" t="s">
        <v>4140</v>
      </c>
      <c r="BA151" t="s">
        <v>4150</v>
      </c>
      <c r="BC151" t="s">
        <v>4155</v>
      </c>
      <c r="BD151" t="s">
        <v>4157</v>
      </c>
      <c r="BE151">
        <v>4798867</v>
      </c>
      <c r="BG151" t="s">
        <v>4365</v>
      </c>
      <c r="BH151" t="s">
        <v>4619</v>
      </c>
      <c r="BJ151" t="s">
        <v>4622</v>
      </c>
      <c r="BL151" t="s">
        <v>4626</v>
      </c>
      <c r="BM151" t="s">
        <v>4628</v>
      </c>
    </row>
    <row r="152" spans="1:65">
      <c r="A152" s="1">
        <f>HYPERLINK("https://lsnyc.legalserver.org/matter/dynamic-profile/view/1899657","19-1899657")</f>
        <v>0</v>
      </c>
      <c r="B152" t="s">
        <v>72</v>
      </c>
      <c r="C152" t="s">
        <v>93</v>
      </c>
      <c r="D152" t="s">
        <v>200</v>
      </c>
      <c r="E152" t="s">
        <v>125</v>
      </c>
      <c r="F152" t="s">
        <v>587</v>
      </c>
      <c r="G152" t="s">
        <v>1086</v>
      </c>
      <c r="H152" t="s">
        <v>1649</v>
      </c>
      <c r="I152" t="s">
        <v>1941</v>
      </c>
      <c r="J152" t="s">
        <v>2205</v>
      </c>
      <c r="K152">
        <v>11212</v>
      </c>
      <c r="L152" t="s">
        <v>2223</v>
      </c>
      <c r="N152" t="s">
        <v>2233</v>
      </c>
      <c r="O152" t="s">
        <v>2362</v>
      </c>
      <c r="Q152" t="s">
        <v>3038</v>
      </c>
      <c r="R152">
        <v>2</v>
      </c>
      <c r="S152">
        <v>0</v>
      </c>
      <c r="T152">
        <v>260.2</v>
      </c>
      <c r="W152">
        <v>44000</v>
      </c>
      <c r="X152" t="s">
        <v>3501</v>
      </c>
      <c r="Y152">
        <v>1.5</v>
      </c>
      <c r="Z152" t="s">
        <v>3822</v>
      </c>
      <c r="AA152" t="s">
        <v>70</v>
      </c>
      <c r="AC152" t="s">
        <v>3942</v>
      </c>
      <c r="AD152" t="s">
        <v>439</v>
      </c>
      <c r="AF152" t="s">
        <v>4053</v>
      </c>
      <c r="AH152" t="s">
        <v>4076</v>
      </c>
      <c r="AJ152" t="s">
        <v>3943</v>
      </c>
      <c r="AL152" t="s">
        <v>4070</v>
      </c>
      <c r="AM152" t="s">
        <v>2230</v>
      </c>
      <c r="AO152">
        <v>1025</v>
      </c>
      <c r="AQ152">
        <v>82</v>
      </c>
      <c r="AR152" t="s">
        <v>4112</v>
      </c>
      <c r="AU152" t="s">
        <v>4129</v>
      </c>
      <c r="AW152">
        <v>12</v>
      </c>
      <c r="AY152" t="s">
        <v>4140</v>
      </c>
      <c r="BA152" t="s">
        <v>4149</v>
      </c>
      <c r="BC152" t="s">
        <v>4155</v>
      </c>
      <c r="BG152" t="s">
        <v>4366</v>
      </c>
      <c r="BH152" t="s">
        <v>4619</v>
      </c>
      <c r="BJ152" t="s">
        <v>4622</v>
      </c>
      <c r="BL152" t="s">
        <v>4626</v>
      </c>
      <c r="BM152" t="s">
        <v>4628</v>
      </c>
    </row>
    <row r="153" spans="1:65">
      <c r="A153" s="1">
        <f>HYPERLINK("https://lsnyc.legalserver.org/matter/dynamic-profile/view/1893854","19-1893854")</f>
        <v>0</v>
      </c>
      <c r="B153" t="s">
        <v>72</v>
      </c>
      <c r="C153" t="s">
        <v>93</v>
      </c>
      <c r="D153" t="s">
        <v>201</v>
      </c>
      <c r="E153" t="s">
        <v>125</v>
      </c>
      <c r="F153" t="s">
        <v>588</v>
      </c>
      <c r="G153" t="s">
        <v>1122</v>
      </c>
      <c r="H153" t="s">
        <v>1650</v>
      </c>
      <c r="I153" t="s">
        <v>1972</v>
      </c>
      <c r="J153" t="s">
        <v>2205</v>
      </c>
      <c r="K153">
        <v>11208</v>
      </c>
      <c r="L153" t="s">
        <v>2222</v>
      </c>
      <c r="N153" t="s">
        <v>2233</v>
      </c>
      <c r="O153" t="s">
        <v>2363</v>
      </c>
      <c r="Q153" t="s">
        <v>3039</v>
      </c>
      <c r="R153">
        <v>1</v>
      </c>
      <c r="S153">
        <v>2</v>
      </c>
      <c r="T153">
        <v>135.96</v>
      </c>
      <c r="W153">
        <v>29000</v>
      </c>
      <c r="Y153">
        <v>1.3</v>
      </c>
      <c r="Z153" t="s">
        <v>431</v>
      </c>
      <c r="AA153" t="s">
        <v>70</v>
      </c>
      <c r="AC153" t="s">
        <v>3942</v>
      </c>
      <c r="AD153" t="s">
        <v>439</v>
      </c>
      <c r="AF153" t="s">
        <v>4053</v>
      </c>
      <c r="AH153" t="s">
        <v>4081</v>
      </c>
      <c r="AJ153" t="s">
        <v>3943</v>
      </c>
      <c r="AK153" t="s">
        <v>4084</v>
      </c>
      <c r="AM153" t="s">
        <v>2230</v>
      </c>
      <c r="AO153">
        <v>1550</v>
      </c>
      <c r="AQ153">
        <v>2</v>
      </c>
      <c r="AS153" t="s">
        <v>4114</v>
      </c>
      <c r="AU153" t="s">
        <v>4128</v>
      </c>
      <c r="AW153">
        <v>5</v>
      </c>
      <c r="AY153" t="s">
        <v>4140</v>
      </c>
      <c r="BC153" t="s">
        <v>4155</v>
      </c>
      <c r="BG153" t="s">
        <v>4367</v>
      </c>
      <c r="BM153" t="s">
        <v>4628</v>
      </c>
    </row>
    <row r="154" spans="1:65">
      <c r="A154" s="1">
        <f>HYPERLINK("https://lsnyc.legalserver.org/matter/dynamic-profile/view/1885583","18-1885583")</f>
        <v>0</v>
      </c>
      <c r="B154" t="s">
        <v>72</v>
      </c>
      <c r="C154" t="s">
        <v>93</v>
      </c>
      <c r="D154" t="s">
        <v>202</v>
      </c>
      <c r="F154" t="s">
        <v>589</v>
      </c>
      <c r="G154" t="s">
        <v>1123</v>
      </c>
      <c r="H154" t="s">
        <v>1651</v>
      </c>
      <c r="I154" t="s">
        <v>1928</v>
      </c>
      <c r="J154" t="s">
        <v>2205</v>
      </c>
      <c r="K154">
        <v>11233</v>
      </c>
      <c r="N154" t="s">
        <v>2233</v>
      </c>
      <c r="O154" t="s">
        <v>2364</v>
      </c>
      <c r="Q154" t="s">
        <v>3040</v>
      </c>
      <c r="R154">
        <v>1</v>
      </c>
      <c r="S154">
        <v>0</v>
      </c>
      <c r="T154">
        <v>28.67</v>
      </c>
      <c r="W154">
        <v>3480</v>
      </c>
      <c r="Y154">
        <v>44.5</v>
      </c>
      <c r="Z154" t="s">
        <v>110</v>
      </c>
      <c r="AA154" t="s">
        <v>70</v>
      </c>
      <c r="AC154" t="s">
        <v>3942</v>
      </c>
      <c r="AD154" t="s">
        <v>3872</v>
      </c>
      <c r="AF154" t="s">
        <v>4053</v>
      </c>
      <c r="AH154" t="s">
        <v>4076</v>
      </c>
      <c r="AJ154" t="s">
        <v>3943</v>
      </c>
      <c r="AL154" t="s">
        <v>4086</v>
      </c>
      <c r="AM154" t="s">
        <v>2230</v>
      </c>
      <c r="AO154">
        <v>619</v>
      </c>
      <c r="AQ154">
        <v>34</v>
      </c>
      <c r="AS154" t="s">
        <v>4113</v>
      </c>
      <c r="AU154" t="s">
        <v>4128</v>
      </c>
      <c r="AW154">
        <v>6</v>
      </c>
      <c r="AY154" t="s">
        <v>4140</v>
      </c>
      <c r="BB154" t="s">
        <v>4154</v>
      </c>
      <c r="BD154" t="s">
        <v>4157</v>
      </c>
      <c r="BE154" t="s">
        <v>4191</v>
      </c>
      <c r="BG154" t="s">
        <v>4368</v>
      </c>
      <c r="BM154" t="s">
        <v>4627</v>
      </c>
    </row>
    <row r="155" spans="1:65">
      <c r="A155" s="1">
        <f>HYPERLINK("https://lsnyc.legalserver.org/matter/dynamic-profile/view/1908740","19-1908740")</f>
        <v>0</v>
      </c>
      <c r="B155" t="s">
        <v>72</v>
      </c>
      <c r="C155" t="s">
        <v>93</v>
      </c>
      <c r="D155" t="s">
        <v>203</v>
      </c>
      <c r="E155" t="s">
        <v>125</v>
      </c>
      <c r="F155" t="s">
        <v>559</v>
      </c>
      <c r="G155" t="s">
        <v>1124</v>
      </c>
      <c r="H155" t="s">
        <v>1652</v>
      </c>
      <c r="I155" t="s">
        <v>1921</v>
      </c>
      <c r="J155" t="s">
        <v>2205</v>
      </c>
      <c r="K155">
        <v>11233</v>
      </c>
      <c r="L155" t="s">
        <v>2223</v>
      </c>
      <c r="N155" t="s">
        <v>2233</v>
      </c>
      <c r="O155" t="s">
        <v>2365</v>
      </c>
      <c r="Q155" t="s">
        <v>3041</v>
      </c>
      <c r="R155">
        <v>1</v>
      </c>
      <c r="S155">
        <v>0</v>
      </c>
      <c r="T155">
        <v>0</v>
      </c>
      <c r="W155">
        <v>0</v>
      </c>
      <c r="Y155">
        <v>2.7</v>
      </c>
      <c r="Z155" t="s">
        <v>125</v>
      </c>
      <c r="AA155" t="s">
        <v>90</v>
      </c>
      <c r="AC155" t="s">
        <v>3942</v>
      </c>
      <c r="AD155" t="s">
        <v>244</v>
      </c>
      <c r="AF155" t="s">
        <v>4050</v>
      </c>
      <c r="AH155" t="s">
        <v>4076</v>
      </c>
      <c r="AJ155" t="s">
        <v>3943</v>
      </c>
      <c r="AL155" t="s">
        <v>4088</v>
      </c>
      <c r="AM155" t="s">
        <v>2230</v>
      </c>
      <c r="AO155">
        <v>1129</v>
      </c>
      <c r="AQ155">
        <v>8</v>
      </c>
      <c r="AS155" t="s">
        <v>4113</v>
      </c>
      <c r="AU155" t="s">
        <v>4128</v>
      </c>
      <c r="AW155">
        <v>3</v>
      </c>
      <c r="AY155" t="s">
        <v>4140</v>
      </c>
      <c r="BA155" t="s">
        <v>4149</v>
      </c>
      <c r="BC155" t="s">
        <v>4155</v>
      </c>
      <c r="BE155" t="s">
        <v>4159</v>
      </c>
      <c r="BG155" t="s">
        <v>4369</v>
      </c>
      <c r="BH155" t="s">
        <v>4619</v>
      </c>
      <c r="BJ155" t="s">
        <v>4622</v>
      </c>
      <c r="BL155" t="s">
        <v>4626</v>
      </c>
      <c r="BM155" t="s">
        <v>4628</v>
      </c>
    </row>
    <row r="156" spans="1:65">
      <c r="A156" s="1">
        <f>HYPERLINK("https://lsnyc.legalserver.org/matter/dynamic-profile/view/1912566","19-1912566")</f>
        <v>0</v>
      </c>
      <c r="B156" t="s">
        <v>72</v>
      </c>
      <c r="C156" t="s">
        <v>93</v>
      </c>
      <c r="D156" t="s">
        <v>196</v>
      </c>
      <c r="E156" t="s">
        <v>173</v>
      </c>
      <c r="F156" t="s">
        <v>590</v>
      </c>
      <c r="G156" t="s">
        <v>1125</v>
      </c>
      <c r="H156" t="s">
        <v>1653</v>
      </c>
      <c r="I156">
        <v>2</v>
      </c>
      <c r="J156" t="s">
        <v>2205</v>
      </c>
      <c r="K156">
        <v>11208</v>
      </c>
      <c r="L156" t="s">
        <v>2222</v>
      </c>
      <c r="N156" t="s">
        <v>2233</v>
      </c>
      <c r="O156" t="s">
        <v>2366</v>
      </c>
      <c r="Q156" t="s">
        <v>3042</v>
      </c>
      <c r="R156">
        <v>1</v>
      </c>
      <c r="S156">
        <v>0</v>
      </c>
      <c r="T156">
        <v>0</v>
      </c>
      <c r="W156">
        <v>0</v>
      </c>
      <c r="X156" t="s">
        <v>3502</v>
      </c>
      <c r="Y156">
        <v>0.2</v>
      </c>
      <c r="Z156" t="s">
        <v>173</v>
      </c>
      <c r="AA156" t="s">
        <v>70</v>
      </c>
      <c r="AB156" t="s">
        <v>3941</v>
      </c>
      <c r="AC156" t="s">
        <v>3943</v>
      </c>
      <c r="AD156" t="s">
        <v>125</v>
      </c>
      <c r="AF156" t="s">
        <v>4053</v>
      </c>
      <c r="AH156" t="s">
        <v>4081</v>
      </c>
      <c r="AJ156" t="s">
        <v>3943</v>
      </c>
      <c r="AL156" t="s">
        <v>4070</v>
      </c>
      <c r="AM156" t="s">
        <v>2230</v>
      </c>
      <c r="AO156">
        <v>2200</v>
      </c>
      <c r="AQ156">
        <v>3</v>
      </c>
      <c r="AS156" t="s">
        <v>4114</v>
      </c>
      <c r="AU156" t="s">
        <v>4128</v>
      </c>
      <c r="AW156">
        <v>3</v>
      </c>
      <c r="AY156" t="s">
        <v>4140</v>
      </c>
      <c r="BC156" t="s">
        <v>4155</v>
      </c>
      <c r="BG156" t="s">
        <v>4370</v>
      </c>
      <c r="BM156" t="s">
        <v>4628</v>
      </c>
    </row>
    <row r="157" spans="1:65">
      <c r="A157" s="1">
        <f>HYPERLINK("https://lsnyc.legalserver.org/matter/dynamic-profile/view/1914262","19-1914262")</f>
        <v>0</v>
      </c>
      <c r="B157" t="s">
        <v>72</v>
      </c>
      <c r="C157" t="s">
        <v>93</v>
      </c>
      <c r="D157" t="s">
        <v>110</v>
      </c>
      <c r="F157" t="s">
        <v>591</v>
      </c>
      <c r="G157" t="s">
        <v>1126</v>
      </c>
      <c r="H157" t="s">
        <v>1654</v>
      </c>
      <c r="I157" t="s">
        <v>1973</v>
      </c>
      <c r="J157" t="s">
        <v>2205</v>
      </c>
      <c r="K157">
        <v>11212</v>
      </c>
      <c r="N157" t="s">
        <v>2233</v>
      </c>
      <c r="O157" t="s">
        <v>2367</v>
      </c>
      <c r="Q157" t="s">
        <v>3043</v>
      </c>
      <c r="R157">
        <v>1</v>
      </c>
      <c r="S157">
        <v>0</v>
      </c>
      <c r="T157">
        <v>29.3</v>
      </c>
      <c r="W157">
        <v>3660</v>
      </c>
      <c r="Y157">
        <v>2</v>
      </c>
      <c r="Z157" t="s">
        <v>134</v>
      </c>
      <c r="AA157" t="s">
        <v>3906</v>
      </c>
      <c r="AB157" t="s">
        <v>3940</v>
      </c>
      <c r="AC157" t="s">
        <v>3943</v>
      </c>
      <c r="AF157" t="s">
        <v>4050</v>
      </c>
      <c r="AH157" t="s">
        <v>4079</v>
      </c>
      <c r="AJ157" t="s">
        <v>3943</v>
      </c>
      <c r="AL157" t="s">
        <v>4086</v>
      </c>
      <c r="AM157" t="s">
        <v>2230</v>
      </c>
      <c r="AO157">
        <v>947</v>
      </c>
      <c r="AQ157">
        <v>54</v>
      </c>
      <c r="AS157" t="s">
        <v>4113</v>
      </c>
      <c r="AT157" t="s">
        <v>4127</v>
      </c>
      <c r="AW157">
        <v>6</v>
      </c>
      <c r="AY157" t="s">
        <v>4140</v>
      </c>
      <c r="BA157" t="s">
        <v>4151</v>
      </c>
      <c r="BB157" t="s">
        <v>4154</v>
      </c>
      <c r="BC157" t="s">
        <v>4128</v>
      </c>
      <c r="BE157" t="s">
        <v>4162</v>
      </c>
      <c r="BG157" t="s">
        <v>4371</v>
      </c>
      <c r="BM157" t="s">
        <v>4627</v>
      </c>
    </row>
    <row r="158" spans="1:65">
      <c r="A158" s="1">
        <f>HYPERLINK("https://lsnyc.legalserver.org/matter/dynamic-profile/view/1915385","19-1915385")</f>
        <v>0</v>
      </c>
      <c r="B158" t="s">
        <v>72</v>
      </c>
      <c r="C158" t="s">
        <v>93</v>
      </c>
      <c r="D158" t="s">
        <v>204</v>
      </c>
      <c r="F158" t="s">
        <v>592</v>
      </c>
      <c r="G158" t="s">
        <v>1039</v>
      </c>
      <c r="H158" t="s">
        <v>1655</v>
      </c>
      <c r="I158" t="s">
        <v>1938</v>
      </c>
      <c r="J158" t="s">
        <v>2205</v>
      </c>
      <c r="K158">
        <v>11233</v>
      </c>
      <c r="N158" t="s">
        <v>2233</v>
      </c>
      <c r="O158" t="s">
        <v>2368</v>
      </c>
      <c r="Q158" t="s">
        <v>3044</v>
      </c>
      <c r="R158">
        <v>1</v>
      </c>
      <c r="S158">
        <v>2</v>
      </c>
      <c r="T158">
        <v>23.65</v>
      </c>
      <c r="W158">
        <v>5044</v>
      </c>
      <c r="Y158">
        <v>0</v>
      </c>
      <c r="AA158" t="s">
        <v>70</v>
      </c>
      <c r="AC158" t="s">
        <v>3942</v>
      </c>
      <c r="AD158" t="s">
        <v>204</v>
      </c>
      <c r="AF158" t="s">
        <v>4053</v>
      </c>
      <c r="AH158" t="s">
        <v>4079</v>
      </c>
      <c r="AJ158" t="s">
        <v>3943</v>
      </c>
      <c r="AL158" t="s">
        <v>4070</v>
      </c>
      <c r="AM158" t="s">
        <v>2230</v>
      </c>
      <c r="AO158">
        <v>368</v>
      </c>
      <c r="AP158" t="s">
        <v>4108</v>
      </c>
      <c r="AQ158" t="s">
        <v>4110</v>
      </c>
      <c r="AS158" t="s">
        <v>4119</v>
      </c>
      <c r="AU158" t="s">
        <v>4128</v>
      </c>
      <c r="AW158">
        <v>5</v>
      </c>
      <c r="AY158" t="s">
        <v>4140</v>
      </c>
      <c r="BC158" t="s">
        <v>4155</v>
      </c>
      <c r="BG158" t="s">
        <v>4372</v>
      </c>
      <c r="BM158" t="s">
        <v>4627</v>
      </c>
    </row>
    <row r="159" spans="1:65">
      <c r="A159" s="1">
        <f>HYPERLINK("https://lsnyc.legalserver.org/matter/dynamic-profile/view/1891056","19-1891056")</f>
        <v>0</v>
      </c>
      <c r="B159" t="s">
        <v>72</v>
      </c>
      <c r="C159" t="s">
        <v>93</v>
      </c>
      <c r="D159" t="s">
        <v>205</v>
      </c>
      <c r="F159" t="s">
        <v>593</v>
      </c>
      <c r="G159" t="s">
        <v>1127</v>
      </c>
      <c r="H159" t="s">
        <v>1597</v>
      </c>
      <c r="J159" t="s">
        <v>2205</v>
      </c>
      <c r="K159">
        <v>11208</v>
      </c>
      <c r="N159" t="s">
        <v>2233</v>
      </c>
      <c r="O159" t="s">
        <v>2369</v>
      </c>
      <c r="Q159" t="s">
        <v>3045</v>
      </c>
      <c r="R159">
        <v>1</v>
      </c>
      <c r="S159">
        <v>0</v>
      </c>
      <c r="T159">
        <v>81.67</v>
      </c>
      <c r="W159">
        <v>10200</v>
      </c>
      <c r="Y159">
        <v>19.2</v>
      </c>
      <c r="Z159" t="s">
        <v>186</v>
      </c>
      <c r="AA159" t="s">
        <v>70</v>
      </c>
      <c r="AC159" t="s">
        <v>3942</v>
      </c>
      <c r="AD159" t="s">
        <v>439</v>
      </c>
      <c r="AF159" t="s">
        <v>4050</v>
      </c>
      <c r="AH159" t="s">
        <v>4076</v>
      </c>
      <c r="AJ159" t="s">
        <v>3943</v>
      </c>
      <c r="AL159" t="s">
        <v>4098</v>
      </c>
      <c r="AM159" t="s">
        <v>2230</v>
      </c>
      <c r="AO159">
        <v>1234</v>
      </c>
      <c r="AQ159">
        <v>210</v>
      </c>
      <c r="AR159" t="s">
        <v>4112</v>
      </c>
      <c r="AU159" t="s">
        <v>4128</v>
      </c>
      <c r="AW159">
        <v>5</v>
      </c>
      <c r="AY159" t="s">
        <v>4140</v>
      </c>
      <c r="BA159" t="s">
        <v>4152</v>
      </c>
      <c r="BC159" t="s">
        <v>4155</v>
      </c>
      <c r="BG159" t="s">
        <v>4373</v>
      </c>
      <c r="BM159" t="s">
        <v>4627</v>
      </c>
    </row>
    <row r="160" spans="1:65">
      <c r="A160" s="1">
        <f>HYPERLINK("https://lsnyc.legalserver.org/matter/dynamic-profile/view/1914713","19-1914713")</f>
        <v>0</v>
      </c>
      <c r="B160" t="s">
        <v>72</v>
      </c>
      <c r="C160" t="s">
        <v>93</v>
      </c>
      <c r="D160" t="s">
        <v>173</v>
      </c>
      <c r="F160" t="s">
        <v>594</v>
      </c>
      <c r="G160" t="s">
        <v>1128</v>
      </c>
      <c r="H160" t="s">
        <v>1642</v>
      </c>
      <c r="I160" t="s">
        <v>1928</v>
      </c>
      <c r="J160" t="s">
        <v>2205</v>
      </c>
      <c r="K160">
        <v>11212</v>
      </c>
      <c r="N160" t="s">
        <v>2233</v>
      </c>
      <c r="O160" t="s">
        <v>2370</v>
      </c>
      <c r="Q160" t="s">
        <v>3046</v>
      </c>
      <c r="R160">
        <v>3</v>
      </c>
      <c r="S160">
        <v>0</v>
      </c>
      <c r="T160">
        <v>135.02</v>
      </c>
      <c r="W160">
        <v>28800</v>
      </c>
      <c r="Y160">
        <v>0</v>
      </c>
      <c r="AA160" t="s">
        <v>90</v>
      </c>
      <c r="AB160" t="s">
        <v>3940</v>
      </c>
      <c r="AC160" t="s">
        <v>3943</v>
      </c>
      <c r="AF160" t="s">
        <v>4053</v>
      </c>
      <c r="AG160" t="s">
        <v>4075</v>
      </c>
      <c r="AJ160" t="s">
        <v>3943</v>
      </c>
      <c r="AL160" t="s">
        <v>4087</v>
      </c>
      <c r="AM160" t="s">
        <v>2230</v>
      </c>
      <c r="AO160">
        <v>706</v>
      </c>
      <c r="AQ160">
        <v>21</v>
      </c>
      <c r="AS160" t="s">
        <v>4113</v>
      </c>
      <c r="AU160" t="s">
        <v>4129</v>
      </c>
      <c r="AW160">
        <v>10</v>
      </c>
      <c r="AY160" t="s">
        <v>4140</v>
      </c>
      <c r="BA160" t="s">
        <v>4149</v>
      </c>
      <c r="BB160" t="s">
        <v>4154</v>
      </c>
      <c r="BC160" t="s">
        <v>4128</v>
      </c>
      <c r="BE160" t="s">
        <v>4128</v>
      </c>
      <c r="BG160" t="s">
        <v>4374</v>
      </c>
      <c r="BM160" t="s">
        <v>4627</v>
      </c>
    </row>
    <row r="161" spans="1:65">
      <c r="A161" s="1">
        <f>HYPERLINK("https://lsnyc.legalserver.org/matter/dynamic-profile/view/1880305","18-1880305")</f>
        <v>0</v>
      </c>
      <c r="B161" t="s">
        <v>72</v>
      </c>
      <c r="C161" t="s">
        <v>93</v>
      </c>
      <c r="D161" t="s">
        <v>117</v>
      </c>
      <c r="F161" t="s">
        <v>595</v>
      </c>
      <c r="G161" t="s">
        <v>1129</v>
      </c>
      <c r="H161" t="s">
        <v>1656</v>
      </c>
      <c r="I161" t="s">
        <v>1931</v>
      </c>
      <c r="J161" t="s">
        <v>2205</v>
      </c>
      <c r="K161">
        <v>11233</v>
      </c>
      <c r="N161" t="s">
        <v>2233</v>
      </c>
      <c r="O161" t="s">
        <v>2371</v>
      </c>
      <c r="Q161" t="s">
        <v>3047</v>
      </c>
      <c r="R161">
        <v>2</v>
      </c>
      <c r="S161">
        <v>0</v>
      </c>
      <c r="T161">
        <v>133.29</v>
      </c>
      <c r="W161">
        <v>21939.36</v>
      </c>
      <c r="Y161">
        <v>69.8</v>
      </c>
      <c r="Z161" t="s">
        <v>110</v>
      </c>
      <c r="AA161" t="s">
        <v>3905</v>
      </c>
      <c r="AC161" t="s">
        <v>3942</v>
      </c>
      <c r="AD161" t="s">
        <v>117</v>
      </c>
      <c r="AF161" t="s">
        <v>4050</v>
      </c>
      <c r="AH161" t="s">
        <v>4076</v>
      </c>
      <c r="AJ161" t="s">
        <v>3943</v>
      </c>
      <c r="AL161" t="s">
        <v>4099</v>
      </c>
      <c r="AM161" t="s">
        <v>2230</v>
      </c>
      <c r="AN161" t="s">
        <v>4107</v>
      </c>
      <c r="AO161">
        <v>0</v>
      </c>
      <c r="AQ161">
        <v>30</v>
      </c>
      <c r="AS161" t="s">
        <v>4113</v>
      </c>
      <c r="AU161" t="s">
        <v>4129</v>
      </c>
      <c r="AW161">
        <v>6</v>
      </c>
      <c r="AY161" t="s">
        <v>4140</v>
      </c>
      <c r="BA161" t="s">
        <v>4149</v>
      </c>
      <c r="BB161" t="s">
        <v>4154</v>
      </c>
      <c r="BG161" t="s">
        <v>4375</v>
      </c>
      <c r="BM161" t="s">
        <v>4627</v>
      </c>
    </row>
    <row r="162" spans="1:65">
      <c r="A162" s="1">
        <f>HYPERLINK("https://lsnyc.legalserver.org/matter/dynamic-profile/view/1889349","19-1889349")</f>
        <v>0</v>
      </c>
      <c r="B162" t="s">
        <v>72</v>
      </c>
      <c r="C162" t="s">
        <v>93</v>
      </c>
      <c r="D162" t="s">
        <v>194</v>
      </c>
      <c r="E162" t="s">
        <v>125</v>
      </c>
      <c r="F162" t="s">
        <v>596</v>
      </c>
      <c r="G162" t="s">
        <v>1130</v>
      </c>
      <c r="H162" t="s">
        <v>1657</v>
      </c>
      <c r="I162" t="s">
        <v>1967</v>
      </c>
      <c r="J162" t="s">
        <v>2205</v>
      </c>
      <c r="K162">
        <v>11203</v>
      </c>
      <c r="L162" t="s">
        <v>2222</v>
      </c>
      <c r="N162" t="s">
        <v>2233</v>
      </c>
      <c r="O162" t="s">
        <v>2372</v>
      </c>
      <c r="Q162" t="s">
        <v>3048</v>
      </c>
      <c r="R162">
        <v>3</v>
      </c>
      <c r="S162">
        <v>0</v>
      </c>
      <c r="T162">
        <v>0</v>
      </c>
      <c r="W162">
        <v>0</v>
      </c>
      <c r="X162" t="s">
        <v>3503</v>
      </c>
      <c r="Y162">
        <v>0.5</v>
      </c>
      <c r="Z162" t="s">
        <v>125</v>
      </c>
      <c r="AA162" t="s">
        <v>90</v>
      </c>
      <c r="AC162" t="s">
        <v>3942</v>
      </c>
      <c r="AD162" t="s">
        <v>370</v>
      </c>
      <c r="AF162" t="s">
        <v>4050</v>
      </c>
      <c r="AH162" t="s">
        <v>4081</v>
      </c>
      <c r="AJ162" t="s">
        <v>3943</v>
      </c>
      <c r="AL162" t="s">
        <v>4103</v>
      </c>
      <c r="AM162" t="s">
        <v>2230</v>
      </c>
      <c r="AO162">
        <v>2500</v>
      </c>
      <c r="AQ162">
        <v>2</v>
      </c>
      <c r="AS162" t="s">
        <v>4114</v>
      </c>
      <c r="AU162" t="s">
        <v>4128</v>
      </c>
      <c r="AW162">
        <v>1</v>
      </c>
      <c r="AY162" t="s">
        <v>4140</v>
      </c>
      <c r="BA162" t="s">
        <v>4149</v>
      </c>
      <c r="BB162" t="s">
        <v>4154</v>
      </c>
      <c r="BE162" t="s">
        <v>4128</v>
      </c>
      <c r="BG162" t="s">
        <v>4376</v>
      </c>
      <c r="BM162" t="s">
        <v>4628</v>
      </c>
    </row>
    <row r="163" spans="1:65">
      <c r="A163" s="1">
        <f>HYPERLINK("https://lsnyc.legalserver.org/matter/dynamic-profile/view/1896004","19-1896004")</f>
        <v>0</v>
      </c>
      <c r="B163" t="s">
        <v>72</v>
      </c>
      <c r="C163" t="s">
        <v>93</v>
      </c>
      <c r="D163" t="s">
        <v>104</v>
      </c>
      <c r="F163" t="s">
        <v>597</v>
      </c>
      <c r="G163" t="s">
        <v>1131</v>
      </c>
      <c r="H163" t="s">
        <v>1618</v>
      </c>
      <c r="I163" t="s">
        <v>1974</v>
      </c>
      <c r="J163" t="s">
        <v>2205</v>
      </c>
      <c r="K163">
        <v>11208</v>
      </c>
      <c r="N163" t="s">
        <v>2233</v>
      </c>
      <c r="O163" t="s">
        <v>2373</v>
      </c>
      <c r="Q163" t="s">
        <v>3049</v>
      </c>
      <c r="R163">
        <v>1</v>
      </c>
      <c r="S163">
        <v>0</v>
      </c>
      <c r="T163">
        <v>17.07</v>
      </c>
      <c r="W163">
        <v>2132</v>
      </c>
      <c r="Y163">
        <v>22.4</v>
      </c>
      <c r="Z163" t="s">
        <v>3823</v>
      </c>
      <c r="AA163" t="s">
        <v>3901</v>
      </c>
      <c r="AC163" t="s">
        <v>3942</v>
      </c>
      <c r="AD163" t="s">
        <v>3968</v>
      </c>
      <c r="AF163" t="s">
        <v>4053</v>
      </c>
      <c r="AH163" t="s">
        <v>4076</v>
      </c>
      <c r="AJ163" t="s">
        <v>3943</v>
      </c>
      <c r="AL163" t="s">
        <v>4099</v>
      </c>
      <c r="AM163" t="s">
        <v>2230</v>
      </c>
      <c r="AO163">
        <v>150</v>
      </c>
      <c r="AQ163">
        <v>6</v>
      </c>
      <c r="AS163" t="s">
        <v>4113</v>
      </c>
      <c r="AU163" t="s">
        <v>4128</v>
      </c>
      <c r="AW163">
        <v>5</v>
      </c>
      <c r="AY163" t="s">
        <v>4140</v>
      </c>
      <c r="BA163" t="s">
        <v>4150</v>
      </c>
      <c r="BC163" t="s">
        <v>4155</v>
      </c>
      <c r="BD163" t="s">
        <v>4157</v>
      </c>
      <c r="BE163" t="s">
        <v>4192</v>
      </c>
      <c r="BG163" t="s">
        <v>4377</v>
      </c>
      <c r="BM163" t="s">
        <v>4627</v>
      </c>
    </row>
    <row r="164" spans="1:65">
      <c r="A164" s="1">
        <f>HYPERLINK("https://lsnyc.legalserver.org/matter/dynamic-profile/view/1884635","18-1884635")</f>
        <v>0</v>
      </c>
      <c r="B164" t="s">
        <v>72</v>
      </c>
      <c r="C164" t="s">
        <v>93</v>
      </c>
      <c r="D164" t="s">
        <v>206</v>
      </c>
      <c r="F164" t="s">
        <v>598</v>
      </c>
      <c r="G164" t="s">
        <v>1087</v>
      </c>
      <c r="H164" t="s">
        <v>1658</v>
      </c>
      <c r="I164" t="s">
        <v>1975</v>
      </c>
      <c r="J164" t="s">
        <v>2205</v>
      </c>
      <c r="K164">
        <v>11233</v>
      </c>
      <c r="N164" t="s">
        <v>2233</v>
      </c>
      <c r="O164" t="s">
        <v>2374</v>
      </c>
      <c r="Q164" t="s">
        <v>3050</v>
      </c>
      <c r="R164">
        <v>1</v>
      </c>
      <c r="S164">
        <v>0</v>
      </c>
      <c r="T164">
        <v>82.54000000000001</v>
      </c>
      <c r="W164">
        <v>10020</v>
      </c>
      <c r="Y164">
        <v>38</v>
      </c>
      <c r="Z164" t="s">
        <v>108</v>
      </c>
      <c r="AA164" t="s">
        <v>3905</v>
      </c>
      <c r="AC164" t="s">
        <v>3942</v>
      </c>
      <c r="AD164" t="s">
        <v>168</v>
      </c>
      <c r="AF164" t="s">
        <v>4053</v>
      </c>
      <c r="AH164" t="s">
        <v>4076</v>
      </c>
      <c r="AJ164" t="s">
        <v>3943</v>
      </c>
      <c r="AL164" t="s">
        <v>4099</v>
      </c>
      <c r="AM164" t="s">
        <v>2230</v>
      </c>
      <c r="AO164">
        <v>530</v>
      </c>
      <c r="AQ164">
        <v>15</v>
      </c>
      <c r="AR164" t="s">
        <v>4112</v>
      </c>
      <c r="AT164" t="s">
        <v>4127</v>
      </c>
      <c r="AW164">
        <v>37</v>
      </c>
      <c r="AY164" t="s">
        <v>4140</v>
      </c>
      <c r="BA164" t="s">
        <v>4149</v>
      </c>
      <c r="BB164" t="s">
        <v>4154</v>
      </c>
      <c r="BG164" t="s">
        <v>4378</v>
      </c>
      <c r="BM164" t="s">
        <v>4627</v>
      </c>
    </row>
    <row r="165" spans="1:65">
      <c r="A165" s="1">
        <f>HYPERLINK("https://lsnyc.legalserver.org/matter/dynamic-profile/view/1883253","18-1883253")</f>
        <v>0</v>
      </c>
      <c r="B165" t="s">
        <v>72</v>
      </c>
      <c r="C165" t="s">
        <v>93</v>
      </c>
      <c r="D165" t="s">
        <v>207</v>
      </c>
      <c r="E165" t="s">
        <v>125</v>
      </c>
      <c r="F165" t="s">
        <v>544</v>
      </c>
      <c r="G165" t="s">
        <v>1132</v>
      </c>
      <c r="H165" t="s">
        <v>1659</v>
      </c>
      <c r="I165" t="s">
        <v>1928</v>
      </c>
      <c r="J165" t="s">
        <v>2205</v>
      </c>
      <c r="K165">
        <v>11233</v>
      </c>
      <c r="L165" t="s">
        <v>2223</v>
      </c>
      <c r="N165" t="s">
        <v>2233</v>
      </c>
      <c r="O165" t="s">
        <v>2375</v>
      </c>
      <c r="Q165" t="s">
        <v>3051</v>
      </c>
      <c r="R165">
        <v>1</v>
      </c>
      <c r="S165">
        <v>0</v>
      </c>
      <c r="T165">
        <v>72.65000000000001</v>
      </c>
      <c r="W165">
        <v>8820</v>
      </c>
      <c r="X165" t="s">
        <v>3499</v>
      </c>
      <c r="Y165">
        <v>15.65</v>
      </c>
      <c r="Z165" t="s">
        <v>3819</v>
      </c>
      <c r="AA165" t="s">
        <v>3907</v>
      </c>
      <c r="AC165" t="s">
        <v>3942</v>
      </c>
      <c r="AD165" t="s">
        <v>207</v>
      </c>
      <c r="AF165" t="s">
        <v>4053</v>
      </c>
      <c r="AH165" t="s">
        <v>4076</v>
      </c>
      <c r="AJ165" t="s">
        <v>3943</v>
      </c>
      <c r="AL165" t="s">
        <v>4070</v>
      </c>
      <c r="AM165" t="s">
        <v>2230</v>
      </c>
      <c r="AO165">
        <v>957.15</v>
      </c>
      <c r="AQ165">
        <v>15</v>
      </c>
      <c r="AS165" t="s">
        <v>4117</v>
      </c>
      <c r="AU165" t="s">
        <v>4128</v>
      </c>
      <c r="AW165">
        <v>25</v>
      </c>
      <c r="AY165" t="s">
        <v>4140</v>
      </c>
      <c r="BA165" t="s">
        <v>4149</v>
      </c>
      <c r="BB165" t="s">
        <v>4154</v>
      </c>
      <c r="BD165" t="s">
        <v>4157</v>
      </c>
      <c r="BE165" t="s">
        <v>4193</v>
      </c>
      <c r="BG165" t="s">
        <v>4379</v>
      </c>
      <c r="BH165" t="s">
        <v>4619</v>
      </c>
      <c r="BJ165" t="s">
        <v>4622</v>
      </c>
      <c r="BL165" t="s">
        <v>4626</v>
      </c>
      <c r="BM165" t="s">
        <v>4628</v>
      </c>
    </row>
    <row r="166" spans="1:65">
      <c r="A166" s="1">
        <f>HYPERLINK("https://lsnyc.legalserver.org/matter/dynamic-profile/view/1887398","19-1887398")</f>
        <v>0</v>
      </c>
      <c r="B166" t="s">
        <v>72</v>
      </c>
      <c r="C166" t="s">
        <v>93</v>
      </c>
      <c r="D166" t="s">
        <v>208</v>
      </c>
      <c r="E166" t="s">
        <v>125</v>
      </c>
      <c r="F166" t="s">
        <v>599</v>
      </c>
      <c r="G166" t="s">
        <v>1049</v>
      </c>
      <c r="H166" t="s">
        <v>1660</v>
      </c>
      <c r="I166">
        <v>2</v>
      </c>
      <c r="J166" t="s">
        <v>2205</v>
      </c>
      <c r="K166">
        <v>11233</v>
      </c>
      <c r="L166" t="s">
        <v>2223</v>
      </c>
      <c r="N166" t="s">
        <v>2233</v>
      </c>
      <c r="O166" t="s">
        <v>2376</v>
      </c>
      <c r="Q166" t="s">
        <v>3052</v>
      </c>
      <c r="R166">
        <v>1</v>
      </c>
      <c r="S166">
        <v>0</v>
      </c>
      <c r="T166">
        <v>17.56</v>
      </c>
      <c r="W166">
        <v>2132</v>
      </c>
      <c r="X166" t="s">
        <v>3504</v>
      </c>
      <c r="Y166">
        <v>30.7</v>
      </c>
      <c r="Z166" t="s">
        <v>3824</v>
      </c>
      <c r="AA166" t="s">
        <v>90</v>
      </c>
      <c r="AC166" t="s">
        <v>3942</v>
      </c>
      <c r="AD166" t="s">
        <v>168</v>
      </c>
      <c r="AF166" t="s">
        <v>4050</v>
      </c>
      <c r="AH166" t="s">
        <v>4076</v>
      </c>
      <c r="AJ166" t="s">
        <v>3943</v>
      </c>
      <c r="AL166" t="s">
        <v>4095</v>
      </c>
      <c r="AM166" t="s">
        <v>2230</v>
      </c>
      <c r="AO166">
        <v>1187</v>
      </c>
      <c r="AQ166">
        <v>6</v>
      </c>
      <c r="AS166" t="s">
        <v>4117</v>
      </c>
      <c r="AU166" t="s">
        <v>4132</v>
      </c>
      <c r="AW166">
        <v>3</v>
      </c>
      <c r="AY166" t="s">
        <v>4140</v>
      </c>
      <c r="BA166" t="s">
        <v>4149</v>
      </c>
      <c r="BB166" t="s">
        <v>4154</v>
      </c>
      <c r="BD166" t="s">
        <v>4157</v>
      </c>
      <c r="BE166">
        <v>805135</v>
      </c>
      <c r="BG166" t="s">
        <v>4380</v>
      </c>
      <c r="BH166" t="s">
        <v>4619</v>
      </c>
      <c r="BJ166" t="s">
        <v>4622</v>
      </c>
      <c r="BL166" t="s">
        <v>4626</v>
      </c>
      <c r="BM166" t="s">
        <v>4628</v>
      </c>
    </row>
    <row r="167" spans="1:65">
      <c r="A167" s="1">
        <f>HYPERLINK("https://lsnyc.legalserver.org/matter/dynamic-profile/view/1879864","18-1879864")</f>
        <v>0</v>
      </c>
      <c r="B167" t="s">
        <v>72</v>
      </c>
      <c r="C167" t="s">
        <v>93</v>
      </c>
      <c r="D167" t="s">
        <v>209</v>
      </c>
      <c r="F167" t="s">
        <v>600</v>
      </c>
      <c r="G167" t="s">
        <v>1030</v>
      </c>
      <c r="H167" t="s">
        <v>1661</v>
      </c>
      <c r="I167" t="s">
        <v>1976</v>
      </c>
      <c r="J167" t="s">
        <v>2205</v>
      </c>
      <c r="K167">
        <v>11212</v>
      </c>
      <c r="N167" t="s">
        <v>2233</v>
      </c>
      <c r="O167" t="s">
        <v>2377</v>
      </c>
      <c r="Q167" t="s">
        <v>3053</v>
      </c>
      <c r="R167">
        <v>1</v>
      </c>
      <c r="S167">
        <v>0</v>
      </c>
      <c r="T167">
        <v>17.45</v>
      </c>
      <c r="W167">
        <v>2119</v>
      </c>
      <c r="Y167">
        <v>7.3</v>
      </c>
      <c r="Z167" t="s">
        <v>3825</v>
      </c>
      <c r="AA167" t="s">
        <v>3908</v>
      </c>
      <c r="AC167" t="s">
        <v>3942</v>
      </c>
      <c r="AD167" t="s">
        <v>3884</v>
      </c>
      <c r="AF167" t="s">
        <v>4053</v>
      </c>
      <c r="AH167" t="s">
        <v>4076</v>
      </c>
      <c r="AI167" t="s">
        <v>4082</v>
      </c>
      <c r="AL167" t="s">
        <v>4099</v>
      </c>
      <c r="AM167" t="s">
        <v>2230</v>
      </c>
      <c r="AO167">
        <v>2100</v>
      </c>
      <c r="AQ167">
        <v>6</v>
      </c>
      <c r="AS167" t="s">
        <v>4120</v>
      </c>
      <c r="AU167" t="s">
        <v>4129</v>
      </c>
      <c r="AV167" t="s">
        <v>4137</v>
      </c>
      <c r="AW167">
        <v>0</v>
      </c>
      <c r="AY167" t="s">
        <v>4140</v>
      </c>
      <c r="BA167" t="s">
        <v>4149</v>
      </c>
      <c r="BB167" t="s">
        <v>4154</v>
      </c>
      <c r="BE167" t="s">
        <v>4194</v>
      </c>
      <c r="BG167" t="s">
        <v>4381</v>
      </c>
      <c r="BM167" t="s">
        <v>4627</v>
      </c>
    </row>
    <row r="168" spans="1:65">
      <c r="A168" s="1">
        <f>HYPERLINK("https://lsnyc.legalserver.org/matter/dynamic-profile/view/1881736","18-1881736")</f>
        <v>0</v>
      </c>
      <c r="B168" t="s">
        <v>73</v>
      </c>
      <c r="C168" t="s">
        <v>93</v>
      </c>
      <c r="D168" t="s">
        <v>210</v>
      </c>
      <c r="F168" t="s">
        <v>601</v>
      </c>
      <c r="G168" t="s">
        <v>1133</v>
      </c>
      <c r="H168" t="s">
        <v>1662</v>
      </c>
      <c r="I168">
        <v>21</v>
      </c>
      <c r="J168" t="s">
        <v>2205</v>
      </c>
      <c r="K168">
        <v>11212</v>
      </c>
      <c r="N168" t="s">
        <v>2233</v>
      </c>
      <c r="O168" t="s">
        <v>2378</v>
      </c>
      <c r="Q168" t="s">
        <v>3054</v>
      </c>
      <c r="R168">
        <v>1</v>
      </c>
      <c r="S168">
        <v>0</v>
      </c>
      <c r="T168">
        <v>42.83</v>
      </c>
      <c r="W168">
        <v>5200</v>
      </c>
      <c r="Y168">
        <v>37.4</v>
      </c>
      <c r="Z168" t="s">
        <v>233</v>
      </c>
      <c r="AA168" t="s">
        <v>90</v>
      </c>
      <c r="AB168" t="s">
        <v>3941</v>
      </c>
      <c r="AC168" t="s">
        <v>3943</v>
      </c>
      <c r="AD168" t="s">
        <v>163</v>
      </c>
      <c r="AF168" t="s">
        <v>4053</v>
      </c>
      <c r="AH168" t="s">
        <v>4076</v>
      </c>
      <c r="AJ168" t="s">
        <v>3943</v>
      </c>
      <c r="AL168" t="s">
        <v>4093</v>
      </c>
      <c r="AM168" t="s">
        <v>2230</v>
      </c>
      <c r="AO168">
        <v>1200</v>
      </c>
      <c r="AQ168">
        <v>23</v>
      </c>
      <c r="AS168" t="s">
        <v>4113</v>
      </c>
      <c r="AU168" t="s">
        <v>4135</v>
      </c>
      <c r="AW168">
        <v>3</v>
      </c>
      <c r="AY168" t="s">
        <v>4140</v>
      </c>
      <c r="BA168" t="s">
        <v>4150</v>
      </c>
      <c r="BC168" t="s">
        <v>4156</v>
      </c>
      <c r="BE168" t="s">
        <v>4195</v>
      </c>
      <c r="BG168" t="s">
        <v>4382</v>
      </c>
      <c r="BM168" t="s">
        <v>4627</v>
      </c>
    </row>
    <row r="169" spans="1:65">
      <c r="A169" s="1">
        <f>HYPERLINK("https://lsnyc.legalserver.org/matter/dynamic-profile/view/1886032","18-1886032")</f>
        <v>0</v>
      </c>
      <c r="B169" t="s">
        <v>73</v>
      </c>
      <c r="C169" t="s">
        <v>93</v>
      </c>
      <c r="D169" t="s">
        <v>211</v>
      </c>
      <c r="F169" t="s">
        <v>602</v>
      </c>
      <c r="G169" t="s">
        <v>1134</v>
      </c>
      <c r="H169" t="s">
        <v>1663</v>
      </c>
      <c r="J169" t="s">
        <v>2205</v>
      </c>
      <c r="K169">
        <v>11213</v>
      </c>
      <c r="N169" t="s">
        <v>2233</v>
      </c>
      <c r="O169" t="s">
        <v>2379</v>
      </c>
      <c r="Q169" t="s">
        <v>3055</v>
      </c>
      <c r="R169">
        <v>2</v>
      </c>
      <c r="S169">
        <v>0</v>
      </c>
      <c r="T169">
        <v>51.03</v>
      </c>
      <c r="W169">
        <v>8400</v>
      </c>
      <c r="Y169">
        <v>123.05</v>
      </c>
      <c r="Z169" t="s">
        <v>3826</v>
      </c>
      <c r="AA169" t="s">
        <v>70</v>
      </c>
      <c r="AC169" t="s">
        <v>3942</v>
      </c>
      <c r="AD169" t="s">
        <v>3884</v>
      </c>
      <c r="AF169" t="s">
        <v>4058</v>
      </c>
      <c r="AH169" t="s">
        <v>4076</v>
      </c>
      <c r="AJ169" t="s">
        <v>3943</v>
      </c>
      <c r="AK169" t="s">
        <v>4084</v>
      </c>
      <c r="AM169" t="s">
        <v>2230</v>
      </c>
      <c r="AO169">
        <v>551</v>
      </c>
      <c r="AQ169">
        <v>6</v>
      </c>
      <c r="AS169" t="s">
        <v>4113</v>
      </c>
      <c r="AU169" t="s">
        <v>4128</v>
      </c>
      <c r="AW169">
        <v>15</v>
      </c>
      <c r="AY169" t="s">
        <v>4140</v>
      </c>
      <c r="BB169" t="s">
        <v>4154</v>
      </c>
      <c r="BF169" t="s">
        <v>4281</v>
      </c>
      <c r="BM169" t="s">
        <v>4627</v>
      </c>
    </row>
    <row r="170" spans="1:65">
      <c r="A170" s="1">
        <f>HYPERLINK("https://lsnyc.legalserver.org/matter/dynamic-profile/view/1914727","19-1914727")</f>
        <v>0</v>
      </c>
      <c r="B170" t="s">
        <v>73</v>
      </c>
      <c r="C170" t="s">
        <v>93</v>
      </c>
      <c r="D170" t="s">
        <v>173</v>
      </c>
      <c r="E170" t="s">
        <v>204</v>
      </c>
      <c r="F170" t="s">
        <v>603</v>
      </c>
      <c r="G170" t="s">
        <v>1135</v>
      </c>
      <c r="H170" t="s">
        <v>1664</v>
      </c>
      <c r="I170" t="s">
        <v>1940</v>
      </c>
      <c r="J170" t="s">
        <v>2205</v>
      </c>
      <c r="K170">
        <v>11207</v>
      </c>
      <c r="L170" t="s">
        <v>2222</v>
      </c>
      <c r="N170" t="s">
        <v>2233</v>
      </c>
      <c r="O170" t="s">
        <v>2380</v>
      </c>
      <c r="Q170" t="s">
        <v>3056</v>
      </c>
      <c r="R170">
        <v>1</v>
      </c>
      <c r="S170">
        <v>0</v>
      </c>
      <c r="T170">
        <v>100.88</v>
      </c>
      <c r="W170">
        <v>12600</v>
      </c>
      <c r="Y170">
        <v>0.5</v>
      </c>
      <c r="Z170" t="s">
        <v>173</v>
      </c>
      <c r="AA170" t="s">
        <v>3909</v>
      </c>
      <c r="AB170" t="s">
        <v>3940</v>
      </c>
      <c r="AC170" t="s">
        <v>3944</v>
      </c>
      <c r="AF170" t="s">
        <v>4050</v>
      </c>
      <c r="AG170" t="s">
        <v>4075</v>
      </c>
      <c r="AI170" t="s">
        <v>4082</v>
      </c>
      <c r="AL170" t="s">
        <v>4086</v>
      </c>
      <c r="AM170" t="s">
        <v>2230</v>
      </c>
      <c r="AO170">
        <v>1560</v>
      </c>
      <c r="AQ170">
        <v>4</v>
      </c>
      <c r="AS170" t="s">
        <v>4117</v>
      </c>
      <c r="AU170" t="s">
        <v>4129</v>
      </c>
      <c r="AW170">
        <v>1</v>
      </c>
      <c r="AY170" t="s">
        <v>4140</v>
      </c>
      <c r="AZ170" t="s">
        <v>4148</v>
      </c>
      <c r="BB170" t="s">
        <v>4154</v>
      </c>
      <c r="BG170" t="s">
        <v>4383</v>
      </c>
      <c r="BM170" t="s">
        <v>4628</v>
      </c>
    </row>
    <row r="171" spans="1:65">
      <c r="A171" s="1">
        <f>HYPERLINK("https://lsnyc.legalserver.org/matter/dynamic-profile/view/1912608","19-1912608")</f>
        <v>0</v>
      </c>
      <c r="B171" t="s">
        <v>73</v>
      </c>
      <c r="C171" t="s">
        <v>93</v>
      </c>
      <c r="D171" t="s">
        <v>196</v>
      </c>
      <c r="F171" t="s">
        <v>604</v>
      </c>
      <c r="G171" t="s">
        <v>1136</v>
      </c>
      <c r="H171" t="s">
        <v>1665</v>
      </c>
      <c r="I171" t="s">
        <v>1926</v>
      </c>
      <c r="J171" t="s">
        <v>2205</v>
      </c>
      <c r="K171">
        <v>11212</v>
      </c>
      <c r="N171" t="s">
        <v>2233</v>
      </c>
      <c r="O171" t="s">
        <v>2381</v>
      </c>
      <c r="Q171" t="s">
        <v>3057</v>
      </c>
      <c r="R171">
        <v>1</v>
      </c>
      <c r="S171">
        <v>0</v>
      </c>
      <c r="T171">
        <v>151.96</v>
      </c>
      <c r="W171">
        <v>18980</v>
      </c>
      <c r="Y171">
        <v>0.5</v>
      </c>
      <c r="Z171" t="s">
        <v>111</v>
      </c>
      <c r="AA171" t="s">
        <v>70</v>
      </c>
      <c r="AB171" t="s">
        <v>3940</v>
      </c>
      <c r="AC171" t="s">
        <v>3944</v>
      </c>
      <c r="AF171" t="s">
        <v>4054</v>
      </c>
      <c r="AH171" t="s">
        <v>4081</v>
      </c>
      <c r="AJ171" t="s">
        <v>3943</v>
      </c>
      <c r="AL171" t="s">
        <v>4095</v>
      </c>
      <c r="AM171" t="s">
        <v>2230</v>
      </c>
      <c r="AO171">
        <v>317</v>
      </c>
      <c r="AQ171">
        <v>12</v>
      </c>
      <c r="AS171" t="s">
        <v>4121</v>
      </c>
      <c r="AT171" t="s">
        <v>4127</v>
      </c>
      <c r="AW171">
        <v>2</v>
      </c>
      <c r="AY171" t="s">
        <v>4140</v>
      </c>
      <c r="AZ171" t="s">
        <v>4148</v>
      </c>
      <c r="BB171" t="s">
        <v>4154</v>
      </c>
      <c r="BF171" t="s">
        <v>4281</v>
      </c>
      <c r="BG171" t="s">
        <v>4054</v>
      </c>
      <c r="BM171" t="s">
        <v>4627</v>
      </c>
    </row>
    <row r="172" spans="1:65">
      <c r="A172" s="1">
        <f>HYPERLINK("https://lsnyc.legalserver.org/matter/dynamic-profile/view/1913481","19-1913481")</f>
        <v>0</v>
      </c>
      <c r="B172" t="s">
        <v>73</v>
      </c>
      <c r="C172" t="s">
        <v>93</v>
      </c>
      <c r="D172" t="s">
        <v>125</v>
      </c>
      <c r="F172" t="s">
        <v>605</v>
      </c>
      <c r="G172" t="s">
        <v>1091</v>
      </c>
      <c r="H172" t="s">
        <v>1666</v>
      </c>
      <c r="I172" t="s">
        <v>1968</v>
      </c>
      <c r="J172" t="s">
        <v>2205</v>
      </c>
      <c r="K172">
        <v>11212</v>
      </c>
      <c r="N172" t="s">
        <v>2233</v>
      </c>
      <c r="O172" t="s">
        <v>2382</v>
      </c>
      <c r="Q172" t="s">
        <v>3058</v>
      </c>
      <c r="R172">
        <v>1</v>
      </c>
      <c r="S172">
        <v>5</v>
      </c>
      <c r="T172">
        <v>2.89</v>
      </c>
      <c r="W172">
        <v>1000</v>
      </c>
      <c r="Y172">
        <v>0.2</v>
      </c>
      <c r="Z172" t="s">
        <v>98</v>
      </c>
      <c r="AA172" t="s">
        <v>70</v>
      </c>
      <c r="AB172" t="s">
        <v>3940</v>
      </c>
      <c r="AC172" t="s">
        <v>3944</v>
      </c>
      <c r="AF172" t="s">
        <v>4050</v>
      </c>
      <c r="AH172" t="s">
        <v>4079</v>
      </c>
      <c r="AJ172" t="s">
        <v>3943</v>
      </c>
      <c r="AL172" t="s">
        <v>4086</v>
      </c>
      <c r="AM172" t="s">
        <v>2230</v>
      </c>
      <c r="AO172">
        <v>1984.35</v>
      </c>
      <c r="AQ172">
        <v>4</v>
      </c>
      <c r="AS172" t="s">
        <v>4114</v>
      </c>
      <c r="AU172" t="s">
        <v>4131</v>
      </c>
      <c r="AW172">
        <v>3</v>
      </c>
      <c r="AY172" t="s">
        <v>4140</v>
      </c>
      <c r="BA172" t="s">
        <v>4149</v>
      </c>
      <c r="BB172" t="s">
        <v>4154</v>
      </c>
      <c r="BG172" t="s">
        <v>4384</v>
      </c>
      <c r="BM172" t="s">
        <v>4627</v>
      </c>
    </row>
    <row r="173" spans="1:65">
      <c r="A173" s="1">
        <f>HYPERLINK("https://lsnyc.legalserver.org/matter/dynamic-profile/view/1909560","19-1909560")</f>
        <v>0</v>
      </c>
      <c r="B173" t="s">
        <v>73</v>
      </c>
      <c r="C173" t="s">
        <v>93</v>
      </c>
      <c r="D173" t="s">
        <v>212</v>
      </c>
      <c r="F173" t="s">
        <v>606</v>
      </c>
      <c r="G173" t="s">
        <v>1137</v>
      </c>
      <c r="H173" t="s">
        <v>1667</v>
      </c>
      <c r="I173" t="s">
        <v>1938</v>
      </c>
      <c r="J173" t="s">
        <v>2205</v>
      </c>
      <c r="K173">
        <v>11212</v>
      </c>
      <c r="N173" t="s">
        <v>2233</v>
      </c>
      <c r="O173" t="s">
        <v>2383</v>
      </c>
      <c r="Q173" t="s">
        <v>3059</v>
      </c>
      <c r="R173">
        <v>1</v>
      </c>
      <c r="S173">
        <v>4</v>
      </c>
      <c r="T173">
        <v>49.11</v>
      </c>
      <c r="W173">
        <v>14816</v>
      </c>
      <c r="Y173">
        <v>11.5</v>
      </c>
      <c r="Z173" t="s">
        <v>98</v>
      </c>
      <c r="AA173" t="s">
        <v>90</v>
      </c>
      <c r="AC173" t="s">
        <v>3942</v>
      </c>
      <c r="AD173" t="s">
        <v>123</v>
      </c>
      <c r="AF173" t="s">
        <v>4050</v>
      </c>
      <c r="AH173" t="s">
        <v>4076</v>
      </c>
      <c r="AJ173" t="s">
        <v>3943</v>
      </c>
      <c r="AL173" t="s">
        <v>4095</v>
      </c>
      <c r="AM173" t="s">
        <v>2230</v>
      </c>
      <c r="AO173">
        <v>693</v>
      </c>
      <c r="AQ173">
        <v>80</v>
      </c>
      <c r="AS173" t="s">
        <v>4117</v>
      </c>
      <c r="AU173" t="s">
        <v>4131</v>
      </c>
      <c r="AW173">
        <v>10</v>
      </c>
      <c r="AY173" t="s">
        <v>4140</v>
      </c>
      <c r="BA173" t="s">
        <v>4149</v>
      </c>
      <c r="BC173" t="s">
        <v>4155</v>
      </c>
      <c r="BD173" t="s">
        <v>4157</v>
      </c>
      <c r="BE173" t="s">
        <v>4196</v>
      </c>
      <c r="BG173" t="s">
        <v>4385</v>
      </c>
      <c r="BM173" t="s">
        <v>4627</v>
      </c>
    </row>
    <row r="174" spans="1:65">
      <c r="A174" s="1">
        <f>HYPERLINK("https://lsnyc.legalserver.org/matter/dynamic-profile/view/1911035","19-1911035")</f>
        <v>0</v>
      </c>
      <c r="B174" t="s">
        <v>73</v>
      </c>
      <c r="C174" t="s">
        <v>93</v>
      </c>
      <c r="D174" t="s">
        <v>213</v>
      </c>
      <c r="F174" t="s">
        <v>556</v>
      </c>
      <c r="G174" t="s">
        <v>1089</v>
      </c>
      <c r="H174" t="s">
        <v>1668</v>
      </c>
      <c r="I174" t="s">
        <v>1926</v>
      </c>
      <c r="J174" t="s">
        <v>2205</v>
      </c>
      <c r="K174">
        <v>11207</v>
      </c>
      <c r="M174" t="s">
        <v>2231</v>
      </c>
      <c r="N174" t="s">
        <v>2233</v>
      </c>
      <c r="O174" t="s">
        <v>2384</v>
      </c>
      <c r="P174" t="s">
        <v>2930</v>
      </c>
      <c r="R174">
        <v>1</v>
      </c>
      <c r="S174">
        <v>0</v>
      </c>
      <c r="T174">
        <v>43.71</v>
      </c>
      <c r="W174">
        <v>5460</v>
      </c>
      <c r="Y174">
        <v>9.1</v>
      </c>
      <c r="Z174" t="s">
        <v>222</v>
      </c>
      <c r="AA174" t="s">
        <v>3910</v>
      </c>
      <c r="AC174" t="s">
        <v>3942</v>
      </c>
      <c r="AD174" t="s">
        <v>222</v>
      </c>
      <c r="AF174" t="s">
        <v>4050</v>
      </c>
      <c r="AH174" t="s">
        <v>4076</v>
      </c>
      <c r="AJ174" t="s">
        <v>3943</v>
      </c>
      <c r="AK174" t="s">
        <v>4084</v>
      </c>
      <c r="AM174" t="s">
        <v>2230</v>
      </c>
      <c r="AO174">
        <v>600</v>
      </c>
      <c r="AQ174">
        <v>2</v>
      </c>
      <c r="AS174" t="s">
        <v>4116</v>
      </c>
      <c r="AT174" t="s">
        <v>4127</v>
      </c>
      <c r="AW174">
        <v>25</v>
      </c>
      <c r="AY174" t="s">
        <v>4141</v>
      </c>
      <c r="BA174" t="s">
        <v>4149</v>
      </c>
      <c r="BC174" t="s">
        <v>4155</v>
      </c>
      <c r="BG174" t="s">
        <v>4386</v>
      </c>
      <c r="BM174" t="s">
        <v>4627</v>
      </c>
    </row>
    <row r="175" spans="1:65">
      <c r="A175" s="1">
        <f>HYPERLINK("https://lsnyc.legalserver.org/matter/dynamic-profile/view/1881386","18-1881386")</f>
        <v>0</v>
      </c>
      <c r="B175" t="s">
        <v>73</v>
      </c>
      <c r="C175" t="s">
        <v>93</v>
      </c>
      <c r="D175" t="s">
        <v>214</v>
      </c>
      <c r="F175" t="s">
        <v>607</v>
      </c>
      <c r="G175" t="s">
        <v>1138</v>
      </c>
      <c r="H175" t="s">
        <v>1669</v>
      </c>
      <c r="I175" t="s">
        <v>1924</v>
      </c>
      <c r="J175" t="s">
        <v>2205</v>
      </c>
      <c r="K175">
        <v>11233</v>
      </c>
      <c r="N175" t="s">
        <v>2233</v>
      </c>
      <c r="O175" t="s">
        <v>2385</v>
      </c>
      <c r="Q175" t="s">
        <v>3060</v>
      </c>
      <c r="R175">
        <v>1</v>
      </c>
      <c r="S175">
        <v>0</v>
      </c>
      <c r="T175">
        <v>18.2</v>
      </c>
      <c r="W175">
        <v>2210</v>
      </c>
      <c r="X175" t="s">
        <v>3491</v>
      </c>
      <c r="Y175">
        <v>59.45</v>
      </c>
      <c r="Z175" t="s">
        <v>340</v>
      </c>
      <c r="AA175" t="s">
        <v>90</v>
      </c>
      <c r="AC175" t="s">
        <v>3942</v>
      </c>
      <c r="AD175" t="s">
        <v>214</v>
      </c>
      <c r="AF175" t="s">
        <v>4053</v>
      </c>
      <c r="AH175" t="s">
        <v>4076</v>
      </c>
      <c r="AJ175" t="s">
        <v>3943</v>
      </c>
      <c r="AL175" t="s">
        <v>4099</v>
      </c>
      <c r="AM175" t="s">
        <v>2230</v>
      </c>
      <c r="AO175">
        <v>1515</v>
      </c>
      <c r="AQ175">
        <v>6</v>
      </c>
      <c r="AS175" t="s">
        <v>4113</v>
      </c>
      <c r="AU175" t="s">
        <v>4135</v>
      </c>
      <c r="AW175">
        <v>5</v>
      </c>
      <c r="AY175" t="s">
        <v>4140</v>
      </c>
      <c r="BA175" t="s">
        <v>4149</v>
      </c>
      <c r="BB175" t="s">
        <v>4154</v>
      </c>
      <c r="BD175" t="s">
        <v>4157</v>
      </c>
      <c r="BE175" t="s">
        <v>4197</v>
      </c>
      <c r="BG175" t="s">
        <v>4387</v>
      </c>
      <c r="BM175" t="s">
        <v>4627</v>
      </c>
    </row>
    <row r="176" spans="1:65">
      <c r="A176" s="1">
        <f>HYPERLINK("https://lsnyc.legalserver.org/matter/dynamic-profile/view/1915132","19-1915132")</f>
        <v>0</v>
      </c>
      <c r="B176" t="s">
        <v>73</v>
      </c>
      <c r="C176" t="s">
        <v>93</v>
      </c>
      <c r="D176" t="s">
        <v>134</v>
      </c>
      <c r="F176" t="s">
        <v>608</v>
      </c>
      <c r="G176" t="s">
        <v>1139</v>
      </c>
      <c r="H176" t="s">
        <v>1670</v>
      </c>
      <c r="I176" t="s">
        <v>1948</v>
      </c>
      <c r="J176" t="s">
        <v>2205</v>
      </c>
      <c r="K176">
        <v>11212</v>
      </c>
      <c r="N176" t="s">
        <v>2233</v>
      </c>
      <c r="O176" t="s">
        <v>2386</v>
      </c>
      <c r="Q176" t="s">
        <v>3061</v>
      </c>
      <c r="R176">
        <v>1</v>
      </c>
      <c r="S176">
        <v>0</v>
      </c>
      <c r="T176">
        <v>289.19</v>
      </c>
      <c r="W176">
        <v>36120</v>
      </c>
      <c r="Y176">
        <v>0</v>
      </c>
      <c r="AA176" t="s">
        <v>90</v>
      </c>
      <c r="AB176" t="s">
        <v>3940</v>
      </c>
      <c r="AC176" t="s">
        <v>3943</v>
      </c>
      <c r="AF176" t="s">
        <v>4053</v>
      </c>
      <c r="AG176" t="s">
        <v>4075</v>
      </c>
      <c r="AJ176" t="s">
        <v>3943</v>
      </c>
      <c r="AL176" t="s">
        <v>4086</v>
      </c>
      <c r="AM176" t="s">
        <v>2230</v>
      </c>
      <c r="AO176">
        <v>1225</v>
      </c>
      <c r="AQ176">
        <v>32</v>
      </c>
      <c r="AS176" t="s">
        <v>4113</v>
      </c>
      <c r="AU176" t="s">
        <v>4128</v>
      </c>
      <c r="AW176">
        <v>9</v>
      </c>
      <c r="AY176" t="s">
        <v>4140</v>
      </c>
      <c r="BA176" t="s">
        <v>4149</v>
      </c>
      <c r="BB176" t="s">
        <v>4154</v>
      </c>
      <c r="BC176" t="s">
        <v>4128</v>
      </c>
      <c r="BE176" t="s">
        <v>4159</v>
      </c>
      <c r="BF176" t="s">
        <v>4281</v>
      </c>
      <c r="BG176" t="s">
        <v>4388</v>
      </c>
      <c r="BM176" t="s">
        <v>4627</v>
      </c>
    </row>
    <row r="177" spans="1:67">
      <c r="A177" s="1">
        <f>HYPERLINK("https://lsnyc.legalserver.org/matter/dynamic-profile/view/1907517","19-1907517")</f>
        <v>0</v>
      </c>
      <c r="B177" t="s">
        <v>73</v>
      </c>
      <c r="C177" t="s">
        <v>93</v>
      </c>
      <c r="D177" t="s">
        <v>215</v>
      </c>
      <c r="E177" t="s">
        <v>125</v>
      </c>
      <c r="F177" t="s">
        <v>609</v>
      </c>
      <c r="G177" t="s">
        <v>1140</v>
      </c>
      <c r="H177" t="s">
        <v>1577</v>
      </c>
      <c r="I177" t="s">
        <v>1977</v>
      </c>
      <c r="J177" t="s">
        <v>2205</v>
      </c>
      <c r="K177">
        <v>11233</v>
      </c>
      <c r="L177" t="s">
        <v>2225</v>
      </c>
      <c r="N177" t="s">
        <v>2233</v>
      </c>
      <c r="O177" t="s">
        <v>2387</v>
      </c>
      <c r="P177" t="s">
        <v>2930</v>
      </c>
      <c r="R177">
        <v>3</v>
      </c>
      <c r="S177">
        <v>0</v>
      </c>
      <c r="T177">
        <v>0</v>
      </c>
      <c r="W177">
        <v>0</v>
      </c>
      <c r="Y177">
        <v>18.5</v>
      </c>
      <c r="Z177" t="s">
        <v>213</v>
      </c>
      <c r="AA177" t="s">
        <v>70</v>
      </c>
      <c r="AC177" t="s">
        <v>3942</v>
      </c>
      <c r="AD177" t="s">
        <v>215</v>
      </c>
      <c r="AF177" t="s">
        <v>4053</v>
      </c>
      <c r="AH177" t="s">
        <v>4076</v>
      </c>
      <c r="AJ177" t="s">
        <v>3943</v>
      </c>
      <c r="AL177" t="s">
        <v>4070</v>
      </c>
      <c r="AM177" t="s">
        <v>2230</v>
      </c>
      <c r="AO177">
        <v>997.45</v>
      </c>
      <c r="AQ177">
        <v>359</v>
      </c>
      <c r="AS177" t="s">
        <v>4113</v>
      </c>
      <c r="AU177" t="s">
        <v>4128</v>
      </c>
      <c r="AW177">
        <v>9</v>
      </c>
      <c r="AY177" t="s">
        <v>4140</v>
      </c>
      <c r="BA177" t="s">
        <v>4149</v>
      </c>
      <c r="BC177" t="s">
        <v>4155</v>
      </c>
      <c r="BD177" t="s">
        <v>4157</v>
      </c>
      <c r="BE177" t="s">
        <v>4198</v>
      </c>
      <c r="BG177" t="s">
        <v>4389</v>
      </c>
      <c r="BH177" t="s">
        <v>4619</v>
      </c>
      <c r="BJ177" t="s">
        <v>4622</v>
      </c>
      <c r="BM177" t="s">
        <v>4628</v>
      </c>
      <c r="BN177" t="s">
        <v>4629</v>
      </c>
      <c r="BO177" t="s">
        <v>4632</v>
      </c>
    </row>
    <row r="178" spans="1:67">
      <c r="A178" s="1">
        <f>HYPERLINK("https://lsnyc.legalserver.org/matter/dynamic-profile/view/1902193","19-1902193")</f>
        <v>0</v>
      </c>
      <c r="B178" t="s">
        <v>73</v>
      </c>
      <c r="C178" t="s">
        <v>93</v>
      </c>
      <c r="D178" t="s">
        <v>216</v>
      </c>
      <c r="F178" t="s">
        <v>610</v>
      </c>
      <c r="G178" t="s">
        <v>1141</v>
      </c>
      <c r="H178" t="s">
        <v>1671</v>
      </c>
      <c r="I178">
        <v>2</v>
      </c>
      <c r="J178" t="s">
        <v>2205</v>
      </c>
      <c r="K178">
        <v>11207</v>
      </c>
      <c r="N178" t="s">
        <v>2233</v>
      </c>
      <c r="O178" t="s">
        <v>2388</v>
      </c>
      <c r="Q178" t="s">
        <v>3062</v>
      </c>
      <c r="R178">
        <v>1</v>
      </c>
      <c r="S178">
        <v>0</v>
      </c>
      <c r="T178">
        <v>75.52</v>
      </c>
      <c r="W178">
        <v>9432</v>
      </c>
      <c r="Y178">
        <v>19.2</v>
      </c>
      <c r="Z178" t="s">
        <v>358</v>
      </c>
      <c r="AA178" t="s">
        <v>3898</v>
      </c>
      <c r="AC178" t="s">
        <v>3942</v>
      </c>
      <c r="AD178" t="s">
        <v>108</v>
      </c>
      <c r="AF178" t="s">
        <v>4050</v>
      </c>
      <c r="AH178" t="s">
        <v>4076</v>
      </c>
      <c r="AJ178" t="s">
        <v>3943</v>
      </c>
      <c r="AL178" t="s">
        <v>4070</v>
      </c>
      <c r="AM178" t="s">
        <v>2230</v>
      </c>
      <c r="AN178" t="s">
        <v>4107</v>
      </c>
      <c r="AO178">
        <v>0</v>
      </c>
      <c r="AQ178">
        <v>9</v>
      </c>
      <c r="AS178" t="s">
        <v>4114</v>
      </c>
      <c r="AU178" t="s">
        <v>4132</v>
      </c>
      <c r="AW178">
        <v>3</v>
      </c>
      <c r="AY178" t="s">
        <v>4140</v>
      </c>
      <c r="BC178" t="s">
        <v>4155</v>
      </c>
      <c r="BG178" t="s">
        <v>4390</v>
      </c>
      <c r="BM178" t="s">
        <v>4627</v>
      </c>
    </row>
    <row r="179" spans="1:67">
      <c r="A179" s="1">
        <f>HYPERLINK("https://lsnyc.legalserver.org/matter/dynamic-profile/view/1915169","19-1915169")</f>
        <v>0</v>
      </c>
      <c r="B179" t="s">
        <v>73</v>
      </c>
      <c r="C179" t="s">
        <v>93</v>
      </c>
      <c r="D179" t="s">
        <v>134</v>
      </c>
      <c r="F179" t="s">
        <v>611</v>
      </c>
      <c r="G179" t="s">
        <v>1142</v>
      </c>
      <c r="H179" t="s">
        <v>1672</v>
      </c>
      <c r="I179" t="s">
        <v>1924</v>
      </c>
      <c r="J179" t="s">
        <v>2205</v>
      </c>
      <c r="K179">
        <v>11233</v>
      </c>
      <c r="N179" t="s">
        <v>2233</v>
      </c>
      <c r="O179" t="s">
        <v>2389</v>
      </c>
      <c r="Q179" t="s">
        <v>3063</v>
      </c>
      <c r="R179">
        <v>4</v>
      </c>
      <c r="S179">
        <v>1</v>
      </c>
      <c r="T179">
        <v>248.88</v>
      </c>
      <c r="W179">
        <v>75088</v>
      </c>
      <c r="X179" t="s">
        <v>3505</v>
      </c>
      <c r="Y179">
        <v>0</v>
      </c>
      <c r="AA179" t="s">
        <v>90</v>
      </c>
      <c r="AB179" t="s">
        <v>3940</v>
      </c>
      <c r="AC179" t="s">
        <v>3943</v>
      </c>
      <c r="AF179" t="s">
        <v>4053</v>
      </c>
      <c r="AG179" t="s">
        <v>4075</v>
      </c>
      <c r="AJ179" t="s">
        <v>3943</v>
      </c>
      <c r="AL179" t="s">
        <v>4104</v>
      </c>
      <c r="AM179" t="s">
        <v>2230</v>
      </c>
      <c r="AO179">
        <v>996</v>
      </c>
      <c r="AQ179">
        <v>6</v>
      </c>
      <c r="AS179" t="s">
        <v>4113</v>
      </c>
      <c r="AU179" t="s">
        <v>4128</v>
      </c>
      <c r="AW179">
        <v>14</v>
      </c>
      <c r="AY179" t="s">
        <v>4140</v>
      </c>
      <c r="BA179" t="s">
        <v>4149</v>
      </c>
      <c r="BB179" t="s">
        <v>4154</v>
      </c>
      <c r="BC179" t="s">
        <v>4128</v>
      </c>
      <c r="BE179" t="s">
        <v>4159</v>
      </c>
      <c r="BG179" t="s">
        <v>4391</v>
      </c>
      <c r="BM179" t="s">
        <v>4627</v>
      </c>
    </row>
    <row r="180" spans="1:67">
      <c r="A180" s="1">
        <f>HYPERLINK("https://lsnyc.legalserver.org/matter/dynamic-profile/view/1889769","19-1889769")</f>
        <v>0</v>
      </c>
      <c r="B180" t="s">
        <v>73</v>
      </c>
      <c r="C180" t="s">
        <v>93</v>
      </c>
      <c r="D180" t="s">
        <v>217</v>
      </c>
      <c r="F180" t="s">
        <v>495</v>
      </c>
      <c r="G180" t="s">
        <v>1143</v>
      </c>
      <c r="H180" t="s">
        <v>1673</v>
      </c>
      <c r="I180" t="s">
        <v>1978</v>
      </c>
      <c r="J180" t="s">
        <v>2205</v>
      </c>
      <c r="K180">
        <v>11212</v>
      </c>
      <c r="N180" t="s">
        <v>2233</v>
      </c>
      <c r="O180" t="s">
        <v>2390</v>
      </c>
      <c r="Q180" t="s">
        <v>3064</v>
      </c>
      <c r="R180">
        <v>2</v>
      </c>
      <c r="S180">
        <v>0</v>
      </c>
      <c r="T180">
        <v>0</v>
      </c>
      <c r="W180">
        <v>0</v>
      </c>
      <c r="Y180">
        <v>22.45</v>
      </c>
      <c r="Z180" t="s">
        <v>183</v>
      </c>
      <c r="AA180" t="s">
        <v>70</v>
      </c>
      <c r="AC180" t="s">
        <v>3942</v>
      </c>
      <c r="AD180" t="s">
        <v>190</v>
      </c>
      <c r="AF180" t="s">
        <v>4053</v>
      </c>
      <c r="AH180" t="s">
        <v>4076</v>
      </c>
      <c r="AJ180" t="s">
        <v>3943</v>
      </c>
      <c r="AL180" t="s">
        <v>4099</v>
      </c>
      <c r="AM180" t="s">
        <v>2230</v>
      </c>
      <c r="AO180">
        <v>1268</v>
      </c>
      <c r="AQ180">
        <v>31</v>
      </c>
      <c r="AS180" t="s">
        <v>4113</v>
      </c>
      <c r="AU180" t="s">
        <v>4132</v>
      </c>
      <c r="AW180">
        <v>2</v>
      </c>
      <c r="AY180" t="s">
        <v>4140</v>
      </c>
      <c r="BB180" t="s">
        <v>4154</v>
      </c>
      <c r="BE180" t="s">
        <v>4199</v>
      </c>
      <c r="BG180" t="s">
        <v>4392</v>
      </c>
      <c r="BM180" t="s">
        <v>4627</v>
      </c>
    </row>
    <row r="181" spans="1:67">
      <c r="A181" s="1">
        <f>HYPERLINK("https://lsnyc.legalserver.org/matter/dynamic-profile/view/1847656","17-1847656")</f>
        <v>0</v>
      </c>
      <c r="B181" t="s">
        <v>73</v>
      </c>
      <c r="C181" t="s">
        <v>93</v>
      </c>
      <c r="D181" t="s">
        <v>218</v>
      </c>
      <c r="F181" t="s">
        <v>612</v>
      </c>
      <c r="G181" t="s">
        <v>1144</v>
      </c>
      <c r="H181" t="s">
        <v>1674</v>
      </c>
      <c r="I181" t="s">
        <v>1924</v>
      </c>
      <c r="J181" t="s">
        <v>2205</v>
      </c>
      <c r="K181">
        <v>11237</v>
      </c>
      <c r="N181" t="s">
        <v>2233</v>
      </c>
      <c r="O181" t="s">
        <v>2391</v>
      </c>
      <c r="Q181" t="s">
        <v>3065</v>
      </c>
      <c r="R181">
        <v>1</v>
      </c>
      <c r="S181">
        <v>0</v>
      </c>
      <c r="T181">
        <v>18.21</v>
      </c>
      <c r="W181">
        <v>2196</v>
      </c>
      <c r="Y181">
        <v>86.16</v>
      </c>
      <c r="Z181" t="s">
        <v>361</v>
      </c>
      <c r="AA181" t="s">
        <v>3911</v>
      </c>
      <c r="AC181" t="s">
        <v>3942</v>
      </c>
      <c r="AD181" t="s">
        <v>3969</v>
      </c>
      <c r="AF181" t="s">
        <v>4050</v>
      </c>
      <c r="AH181" t="s">
        <v>4076</v>
      </c>
      <c r="AJ181" t="s">
        <v>3943</v>
      </c>
      <c r="AL181" t="s">
        <v>4070</v>
      </c>
      <c r="AM181" t="s">
        <v>2230</v>
      </c>
      <c r="AO181">
        <v>576</v>
      </c>
      <c r="AQ181">
        <v>6</v>
      </c>
      <c r="AS181" t="s">
        <v>4113</v>
      </c>
      <c r="AU181" t="s">
        <v>4128</v>
      </c>
      <c r="AW181">
        <v>30</v>
      </c>
      <c r="AY181" t="s">
        <v>4140</v>
      </c>
      <c r="BB181" t="s">
        <v>4154</v>
      </c>
      <c r="BD181" t="s">
        <v>4157</v>
      </c>
      <c r="BE181" t="s">
        <v>4200</v>
      </c>
      <c r="BG181" t="s">
        <v>4393</v>
      </c>
      <c r="BM181" t="s">
        <v>4627</v>
      </c>
    </row>
    <row r="182" spans="1:67">
      <c r="A182" s="1">
        <f>HYPERLINK("https://lsnyc.legalserver.org/matter/dynamic-profile/view/1896514","19-1896514")</f>
        <v>0</v>
      </c>
      <c r="B182" t="s">
        <v>73</v>
      </c>
      <c r="C182" t="s">
        <v>93</v>
      </c>
      <c r="D182" t="s">
        <v>219</v>
      </c>
      <c r="F182" t="s">
        <v>613</v>
      </c>
      <c r="G182" t="s">
        <v>1145</v>
      </c>
      <c r="H182" t="s">
        <v>1675</v>
      </c>
      <c r="I182" t="s">
        <v>1972</v>
      </c>
      <c r="J182" t="s">
        <v>2205</v>
      </c>
      <c r="K182">
        <v>11208</v>
      </c>
      <c r="N182" t="s">
        <v>2233</v>
      </c>
      <c r="O182" t="s">
        <v>2392</v>
      </c>
      <c r="Q182" t="s">
        <v>3066</v>
      </c>
      <c r="R182">
        <v>2</v>
      </c>
      <c r="S182">
        <v>2</v>
      </c>
      <c r="T182">
        <v>213.59</v>
      </c>
      <c r="U182" t="s">
        <v>3448</v>
      </c>
      <c r="V182" t="s">
        <v>3458</v>
      </c>
      <c r="W182">
        <v>55000</v>
      </c>
      <c r="Y182">
        <v>43.2</v>
      </c>
      <c r="Z182" t="s">
        <v>183</v>
      </c>
      <c r="AA182" t="s">
        <v>70</v>
      </c>
      <c r="AC182" t="s">
        <v>3942</v>
      </c>
      <c r="AD182" t="s">
        <v>199</v>
      </c>
      <c r="AF182" t="s">
        <v>4053</v>
      </c>
      <c r="AH182" t="s">
        <v>4076</v>
      </c>
      <c r="AJ182" t="s">
        <v>3943</v>
      </c>
      <c r="AK182" t="s">
        <v>4084</v>
      </c>
      <c r="AM182" t="s">
        <v>2230</v>
      </c>
      <c r="AO182">
        <v>951</v>
      </c>
      <c r="AQ182">
        <v>3</v>
      </c>
      <c r="AS182" t="s">
        <v>4114</v>
      </c>
      <c r="AU182" t="s">
        <v>4128</v>
      </c>
      <c r="AW182">
        <v>4</v>
      </c>
      <c r="AY182" t="s">
        <v>4140</v>
      </c>
      <c r="BC182" t="s">
        <v>4155</v>
      </c>
      <c r="BG182" t="s">
        <v>4394</v>
      </c>
      <c r="BM182" t="s">
        <v>4627</v>
      </c>
    </row>
    <row r="183" spans="1:67">
      <c r="A183" s="1">
        <f>HYPERLINK("https://lsnyc.legalserver.org/matter/dynamic-profile/view/1873125","18-1873125")</f>
        <v>0</v>
      </c>
      <c r="B183" t="s">
        <v>73</v>
      </c>
      <c r="C183" t="s">
        <v>93</v>
      </c>
      <c r="D183" t="s">
        <v>220</v>
      </c>
      <c r="F183" t="s">
        <v>614</v>
      </c>
      <c r="G183" t="s">
        <v>797</v>
      </c>
      <c r="H183" t="s">
        <v>1676</v>
      </c>
      <c r="I183" t="s">
        <v>1979</v>
      </c>
      <c r="J183" t="s">
        <v>2205</v>
      </c>
      <c r="K183">
        <v>11233</v>
      </c>
      <c r="N183" t="s">
        <v>2233</v>
      </c>
      <c r="O183" t="s">
        <v>2393</v>
      </c>
      <c r="Q183" t="s">
        <v>3067</v>
      </c>
      <c r="R183">
        <v>1</v>
      </c>
      <c r="S183">
        <v>1</v>
      </c>
      <c r="T183">
        <v>243.01</v>
      </c>
      <c r="U183" t="s">
        <v>174</v>
      </c>
      <c r="V183" t="s">
        <v>3458</v>
      </c>
      <c r="W183">
        <v>40000</v>
      </c>
      <c r="Y183">
        <v>50.8</v>
      </c>
      <c r="Z183" t="s">
        <v>215</v>
      </c>
      <c r="AA183" t="s">
        <v>90</v>
      </c>
      <c r="AC183" t="s">
        <v>3942</v>
      </c>
      <c r="AD183" t="s">
        <v>3970</v>
      </c>
      <c r="AF183" t="s">
        <v>4050</v>
      </c>
      <c r="AH183" t="s">
        <v>4076</v>
      </c>
      <c r="AJ183" t="s">
        <v>3943</v>
      </c>
      <c r="AL183" t="s">
        <v>4095</v>
      </c>
      <c r="AM183" t="s">
        <v>2230</v>
      </c>
      <c r="AO183">
        <v>1029.2</v>
      </c>
      <c r="AQ183">
        <v>151</v>
      </c>
      <c r="AS183" t="s">
        <v>4113</v>
      </c>
      <c r="AU183" t="s">
        <v>4128</v>
      </c>
      <c r="AW183">
        <v>10</v>
      </c>
      <c r="AY183" t="s">
        <v>4140</v>
      </c>
      <c r="BB183" t="s">
        <v>4154</v>
      </c>
      <c r="BG183" t="s">
        <v>4395</v>
      </c>
      <c r="BM183" t="s">
        <v>4627</v>
      </c>
    </row>
    <row r="184" spans="1:67">
      <c r="A184" s="1">
        <f>HYPERLINK("https://lsnyc.legalserver.org/matter/dynamic-profile/view/1915130","19-1915130")</f>
        <v>0</v>
      </c>
      <c r="B184" t="s">
        <v>73</v>
      </c>
      <c r="C184" t="s">
        <v>93</v>
      </c>
      <c r="D184" t="s">
        <v>134</v>
      </c>
      <c r="F184" t="s">
        <v>615</v>
      </c>
      <c r="G184" t="s">
        <v>1146</v>
      </c>
      <c r="H184" t="s">
        <v>1677</v>
      </c>
      <c r="I184" t="s">
        <v>1980</v>
      </c>
      <c r="J184" t="s">
        <v>2205</v>
      </c>
      <c r="K184">
        <v>11233</v>
      </c>
      <c r="N184" t="s">
        <v>2233</v>
      </c>
      <c r="O184" t="s">
        <v>2394</v>
      </c>
      <c r="Q184" t="s">
        <v>3068</v>
      </c>
      <c r="R184">
        <v>1</v>
      </c>
      <c r="S184">
        <v>0</v>
      </c>
      <c r="T184">
        <v>15.61</v>
      </c>
      <c r="W184">
        <v>1950</v>
      </c>
      <c r="Y184">
        <v>0</v>
      </c>
      <c r="AA184" t="s">
        <v>70</v>
      </c>
      <c r="AC184" t="s">
        <v>3942</v>
      </c>
      <c r="AD184" t="s">
        <v>156</v>
      </c>
      <c r="AF184" t="s">
        <v>4053</v>
      </c>
      <c r="AH184" t="s">
        <v>4079</v>
      </c>
      <c r="AJ184" t="s">
        <v>3943</v>
      </c>
      <c r="AK184" t="s">
        <v>4084</v>
      </c>
      <c r="AM184" t="s">
        <v>2230</v>
      </c>
      <c r="AO184">
        <v>1175.29</v>
      </c>
      <c r="AQ184">
        <v>24</v>
      </c>
      <c r="AS184" t="s">
        <v>4113</v>
      </c>
      <c r="AU184" t="s">
        <v>4128</v>
      </c>
      <c r="AW184">
        <v>6</v>
      </c>
      <c r="AY184" t="s">
        <v>4140</v>
      </c>
      <c r="BC184" t="s">
        <v>4155</v>
      </c>
      <c r="BE184" t="s">
        <v>4201</v>
      </c>
      <c r="BG184" t="s">
        <v>4396</v>
      </c>
      <c r="BM184" t="s">
        <v>4627</v>
      </c>
    </row>
    <row r="185" spans="1:67">
      <c r="A185" s="1">
        <f>HYPERLINK("https://lsnyc.legalserver.org/matter/dynamic-profile/view/1912848","19-1912848")</f>
        <v>0</v>
      </c>
      <c r="B185" t="s">
        <v>73</v>
      </c>
      <c r="C185" t="s">
        <v>93</v>
      </c>
      <c r="D185" t="s">
        <v>221</v>
      </c>
      <c r="F185" t="s">
        <v>501</v>
      </c>
      <c r="G185" t="s">
        <v>1147</v>
      </c>
      <c r="H185" t="s">
        <v>1678</v>
      </c>
      <c r="I185" t="s">
        <v>1981</v>
      </c>
      <c r="J185" t="s">
        <v>2205</v>
      </c>
      <c r="K185">
        <v>11208</v>
      </c>
      <c r="N185" t="s">
        <v>2233</v>
      </c>
      <c r="O185" t="s">
        <v>2395</v>
      </c>
      <c r="Q185" t="s">
        <v>3069</v>
      </c>
      <c r="R185">
        <v>1</v>
      </c>
      <c r="S185">
        <v>0</v>
      </c>
      <c r="T185">
        <v>38.43</v>
      </c>
      <c r="W185">
        <v>4800</v>
      </c>
      <c r="Y185">
        <v>0.3</v>
      </c>
      <c r="Z185" t="s">
        <v>204</v>
      </c>
      <c r="AA185" t="s">
        <v>90</v>
      </c>
      <c r="AC185" t="s">
        <v>3942</v>
      </c>
      <c r="AD185" t="s">
        <v>358</v>
      </c>
      <c r="AF185" t="s">
        <v>4050</v>
      </c>
      <c r="AH185" t="s">
        <v>4076</v>
      </c>
      <c r="AJ185" t="s">
        <v>3943</v>
      </c>
      <c r="AL185" t="s">
        <v>4099</v>
      </c>
      <c r="AM185" t="s">
        <v>2230</v>
      </c>
      <c r="AO185">
        <v>800</v>
      </c>
      <c r="AQ185">
        <v>3</v>
      </c>
      <c r="AS185" t="s">
        <v>4114</v>
      </c>
      <c r="AU185" t="s">
        <v>4131</v>
      </c>
      <c r="AW185">
        <v>1</v>
      </c>
      <c r="AY185" t="s">
        <v>4140</v>
      </c>
      <c r="BA185" t="s">
        <v>4149</v>
      </c>
      <c r="BC185" t="s">
        <v>4155</v>
      </c>
      <c r="BD185" t="s">
        <v>4157</v>
      </c>
      <c r="BE185">
        <v>6270460</v>
      </c>
      <c r="BG185" t="s">
        <v>4397</v>
      </c>
      <c r="BM185" t="s">
        <v>4627</v>
      </c>
    </row>
    <row r="186" spans="1:67">
      <c r="A186" s="1">
        <f>HYPERLINK("https://lsnyc.legalserver.org/matter/dynamic-profile/view/1914357","19-1914357")</f>
        <v>0</v>
      </c>
      <c r="B186" t="s">
        <v>73</v>
      </c>
      <c r="C186" t="s">
        <v>93</v>
      </c>
      <c r="D186" t="s">
        <v>136</v>
      </c>
      <c r="F186" t="s">
        <v>616</v>
      </c>
      <c r="G186" t="s">
        <v>1115</v>
      </c>
      <c r="H186" t="s">
        <v>1679</v>
      </c>
      <c r="I186" t="s">
        <v>1982</v>
      </c>
      <c r="J186" t="s">
        <v>2205</v>
      </c>
      <c r="K186">
        <v>11233</v>
      </c>
      <c r="N186" t="s">
        <v>2233</v>
      </c>
      <c r="O186" t="s">
        <v>2396</v>
      </c>
      <c r="Q186" t="s">
        <v>3070</v>
      </c>
      <c r="R186">
        <v>1</v>
      </c>
      <c r="S186">
        <v>2</v>
      </c>
      <c r="T186">
        <v>181.31</v>
      </c>
      <c r="W186">
        <v>38674</v>
      </c>
      <c r="Y186">
        <v>0</v>
      </c>
      <c r="AA186" t="s">
        <v>70</v>
      </c>
      <c r="AB186" t="s">
        <v>3940</v>
      </c>
      <c r="AC186" t="s">
        <v>3944</v>
      </c>
      <c r="AF186" t="s">
        <v>4053</v>
      </c>
      <c r="AH186" t="s">
        <v>4079</v>
      </c>
      <c r="AJ186" t="s">
        <v>3943</v>
      </c>
      <c r="AL186" t="s">
        <v>4086</v>
      </c>
      <c r="AM186" t="s">
        <v>2230</v>
      </c>
      <c r="AO186">
        <v>1542</v>
      </c>
      <c r="AQ186">
        <v>287</v>
      </c>
      <c r="AS186" t="s">
        <v>4113</v>
      </c>
      <c r="AU186" t="s">
        <v>4129</v>
      </c>
      <c r="AW186">
        <v>11</v>
      </c>
      <c r="AY186" t="s">
        <v>4140</v>
      </c>
      <c r="AZ186" t="s">
        <v>4148</v>
      </c>
      <c r="BB186" t="s">
        <v>4154</v>
      </c>
      <c r="BD186" t="s">
        <v>4157</v>
      </c>
      <c r="BE186" t="s">
        <v>4202</v>
      </c>
      <c r="BG186" t="s">
        <v>4398</v>
      </c>
      <c r="BM186" t="s">
        <v>4627</v>
      </c>
    </row>
    <row r="187" spans="1:67">
      <c r="A187" s="1">
        <f>HYPERLINK("https://lsnyc.legalserver.org/matter/dynamic-profile/view/1914113","19-1914113")</f>
        <v>0</v>
      </c>
      <c r="B187" t="s">
        <v>73</v>
      </c>
      <c r="C187" t="s">
        <v>93</v>
      </c>
      <c r="D187" t="s">
        <v>102</v>
      </c>
      <c r="F187" t="s">
        <v>506</v>
      </c>
      <c r="G187" t="s">
        <v>1148</v>
      </c>
      <c r="H187" t="s">
        <v>1680</v>
      </c>
      <c r="I187" t="s">
        <v>1983</v>
      </c>
      <c r="J187" t="s">
        <v>2205</v>
      </c>
      <c r="K187">
        <v>11239</v>
      </c>
      <c r="N187" t="s">
        <v>2233</v>
      </c>
      <c r="O187" t="s">
        <v>2397</v>
      </c>
      <c r="Q187" t="s">
        <v>3071</v>
      </c>
      <c r="R187">
        <v>1</v>
      </c>
      <c r="S187">
        <v>0</v>
      </c>
      <c r="T187">
        <v>144.12</v>
      </c>
      <c r="W187">
        <v>18000</v>
      </c>
      <c r="X187" t="s">
        <v>3506</v>
      </c>
      <c r="Y187">
        <v>0</v>
      </c>
      <c r="AA187" t="s">
        <v>70</v>
      </c>
      <c r="AC187" t="s">
        <v>3942</v>
      </c>
      <c r="AD187" t="s">
        <v>125</v>
      </c>
      <c r="AF187" t="s">
        <v>4062</v>
      </c>
      <c r="AH187" t="s">
        <v>4076</v>
      </c>
      <c r="AJ187" t="s">
        <v>3943</v>
      </c>
      <c r="AL187" t="s">
        <v>4088</v>
      </c>
      <c r="AM187" t="s">
        <v>2230</v>
      </c>
      <c r="AO187">
        <v>434</v>
      </c>
      <c r="AQ187">
        <v>132</v>
      </c>
      <c r="AS187" t="s">
        <v>4118</v>
      </c>
      <c r="AU187" t="s">
        <v>4070</v>
      </c>
      <c r="AW187">
        <v>4</v>
      </c>
      <c r="AY187" t="s">
        <v>4140</v>
      </c>
      <c r="BA187" t="s">
        <v>4149</v>
      </c>
      <c r="BC187" t="s">
        <v>4155</v>
      </c>
      <c r="BE187" t="s">
        <v>4128</v>
      </c>
      <c r="BF187" t="s">
        <v>4281</v>
      </c>
      <c r="BM187" t="s">
        <v>4627</v>
      </c>
    </row>
    <row r="188" spans="1:67">
      <c r="A188" s="1">
        <f>HYPERLINK("https://lsnyc.legalserver.org/matter/dynamic-profile/view/1913985","19-1913985")</f>
        <v>0</v>
      </c>
      <c r="B188" t="s">
        <v>73</v>
      </c>
      <c r="C188" t="s">
        <v>93</v>
      </c>
      <c r="D188" t="s">
        <v>222</v>
      </c>
      <c r="F188" t="s">
        <v>617</v>
      </c>
      <c r="G188" t="s">
        <v>1149</v>
      </c>
      <c r="H188" t="s">
        <v>1681</v>
      </c>
      <c r="I188" t="s">
        <v>1933</v>
      </c>
      <c r="J188" t="s">
        <v>2205</v>
      </c>
      <c r="K188">
        <v>11212</v>
      </c>
      <c r="N188" t="s">
        <v>2233</v>
      </c>
      <c r="O188" t="s">
        <v>2398</v>
      </c>
      <c r="Q188" t="s">
        <v>3072</v>
      </c>
      <c r="R188">
        <v>1</v>
      </c>
      <c r="S188">
        <v>0</v>
      </c>
      <c r="T188">
        <v>71.95999999999999</v>
      </c>
      <c r="W188">
        <v>8988</v>
      </c>
      <c r="Y188">
        <v>0</v>
      </c>
      <c r="AA188" t="s">
        <v>90</v>
      </c>
      <c r="AB188" t="s">
        <v>3940</v>
      </c>
      <c r="AC188" t="s">
        <v>3943</v>
      </c>
      <c r="AF188" t="s">
        <v>4053</v>
      </c>
      <c r="AG188" t="s">
        <v>4075</v>
      </c>
      <c r="AJ188" t="s">
        <v>3943</v>
      </c>
      <c r="AL188" t="s">
        <v>4086</v>
      </c>
      <c r="AM188" t="s">
        <v>2230</v>
      </c>
      <c r="AO188">
        <v>1577</v>
      </c>
      <c r="AQ188">
        <v>6</v>
      </c>
      <c r="AS188" t="s">
        <v>4113</v>
      </c>
      <c r="AU188" t="s">
        <v>4070</v>
      </c>
      <c r="AW188">
        <v>20</v>
      </c>
      <c r="AY188" t="s">
        <v>4140</v>
      </c>
      <c r="BA188" t="s">
        <v>4149</v>
      </c>
      <c r="BB188" t="s">
        <v>4154</v>
      </c>
      <c r="BC188" t="s">
        <v>4128</v>
      </c>
      <c r="BE188" t="s">
        <v>4203</v>
      </c>
      <c r="BG188" t="s">
        <v>4399</v>
      </c>
      <c r="BM188" t="s">
        <v>4627</v>
      </c>
    </row>
    <row r="189" spans="1:67">
      <c r="A189" s="1">
        <f>HYPERLINK("https://lsnyc.legalserver.org/matter/dynamic-profile/view/1902260","19-1902260")</f>
        <v>0</v>
      </c>
      <c r="B189" t="s">
        <v>73</v>
      </c>
      <c r="C189" t="s">
        <v>93</v>
      </c>
      <c r="D189" t="s">
        <v>216</v>
      </c>
      <c r="F189" t="s">
        <v>618</v>
      </c>
      <c r="G189" t="s">
        <v>1150</v>
      </c>
      <c r="H189" t="s">
        <v>1682</v>
      </c>
      <c r="I189" t="s">
        <v>1984</v>
      </c>
      <c r="J189" t="s">
        <v>2205</v>
      </c>
      <c r="K189">
        <v>11233</v>
      </c>
      <c r="N189" t="s">
        <v>2233</v>
      </c>
      <c r="O189" t="s">
        <v>2399</v>
      </c>
      <c r="Q189" t="s">
        <v>3073</v>
      </c>
      <c r="R189">
        <v>1</v>
      </c>
      <c r="S189">
        <v>0</v>
      </c>
      <c r="T189">
        <v>192.15</v>
      </c>
      <c r="W189">
        <v>24000</v>
      </c>
      <c r="Y189">
        <v>0.2</v>
      </c>
      <c r="Z189" t="s">
        <v>3827</v>
      </c>
      <c r="AA189" t="s">
        <v>90</v>
      </c>
      <c r="AB189" t="s">
        <v>3941</v>
      </c>
      <c r="AC189" t="s">
        <v>3943</v>
      </c>
      <c r="AD189" t="s">
        <v>3847</v>
      </c>
      <c r="AF189" t="s">
        <v>4050</v>
      </c>
      <c r="AH189" t="s">
        <v>4076</v>
      </c>
      <c r="AJ189" t="s">
        <v>3943</v>
      </c>
      <c r="AL189" t="s">
        <v>4089</v>
      </c>
      <c r="AM189" t="s">
        <v>2230</v>
      </c>
      <c r="AO189">
        <v>600</v>
      </c>
      <c r="AQ189">
        <v>6</v>
      </c>
      <c r="AS189" t="s">
        <v>4113</v>
      </c>
      <c r="AU189" t="s">
        <v>4128</v>
      </c>
      <c r="AW189">
        <v>4</v>
      </c>
      <c r="AY189" t="s">
        <v>4140</v>
      </c>
      <c r="BA189" t="s">
        <v>4149</v>
      </c>
      <c r="BB189" t="s">
        <v>4154</v>
      </c>
      <c r="BC189" t="s">
        <v>4128</v>
      </c>
      <c r="BE189" t="s">
        <v>4128</v>
      </c>
      <c r="BG189" t="s">
        <v>4400</v>
      </c>
      <c r="BM189" t="s">
        <v>4627</v>
      </c>
    </row>
    <row r="190" spans="1:67">
      <c r="A190" s="1">
        <f>HYPERLINK("https://lsnyc.legalserver.org/matter/dynamic-profile/view/1909404","19-1909404")</f>
        <v>0</v>
      </c>
      <c r="B190" t="s">
        <v>73</v>
      </c>
      <c r="C190" t="s">
        <v>93</v>
      </c>
      <c r="D190" t="s">
        <v>223</v>
      </c>
      <c r="F190" t="s">
        <v>619</v>
      </c>
      <c r="G190" t="s">
        <v>1151</v>
      </c>
      <c r="H190" t="s">
        <v>1683</v>
      </c>
      <c r="I190">
        <v>1</v>
      </c>
      <c r="J190" t="s">
        <v>2205</v>
      </c>
      <c r="K190">
        <v>11207</v>
      </c>
      <c r="N190" t="s">
        <v>2233</v>
      </c>
      <c r="O190" t="s">
        <v>2400</v>
      </c>
      <c r="Q190" t="s">
        <v>3074</v>
      </c>
      <c r="R190">
        <v>3</v>
      </c>
      <c r="S190">
        <v>2</v>
      </c>
      <c r="T190">
        <v>30.16</v>
      </c>
      <c r="W190">
        <v>9100</v>
      </c>
      <c r="Y190">
        <v>4.4</v>
      </c>
      <c r="Z190" t="s">
        <v>361</v>
      </c>
      <c r="AA190" t="s">
        <v>3912</v>
      </c>
      <c r="AC190" t="s">
        <v>3942</v>
      </c>
      <c r="AD190" t="s">
        <v>223</v>
      </c>
      <c r="AF190" t="s">
        <v>4053</v>
      </c>
      <c r="AH190" t="s">
        <v>4076</v>
      </c>
      <c r="AJ190" t="s">
        <v>3943</v>
      </c>
      <c r="AL190" t="s">
        <v>4101</v>
      </c>
      <c r="AM190" t="s">
        <v>2230</v>
      </c>
      <c r="AO190">
        <v>2000</v>
      </c>
      <c r="AQ190">
        <v>3</v>
      </c>
      <c r="AR190" t="s">
        <v>4112</v>
      </c>
      <c r="AT190" t="s">
        <v>4127</v>
      </c>
      <c r="AV190" t="s">
        <v>4137</v>
      </c>
      <c r="AW190">
        <v>0</v>
      </c>
      <c r="AY190" t="s">
        <v>4140</v>
      </c>
      <c r="BA190" t="s">
        <v>4149</v>
      </c>
      <c r="BC190" t="s">
        <v>4156</v>
      </c>
      <c r="BD190" t="s">
        <v>4157</v>
      </c>
      <c r="BE190" t="s">
        <v>4204</v>
      </c>
      <c r="BG190" t="s">
        <v>4401</v>
      </c>
      <c r="BM190" t="s">
        <v>4627</v>
      </c>
    </row>
    <row r="191" spans="1:67">
      <c r="A191" s="1">
        <f>HYPERLINK("https://lsnyc.legalserver.org/matter/dynamic-profile/view/1909999","19-1909999")</f>
        <v>0</v>
      </c>
      <c r="B191" t="s">
        <v>73</v>
      </c>
      <c r="C191" t="s">
        <v>93</v>
      </c>
      <c r="D191" t="s">
        <v>224</v>
      </c>
      <c r="F191" t="s">
        <v>620</v>
      </c>
      <c r="G191" t="s">
        <v>1152</v>
      </c>
      <c r="H191" t="s">
        <v>1684</v>
      </c>
      <c r="I191" t="s">
        <v>1985</v>
      </c>
      <c r="J191" t="s">
        <v>2205</v>
      </c>
      <c r="K191">
        <v>11207</v>
      </c>
      <c r="N191" t="s">
        <v>2233</v>
      </c>
      <c r="O191" t="s">
        <v>2401</v>
      </c>
      <c r="Q191" t="s">
        <v>3075</v>
      </c>
      <c r="R191">
        <v>1</v>
      </c>
      <c r="S191">
        <v>0</v>
      </c>
      <c r="T191">
        <v>320.26</v>
      </c>
      <c r="W191">
        <v>40000</v>
      </c>
      <c r="Y191">
        <v>5.5</v>
      </c>
      <c r="Z191" t="s">
        <v>204</v>
      </c>
      <c r="AA191" t="s">
        <v>70</v>
      </c>
      <c r="AB191" t="s">
        <v>3940</v>
      </c>
      <c r="AC191" t="s">
        <v>3944</v>
      </c>
      <c r="AD191" t="s">
        <v>137</v>
      </c>
      <c r="AF191" t="s">
        <v>4053</v>
      </c>
      <c r="AH191" t="s">
        <v>4076</v>
      </c>
      <c r="AJ191" t="s">
        <v>3943</v>
      </c>
      <c r="AL191" t="s">
        <v>4086</v>
      </c>
      <c r="AM191" t="s">
        <v>2230</v>
      </c>
      <c r="AO191">
        <v>584</v>
      </c>
      <c r="AQ191">
        <v>16</v>
      </c>
      <c r="AS191" t="s">
        <v>4113</v>
      </c>
      <c r="AU191" t="s">
        <v>4128</v>
      </c>
      <c r="AW191">
        <v>8</v>
      </c>
      <c r="AY191" t="s">
        <v>4140</v>
      </c>
      <c r="BB191" t="s">
        <v>4154</v>
      </c>
      <c r="BE191" t="s">
        <v>4054</v>
      </c>
      <c r="BG191" t="s">
        <v>4402</v>
      </c>
      <c r="BM191" t="s">
        <v>4627</v>
      </c>
    </row>
    <row r="192" spans="1:67">
      <c r="A192" s="1">
        <f>HYPERLINK("https://lsnyc.legalserver.org/matter/dynamic-profile/view/1909811","19-1909811")</f>
        <v>0</v>
      </c>
      <c r="B192" t="s">
        <v>73</v>
      </c>
      <c r="C192" t="s">
        <v>93</v>
      </c>
      <c r="D192" t="s">
        <v>225</v>
      </c>
      <c r="F192" t="s">
        <v>621</v>
      </c>
      <c r="G192" t="s">
        <v>1153</v>
      </c>
      <c r="H192" t="s">
        <v>1669</v>
      </c>
      <c r="I192" t="s">
        <v>1924</v>
      </c>
      <c r="J192" t="s">
        <v>2205</v>
      </c>
      <c r="K192">
        <v>11233</v>
      </c>
      <c r="N192" t="s">
        <v>2233</v>
      </c>
      <c r="O192" t="s">
        <v>2402</v>
      </c>
      <c r="Q192" t="s">
        <v>3076</v>
      </c>
      <c r="R192">
        <v>1</v>
      </c>
      <c r="S192">
        <v>0</v>
      </c>
      <c r="T192">
        <v>13.63</v>
      </c>
      <c r="W192">
        <v>1703</v>
      </c>
      <c r="Y192">
        <v>0.1</v>
      </c>
      <c r="Z192" t="s">
        <v>125</v>
      </c>
      <c r="AA192" t="s">
        <v>90</v>
      </c>
      <c r="AC192" t="s">
        <v>3942</v>
      </c>
      <c r="AD192" t="s">
        <v>225</v>
      </c>
      <c r="AF192" t="s">
        <v>4053</v>
      </c>
      <c r="AH192" t="s">
        <v>4076</v>
      </c>
      <c r="AJ192" t="s">
        <v>3943</v>
      </c>
      <c r="AL192" t="s">
        <v>4090</v>
      </c>
      <c r="AM192" t="s">
        <v>2230</v>
      </c>
      <c r="AO192">
        <v>1515</v>
      </c>
      <c r="AQ192">
        <v>6</v>
      </c>
      <c r="AS192" t="s">
        <v>4113</v>
      </c>
      <c r="AU192" t="s">
        <v>4128</v>
      </c>
      <c r="AW192">
        <v>3</v>
      </c>
      <c r="AY192" t="s">
        <v>4140</v>
      </c>
      <c r="BA192" t="s">
        <v>4149</v>
      </c>
      <c r="BC192" t="s">
        <v>4155</v>
      </c>
      <c r="BD192" t="s">
        <v>4157</v>
      </c>
      <c r="BE192" t="s">
        <v>4205</v>
      </c>
      <c r="BG192" t="s">
        <v>4387</v>
      </c>
      <c r="BM192" t="s">
        <v>4627</v>
      </c>
    </row>
    <row r="193" spans="1:65">
      <c r="A193" s="1">
        <f>HYPERLINK("https://lsnyc.legalserver.org/matter/dynamic-profile/view/1897447","19-1897447")</f>
        <v>0</v>
      </c>
      <c r="B193" t="s">
        <v>74</v>
      </c>
      <c r="C193" t="s">
        <v>93</v>
      </c>
      <c r="D193" t="s">
        <v>226</v>
      </c>
      <c r="F193" t="s">
        <v>622</v>
      </c>
      <c r="G193" t="s">
        <v>1154</v>
      </c>
      <c r="H193" t="s">
        <v>1685</v>
      </c>
      <c r="I193" t="s">
        <v>1924</v>
      </c>
      <c r="J193" t="s">
        <v>2205</v>
      </c>
      <c r="K193">
        <v>11233</v>
      </c>
      <c r="N193" t="s">
        <v>2233</v>
      </c>
      <c r="O193" t="s">
        <v>2403</v>
      </c>
      <c r="Q193" t="s">
        <v>3077</v>
      </c>
      <c r="R193">
        <v>1</v>
      </c>
      <c r="S193">
        <v>0</v>
      </c>
      <c r="T193">
        <v>80.06</v>
      </c>
      <c r="W193">
        <v>10000</v>
      </c>
      <c r="X193" t="s">
        <v>3507</v>
      </c>
      <c r="Y193">
        <v>1.5</v>
      </c>
      <c r="Z193" t="s">
        <v>394</v>
      </c>
      <c r="AA193" t="s">
        <v>90</v>
      </c>
      <c r="AC193" t="s">
        <v>3942</v>
      </c>
      <c r="AD193" t="s">
        <v>3971</v>
      </c>
      <c r="AF193" t="s">
        <v>4060</v>
      </c>
      <c r="AH193" t="s">
        <v>3510</v>
      </c>
      <c r="AJ193" t="s">
        <v>3943</v>
      </c>
      <c r="AK193" t="s">
        <v>4084</v>
      </c>
      <c r="AM193" t="s">
        <v>2230</v>
      </c>
      <c r="AN193" t="s">
        <v>4107</v>
      </c>
      <c r="AO193">
        <v>0</v>
      </c>
      <c r="AQ193">
        <v>6</v>
      </c>
      <c r="AS193" t="s">
        <v>4113</v>
      </c>
      <c r="AT193" t="s">
        <v>4127</v>
      </c>
      <c r="AV193" t="s">
        <v>4137</v>
      </c>
      <c r="AW193">
        <v>0</v>
      </c>
      <c r="AY193" t="s">
        <v>4140</v>
      </c>
      <c r="BA193" t="s">
        <v>4149</v>
      </c>
      <c r="BB193" t="s">
        <v>4154</v>
      </c>
      <c r="BF193" t="s">
        <v>4281</v>
      </c>
      <c r="BM193" t="s">
        <v>4627</v>
      </c>
    </row>
    <row r="194" spans="1:65">
      <c r="A194" s="1">
        <f>HYPERLINK("https://lsnyc.legalserver.org/matter/dynamic-profile/view/1876837","18-1876837")</f>
        <v>0</v>
      </c>
      <c r="B194" t="s">
        <v>74</v>
      </c>
      <c r="C194" t="s">
        <v>93</v>
      </c>
      <c r="D194" t="s">
        <v>227</v>
      </c>
      <c r="F194" t="s">
        <v>623</v>
      </c>
      <c r="G194" t="s">
        <v>1155</v>
      </c>
      <c r="H194" t="s">
        <v>1611</v>
      </c>
      <c r="I194" t="s">
        <v>1986</v>
      </c>
      <c r="J194" t="s">
        <v>2205</v>
      </c>
      <c r="K194">
        <v>11216</v>
      </c>
      <c r="N194" t="s">
        <v>2233</v>
      </c>
      <c r="O194" t="s">
        <v>2404</v>
      </c>
      <c r="Q194" t="s">
        <v>3078</v>
      </c>
      <c r="R194">
        <v>1</v>
      </c>
      <c r="S194">
        <v>0</v>
      </c>
      <c r="T194">
        <v>568.37</v>
      </c>
      <c r="W194">
        <v>69000</v>
      </c>
      <c r="X194" t="s">
        <v>3473</v>
      </c>
      <c r="Y194">
        <v>0</v>
      </c>
      <c r="AA194" t="s">
        <v>90</v>
      </c>
      <c r="AC194" t="s">
        <v>3942</v>
      </c>
      <c r="AD194" t="s">
        <v>143</v>
      </c>
      <c r="AF194" t="s">
        <v>4054</v>
      </c>
      <c r="AH194" t="s">
        <v>3510</v>
      </c>
      <c r="AJ194" t="s">
        <v>3942</v>
      </c>
      <c r="AL194" t="s">
        <v>4089</v>
      </c>
      <c r="AM194" t="s">
        <v>2230</v>
      </c>
      <c r="AO194">
        <v>2200</v>
      </c>
      <c r="AQ194">
        <v>82</v>
      </c>
      <c r="AS194" t="s">
        <v>4113</v>
      </c>
      <c r="AU194" t="s">
        <v>4128</v>
      </c>
      <c r="AW194">
        <v>1</v>
      </c>
      <c r="AY194" t="s">
        <v>4140</v>
      </c>
      <c r="BB194" t="s">
        <v>4154</v>
      </c>
      <c r="BF194" t="s">
        <v>4281</v>
      </c>
      <c r="BG194" t="s">
        <v>4054</v>
      </c>
      <c r="BM194" t="s">
        <v>4627</v>
      </c>
    </row>
    <row r="195" spans="1:65">
      <c r="A195" s="1">
        <f>HYPERLINK("https://lsnyc.legalserver.org/matter/dynamic-profile/view/1897431","19-1897431")</f>
        <v>0</v>
      </c>
      <c r="B195" t="s">
        <v>74</v>
      </c>
      <c r="C195" t="s">
        <v>93</v>
      </c>
      <c r="D195" t="s">
        <v>226</v>
      </c>
      <c r="F195" t="s">
        <v>622</v>
      </c>
      <c r="G195" t="s">
        <v>1154</v>
      </c>
      <c r="H195" t="s">
        <v>1685</v>
      </c>
      <c r="I195" t="s">
        <v>1924</v>
      </c>
      <c r="J195" t="s">
        <v>2205</v>
      </c>
      <c r="K195">
        <v>11233</v>
      </c>
      <c r="N195" t="s">
        <v>2233</v>
      </c>
      <c r="O195" t="s">
        <v>2403</v>
      </c>
      <c r="Q195" t="s">
        <v>3077</v>
      </c>
      <c r="R195">
        <v>1</v>
      </c>
      <c r="S195">
        <v>0</v>
      </c>
      <c r="T195">
        <v>80.06</v>
      </c>
      <c r="W195">
        <v>10000</v>
      </c>
      <c r="Y195">
        <v>33.5</v>
      </c>
      <c r="Z195" t="s">
        <v>401</v>
      </c>
      <c r="AA195" t="s">
        <v>90</v>
      </c>
      <c r="AC195" t="s">
        <v>3942</v>
      </c>
      <c r="AD195" t="s">
        <v>446</v>
      </c>
      <c r="AF195" t="s">
        <v>4061</v>
      </c>
      <c r="AH195" t="s">
        <v>3510</v>
      </c>
      <c r="AJ195" t="s">
        <v>3943</v>
      </c>
      <c r="AL195" t="s">
        <v>4086</v>
      </c>
      <c r="AM195" t="s">
        <v>2230</v>
      </c>
      <c r="AN195" t="s">
        <v>4107</v>
      </c>
      <c r="AO195">
        <v>0</v>
      </c>
      <c r="AQ195">
        <v>6</v>
      </c>
      <c r="AS195" t="s">
        <v>4113</v>
      </c>
      <c r="AT195" t="s">
        <v>4127</v>
      </c>
      <c r="AV195" t="s">
        <v>4137</v>
      </c>
      <c r="AW195">
        <v>0</v>
      </c>
      <c r="AY195" t="s">
        <v>4140</v>
      </c>
      <c r="BA195" t="s">
        <v>4149</v>
      </c>
      <c r="BB195" t="s">
        <v>4154</v>
      </c>
      <c r="BF195" t="s">
        <v>4281</v>
      </c>
      <c r="BM195" t="s">
        <v>4627</v>
      </c>
    </row>
    <row r="196" spans="1:65">
      <c r="A196" s="1">
        <f>HYPERLINK("https://lsnyc.legalserver.org/matter/dynamic-profile/view/1883130","18-1883130")</f>
        <v>0</v>
      </c>
      <c r="B196" t="s">
        <v>74</v>
      </c>
      <c r="C196" t="s">
        <v>93</v>
      </c>
      <c r="D196" t="s">
        <v>166</v>
      </c>
      <c r="F196" t="s">
        <v>624</v>
      </c>
      <c r="G196" t="s">
        <v>1156</v>
      </c>
      <c r="H196" t="s">
        <v>1611</v>
      </c>
      <c r="I196" t="s">
        <v>1987</v>
      </c>
      <c r="J196" t="s">
        <v>2205</v>
      </c>
      <c r="K196">
        <v>11216</v>
      </c>
      <c r="N196" t="s">
        <v>2233</v>
      </c>
      <c r="O196" t="s">
        <v>2405</v>
      </c>
      <c r="Q196" t="s">
        <v>3079</v>
      </c>
      <c r="R196">
        <v>1</v>
      </c>
      <c r="S196">
        <v>0</v>
      </c>
      <c r="T196">
        <v>82.37</v>
      </c>
      <c r="W196">
        <v>10000</v>
      </c>
      <c r="Y196">
        <v>104.3</v>
      </c>
      <c r="Z196" t="s">
        <v>116</v>
      </c>
      <c r="AA196" t="s">
        <v>70</v>
      </c>
      <c r="AC196" t="s">
        <v>3942</v>
      </c>
      <c r="AD196" t="s">
        <v>3446</v>
      </c>
      <c r="AF196" t="s">
        <v>4058</v>
      </c>
      <c r="AH196" t="s">
        <v>4076</v>
      </c>
      <c r="AJ196" t="s">
        <v>3943</v>
      </c>
      <c r="AL196" t="s">
        <v>4086</v>
      </c>
      <c r="AM196" t="s">
        <v>2230</v>
      </c>
      <c r="AO196">
        <v>952.42</v>
      </c>
      <c r="AQ196">
        <v>82</v>
      </c>
      <c r="AS196" t="s">
        <v>4113</v>
      </c>
      <c r="AU196" t="s">
        <v>4128</v>
      </c>
      <c r="AW196">
        <v>7</v>
      </c>
      <c r="AY196" t="s">
        <v>4140</v>
      </c>
      <c r="BA196" t="s">
        <v>4149</v>
      </c>
      <c r="BB196" t="s">
        <v>4154</v>
      </c>
      <c r="BG196" t="s">
        <v>4403</v>
      </c>
      <c r="BM196" t="s">
        <v>4627</v>
      </c>
    </row>
    <row r="197" spans="1:65">
      <c r="A197" s="1">
        <f>HYPERLINK("https://lsnyc.legalserver.org/matter/dynamic-profile/view/1897435","19-1897435")</f>
        <v>0</v>
      </c>
      <c r="B197" t="s">
        <v>74</v>
      </c>
      <c r="C197" t="s">
        <v>93</v>
      </c>
      <c r="D197" t="s">
        <v>226</v>
      </c>
      <c r="F197" t="s">
        <v>622</v>
      </c>
      <c r="G197" t="s">
        <v>1154</v>
      </c>
      <c r="H197" t="s">
        <v>1685</v>
      </c>
      <c r="I197" t="s">
        <v>1924</v>
      </c>
      <c r="J197" t="s">
        <v>2205</v>
      </c>
      <c r="K197">
        <v>11233</v>
      </c>
      <c r="N197" t="s">
        <v>2233</v>
      </c>
      <c r="O197" t="s">
        <v>2403</v>
      </c>
      <c r="Q197" t="s">
        <v>3077</v>
      </c>
      <c r="R197">
        <v>1</v>
      </c>
      <c r="S197">
        <v>0</v>
      </c>
      <c r="T197">
        <v>80.06</v>
      </c>
      <c r="W197">
        <v>10000</v>
      </c>
      <c r="X197" t="s">
        <v>3507</v>
      </c>
      <c r="Y197">
        <v>0</v>
      </c>
      <c r="AA197" t="s">
        <v>90</v>
      </c>
      <c r="AC197" t="s">
        <v>3942</v>
      </c>
      <c r="AD197" t="s">
        <v>226</v>
      </c>
      <c r="AF197" t="s">
        <v>4054</v>
      </c>
      <c r="AH197" t="s">
        <v>3510</v>
      </c>
      <c r="AJ197" t="s">
        <v>3943</v>
      </c>
      <c r="AK197" t="s">
        <v>4084</v>
      </c>
      <c r="AM197" t="s">
        <v>2230</v>
      </c>
      <c r="AN197" t="s">
        <v>4107</v>
      </c>
      <c r="AO197">
        <v>0</v>
      </c>
      <c r="AQ197">
        <v>6</v>
      </c>
      <c r="AS197" t="s">
        <v>4113</v>
      </c>
      <c r="AT197" t="s">
        <v>4127</v>
      </c>
      <c r="AV197" t="s">
        <v>4137</v>
      </c>
      <c r="AW197">
        <v>0</v>
      </c>
      <c r="AY197" t="s">
        <v>4140</v>
      </c>
      <c r="BA197" t="s">
        <v>4149</v>
      </c>
      <c r="BB197" t="s">
        <v>4154</v>
      </c>
      <c r="BF197" t="s">
        <v>4281</v>
      </c>
      <c r="BG197" t="s">
        <v>4327</v>
      </c>
      <c r="BM197" t="s">
        <v>4627</v>
      </c>
    </row>
    <row r="198" spans="1:65">
      <c r="A198" s="1">
        <f>HYPERLINK("https://lsnyc.legalserver.org/matter/dynamic-profile/view/1881486","18-1881486")</f>
        <v>0</v>
      </c>
      <c r="B198" t="s">
        <v>74</v>
      </c>
      <c r="C198" t="s">
        <v>93</v>
      </c>
      <c r="D198" t="s">
        <v>228</v>
      </c>
      <c r="F198" t="s">
        <v>625</v>
      </c>
      <c r="G198" t="s">
        <v>1157</v>
      </c>
      <c r="H198" t="s">
        <v>1611</v>
      </c>
      <c r="I198" t="s">
        <v>1988</v>
      </c>
      <c r="J198" t="s">
        <v>2205</v>
      </c>
      <c r="K198">
        <v>11216</v>
      </c>
      <c r="N198" t="s">
        <v>2233</v>
      </c>
      <c r="O198" t="s">
        <v>2406</v>
      </c>
      <c r="Q198" t="s">
        <v>3080</v>
      </c>
      <c r="R198">
        <v>1</v>
      </c>
      <c r="S198">
        <v>0</v>
      </c>
      <c r="T198">
        <v>82.37</v>
      </c>
      <c r="V198" t="s">
        <v>3459</v>
      </c>
      <c r="W198">
        <v>9999.959999999999</v>
      </c>
      <c r="X198" t="s">
        <v>3491</v>
      </c>
      <c r="Y198">
        <v>0</v>
      </c>
      <c r="AA198" t="s">
        <v>90</v>
      </c>
      <c r="AC198" t="s">
        <v>3942</v>
      </c>
      <c r="AD198" t="s">
        <v>119</v>
      </c>
      <c r="AF198" t="s">
        <v>4054</v>
      </c>
      <c r="AH198" t="s">
        <v>3510</v>
      </c>
      <c r="AJ198" t="s">
        <v>3942</v>
      </c>
      <c r="AL198" t="s">
        <v>4089</v>
      </c>
      <c r="AM198" t="s">
        <v>2230</v>
      </c>
      <c r="AO198">
        <v>1650</v>
      </c>
      <c r="AQ198">
        <v>8</v>
      </c>
      <c r="AS198" t="s">
        <v>4113</v>
      </c>
      <c r="AU198" t="s">
        <v>4128</v>
      </c>
      <c r="AW198">
        <v>1</v>
      </c>
      <c r="AY198" t="s">
        <v>4140</v>
      </c>
      <c r="BA198" t="s">
        <v>4149</v>
      </c>
      <c r="BB198" t="s">
        <v>4154</v>
      </c>
      <c r="BE198" t="s">
        <v>4128</v>
      </c>
      <c r="BF198" t="s">
        <v>4281</v>
      </c>
      <c r="BG198" t="s">
        <v>4054</v>
      </c>
      <c r="BM198" t="s">
        <v>4627</v>
      </c>
    </row>
    <row r="199" spans="1:65">
      <c r="A199" s="1">
        <f>HYPERLINK("https://lsnyc.legalserver.org/matter/dynamic-profile/view/1876838","18-1876838")</f>
        <v>0</v>
      </c>
      <c r="B199" t="s">
        <v>74</v>
      </c>
      <c r="C199" t="s">
        <v>93</v>
      </c>
      <c r="D199" t="s">
        <v>227</v>
      </c>
      <c r="F199" t="s">
        <v>623</v>
      </c>
      <c r="G199" t="s">
        <v>1155</v>
      </c>
      <c r="H199" t="s">
        <v>1611</v>
      </c>
      <c r="I199" t="s">
        <v>1986</v>
      </c>
      <c r="J199" t="s">
        <v>2205</v>
      </c>
      <c r="K199">
        <v>11216</v>
      </c>
      <c r="N199" t="s">
        <v>2233</v>
      </c>
      <c r="O199" t="s">
        <v>2404</v>
      </c>
      <c r="Q199" t="s">
        <v>3078</v>
      </c>
      <c r="R199">
        <v>1</v>
      </c>
      <c r="S199">
        <v>0</v>
      </c>
      <c r="T199">
        <v>568.37</v>
      </c>
      <c r="W199">
        <v>69000</v>
      </c>
      <c r="X199" t="s">
        <v>3491</v>
      </c>
      <c r="Y199">
        <v>0</v>
      </c>
      <c r="AA199" t="s">
        <v>90</v>
      </c>
      <c r="AC199" t="s">
        <v>3942</v>
      </c>
      <c r="AD199" t="s">
        <v>3972</v>
      </c>
      <c r="AF199" t="s">
        <v>4062</v>
      </c>
      <c r="AH199" t="s">
        <v>4076</v>
      </c>
      <c r="AJ199" t="s">
        <v>3942</v>
      </c>
      <c r="AL199" t="s">
        <v>4089</v>
      </c>
      <c r="AM199" t="s">
        <v>2230</v>
      </c>
      <c r="AO199">
        <v>2200</v>
      </c>
      <c r="AQ199">
        <v>82</v>
      </c>
      <c r="AS199" t="s">
        <v>4113</v>
      </c>
      <c r="AU199" t="s">
        <v>4128</v>
      </c>
      <c r="AW199">
        <v>1</v>
      </c>
      <c r="AY199" t="s">
        <v>4140</v>
      </c>
      <c r="BB199" t="s">
        <v>4154</v>
      </c>
      <c r="BG199" t="s">
        <v>4404</v>
      </c>
      <c r="BM199" t="s">
        <v>4627</v>
      </c>
    </row>
    <row r="200" spans="1:65">
      <c r="A200" s="1">
        <f>HYPERLINK("https://lsnyc.legalserver.org/matter/dynamic-profile/view/1883103","18-1883103")</f>
        <v>0</v>
      </c>
      <c r="B200" t="s">
        <v>74</v>
      </c>
      <c r="C200" t="s">
        <v>93</v>
      </c>
      <c r="D200" t="s">
        <v>166</v>
      </c>
      <c r="F200" t="s">
        <v>624</v>
      </c>
      <c r="G200" t="s">
        <v>1156</v>
      </c>
      <c r="H200" t="s">
        <v>1611</v>
      </c>
      <c r="I200" t="s">
        <v>1987</v>
      </c>
      <c r="J200" t="s">
        <v>2205</v>
      </c>
      <c r="K200">
        <v>11216</v>
      </c>
      <c r="N200" t="s">
        <v>2233</v>
      </c>
      <c r="O200" t="s">
        <v>2405</v>
      </c>
      <c r="Q200" t="s">
        <v>3079</v>
      </c>
      <c r="R200">
        <v>1</v>
      </c>
      <c r="S200">
        <v>0</v>
      </c>
      <c r="T200">
        <v>82.37</v>
      </c>
      <c r="W200">
        <v>10000</v>
      </c>
      <c r="Y200">
        <v>0</v>
      </c>
      <c r="AA200" t="s">
        <v>70</v>
      </c>
      <c r="AC200" t="s">
        <v>3942</v>
      </c>
      <c r="AD200" t="s">
        <v>3446</v>
      </c>
      <c r="AF200" t="s">
        <v>4061</v>
      </c>
      <c r="AH200" t="s">
        <v>3510</v>
      </c>
      <c r="AJ200" t="s">
        <v>3942</v>
      </c>
      <c r="AL200" t="s">
        <v>4086</v>
      </c>
      <c r="AM200" t="s">
        <v>2230</v>
      </c>
      <c r="AO200">
        <v>952.42</v>
      </c>
      <c r="AQ200">
        <v>82</v>
      </c>
      <c r="AS200" t="s">
        <v>4113</v>
      </c>
      <c r="AU200" t="s">
        <v>4128</v>
      </c>
      <c r="AW200">
        <v>7</v>
      </c>
      <c r="AY200" t="s">
        <v>4140</v>
      </c>
      <c r="BA200" t="s">
        <v>4149</v>
      </c>
      <c r="BB200" t="s">
        <v>4154</v>
      </c>
      <c r="BF200" t="s">
        <v>4281</v>
      </c>
      <c r="BM200" t="s">
        <v>4627</v>
      </c>
    </row>
    <row r="201" spans="1:65">
      <c r="A201" s="1">
        <f>HYPERLINK("https://lsnyc.legalserver.org/matter/dynamic-profile/view/1876587","18-1876587")</f>
        <v>0</v>
      </c>
      <c r="B201" t="s">
        <v>74</v>
      </c>
      <c r="C201" t="s">
        <v>93</v>
      </c>
      <c r="D201" t="s">
        <v>229</v>
      </c>
      <c r="F201" t="s">
        <v>626</v>
      </c>
      <c r="G201" t="s">
        <v>1158</v>
      </c>
      <c r="H201" t="s">
        <v>1611</v>
      </c>
      <c r="I201" t="s">
        <v>1989</v>
      </c>
      <c r="J201" t="s">
        <v>2205</v>
      </c>
      <c r="K201">
        <v>11216</v>
      </c>
      <c r="N201" t="s">
        <v>2233</v>
      </c>
      <c r="O201" t="s">
        <v>2407</v>
      </c>
      <c r="P201" t="s">
        <v>2930</v>
      </c>
      <c r="R201">
        <v>1</v>
      </c>
      <c r="S201">
        <v>0</v>
      </c>
      <c r="T201">
        <v>576.61</v>
      </c>
      <c r="W201">
        <v>70000</v>
      </c>
      <c r="X201" t="s">
        <v>3491</v>
      </c>
      <c r="Y201">
        <v>0</v>
      </c>
      <c r="AA201" t="s">
        <v>90</v>
      </c>
      <c r="AC201" t="s">
        <v>3942</v>
      </c>
      <c r="AD201" t="s">
        <v>3881</v>
      </c>
      <c r="AF201" t="s">
        <v>4054</v>
      </c>
      <c r="AH201" t="s">
        <v>3510</v>
      </c>
      <c r="AJ201" t="s">
        <v>3942</v>
      </c>
      <c r="AL201" t="s">
        <v>4089</v>
      </c>
      <c r="AM201" t="s">
        <v>2230</v>
      </c>
      <c r="AO201">
        <v>1500</v>
      </c>
      <c r="AQ201">
        <v>8</v>
      </c>
      <c r="AS201" t="s">
        <v>4113</v>
      </c>
      <c r="AU201" t="s">
        <v>4128</v>
      </c>
      <c r="AW201">
        <v>1</v>
      </c>
      <c r="AY201" t="s">
        <v>4140</v>
      </c>
      <c r="BB201" t="s">
        <v>4154</v>
      </c>
      <c r="BF201" t="s">
        <v>4281</v>
      </c>
      <c r="BM201" t="s">
        <v>4627</v>
      </c>
    </row>
    <row r="202" spans="1:65">
      <c r="A202" s="1">
        <f>HYPERLINK("https://lsnyc.legalserver.org/matter/dynamic-profile/view/1876947","18-1876947")</f>
        <v>0</v>
      </c>
      <c r="B202" t="s">
        <v>74</v>
      </c>
      <c r="C202" t="s">
        <v>93</v>
      </c>
      <c r="D202" t="s">
        <v>230</v>
      </c>
      <c r="F202" t="s">
        <v>627</v>
      </c>
      <c r="G202" t="s">
        <v>1159</v>
      </c>
      <c r="H202" t="s">
        <v>1611</v>
      </c>
      <c r="I202" t="s">
        <v>1947</v>
      </c>
      <c r="J202" t="s">
        <v>2205</v>
      </c>
      <c r="K202">
        <v>11216</v>
      </c>
      <c r="N202" t="s">
        <v>2233</v>
      </c>
      <c r="O202" t="s">
        <v>2408</v>
      </c>
      <c r="Q202" t="s">
        <v>3081</v>
      </c>
      <c r="R202">
        <v>1</v>
      </c>
      <c r="S202">
        <v>0</v>
      </c>
      <c r="T202">
        <v>1087.31</v>
      </c>
      <c r="W202">
        <v>132000</v>
      </c>
      <c r="X202" t="s">
        <v>3508</v>
      </c>
      <c r="Y202">
        <v>0.5</v>
      </c>
      <c r="Z202" t="s">
        <v>3828</v>
      </c>
      <c r="AA202" t="s">
        <v>90</v>
      </c>
      <c r="AC202" t="s">
        <v>3942</v>
      </c>
      <c r="AD202" t="s">
        <v>442</v>
      </c>
      <c r="AF202" t="s">
        <v>4062</v>
      </c>
      <c r="AH202" t="s">
        <v>4076</v>
      </c>
      <c r="AJ202" t="s">
        <v>3942</v>
      </c>
      <c r="AL202" t="s">
        <v>4089</v>
      </c>
      <c r="AM202" t="s">
        <v>2230</v>
      </c>
      <c r="AO202">
        <v>2450</v>
      </c>
      <c r="AQ202">
        <v>82</v>
      </c>
      <c r="AS202" t="s">
        <v>4113</v>
      </c>
      <c r="AU202" t="s">
        <v>4128</v>
      </c>
      <c r="AW202">
        <v>3</v>
      </c>
      <c r="AY202" t="s">
        <v>4140</v>
      </c>
      <c r="BB202" t="s">
        <v>4154</v>
      </c>
      <c r="BG202" t="s">
        <v>4404</v>
      </c>
      <c r="BM202" t="s">
        <v>4627</v>
      </c>
    </row>
    <row r="203" spans="1:65">
      <c r="A203" s="1">
        <f>HYPERLINK("https://lsnyc.legalserver.org/matter/dynamic-profile/view/1845306","17-1845306")</f>
        <v>0</v>
      </c>
      <c r="B203" t="s">
        <v>74</v>
      </c>
      <c r="C203" t="s">
        <v>93</v>
      </c>
      <c r="D203" t="s">
        <v>231</v>
      </c>
      <c r="F203" t="s">
        <v>628</v>
      </c>
      <c r="G203" t="s">
        <v>1160</v>
      </c>
      <c r="H203" t="s">
        <v>1686</v>
      </c>
      <c r="I203">
        <v>21</v>
      </c>
      <c r="J203" t="s">
        <v>2205</v>
      </c>
      <c r="K203">
        <v>11201</v>
      </c>
      <c r="N203" t="s">
        <v>2233</v>
      </c>
      <c r="O203" t="s">
        <v>2409</v>
      </c>
      <c r="Q203" t="s">
        <v>3082</v>
      </c>
      <c r="R203">
        <v>2</v>
      </c>
      <c r="S203">
        <v>0</v>
      </c>
      <c r="T203">
        <v>69.31</v>
      </c>
      <c r="U203" t="s">
        <v>3449</v>
      </c>
      <c r="W203">
        <v>11256</v>
      </c>
      <c r="Y203">
        <v>46</v>
      </c>
      <c r="Z203" t="s">
        <v>3829</v>
      </c>
      <c r="AA203" t="s">
        <v>90</v>
      </c>
      <c r="AC203" t="s">
        <v>3942</v>
      </c>
      <c r="AD203" t="s">
        <v>3449</v>
      </c>
      <c r="AF203" t="s">
        <v>4053</v>
      </c>
      <c r="AH203" t="s">
        <v>4076</v>
      </c>
      <c r="AJ203" t="s">
        <v>3943</v>
      </c>
      <c r="AL203" t="s">
        <v>4086</v>
      </c>
      <c r="AM203" t="s">
        <v>2230</v>
      </c>
      <c r="AO203">
        <v>733</v>
      </c>
      <c r="AQ203">
        <v>25</v>
      </c>
      <c r="AS203" t="s">
        <v>4115</v>
      </c>
      <c r="AU203" t="s">
        <v>4134</v>
      </c>
      <c r="AW203">
        <v>48</v>
      </c>
      <c r="AY203" t="s">
        <v>4141</v>
      </c>
      <c r="BB203" t="s">
        <v>4154</v>
      </c>
      <c r="BE203" t="s">
        <v>4206</v>
      </c>
      <c r="BG203" t="s">
        <v>4405</v>
      </c>
      <c r="BM203" t="s">
        <v>4627</v>
      </c>
    </row>
    <row r="204" spans="1:65">
      <c r="A204" s="1">
        <f>HYPERLINK("https://lsnyc.legalserver.org/matter/dynamic-profile/view/1876797","18-1876797")</f>
        <v>0</v>
      </c>
      <c r="B204" t="s">
        <v>74</v>
      </c>
      <c r="C204" t="s">
        <v>93</v>
      </c>
      <c r="D204" t="s">
        <v>227</v>
      </c>
      <c r="F204" t="s">
        <v>629</v>
      </c>
      <c r="G204" t="s">
        <v>1161</v>
      </c>
      <c r="H204" t="s">
        <v>1611</v>
      </c>
      <c r="I204" t="s">
        <v>1990</v>
      </c>
      <c r="J204" t="s">
        <v>2205</v>
      </c>
      <c r="K204">
        <v>11216</v>
      </c>
      <c r="N204" t="s">
        <v>2233</v>
      </c>
      <c r="O204" t="s">
        <v>2410</v>
      </c>
      <c r="Q204" t="s">
        <v>3083</v>
      </c>
      <c r="R204">
        <v>1</v>
      </c>
      <c r="S204">
        <v>0</v>
      </c>
      <c r="T204">
        <v>873.15</v>
      </c>
      <c r="W204">
        <v>106000</v>
      </c>
      <c r="X204" t="s">
        <v>3509</v>
      </c>
      <c r="Y204">
        <v>0</v>
      </c>
      <c r="AA204" t="s">
        <v>90</v>
      </c>
      <c r="AC204" t="s">
        <v>3942</v>
      </c>
      <c r="AD204" t="s">
        <v>3972</v>
      </c>
      <c r="AF204" t="s">
        <v>4062</v>
      </c>
      <c r="AH204" t="s">
        <v>4076</v>
      </c>
      <c r="AJ204" t="s">
        <v>3942</v>
      </c>
      <c r="AL204" t="s">
        <v>4089</v>
      </c>
      <c r="AM204" t="s">
        <v>2230</v>
      </c>
      <c r="AO204">
        <v>1450</v>
      </c>
      <c r="AP204" t="s">
        <v>4108</v>
      </c>
      <c r="AQ204" t="s">
        <v>4110</v>
      </c>
      <c r="AS204" t="s">
        <v>4113</v>
      </c>
      <c r="AU204" t="s">
        <v>4128</v>
      </c>
      <c r="AV204" t="s">
        <v>4137</v>
      </c>
      <c r="AW204">
        <v>0</v>
      </c>
      <c r="AY204" t="s">
        <v>4144</v>
      </c>
      <c r="BB204" t="s">
        <v>4154</v>
      </c>
      <c r="BG204" t="s">
        <v>4404</v>
      </c>
      <c r="BM204" t="s">
        <v>4627</v>
      </c>
    </row>
    <row r="205" spans="1:65">
      <c r="A205" s="1">
        <f>HYPERLINK("https://lsnyc.legalserver.org/matter/dynamic-profile/view/1878112","18-1878112")</f>
        <v>0</v>
      </c>
      <c r="B205" t="s">
        <v>74</v>
      </c>
      <c r="C205" t="s">
        <v>93</v>
      </c>
      <c r="D205" t="s">
        <v>232</v>
      </c>
      <c r="F205" t="s">
        <v>630</v>
      </c>
      <c r="G205" t="s">
        <v>1162</v>
      </c>
      <c r="H205" t="s">
        <v>1611</v>
      </c>
      <c r="I205" t="s">
        <v>1991</v>
      </c>
      <c r="J205" t="s">
        <v>2205</v>
      </c>
      <c r="K205">
        <v>11216</v>
      </c>
      <c r="N205" t="s">
        <v>2233</v>
      </c>
      <c r="O205" t="s">
        <v>2411</v>
      </c>
      <c r="P205" t="s">
        <v>2930</v>
      </c>
      <c r="R205">
        <v>1</v>
      </c>
      <c r="S205">
        <v>0</v>
      </c>
      <c r="T205">
        <v>556.01</v>
      </c>
      <c r="W205">
        <v>67500</v>
      </c>
      <c r="X205" t="s">
        <v>3510</v>
      </c>
      <c r="Y205">
        <v>1.9</v>
      </c>
      <c r="Z205" t="s">
        <v>3830</v>
      </c>
      <c r="AA205" t="s">
        <v>90</v>
      </c>
      <c r="AC205" t="s">
        <v>3942</v>
      </c>
      <c r="AD205" t="s">
        <v>283</v>
      </c>
      <c r="AF205" t="s">
        <v>4054</v>
      </c>
      <c r="AH205" t="s">
        <v>3510</v>
      </c>
      <c r="AJ205" t="s">
        <v>3942</v>
      </c>
      <c r="AL205" t="s">
        <v>4089</v>
      </c>
      <c r="AM205" t="s">
        <v>2230</v>
      </c>
      <c r="AO205">
        <v>1400</v>
      </c>
      <c r="AQ205">
        <v>82</v>
      </c>
      <c r="AS205" t="s">
        <v>4113</v>
      </c>
      <c r="AU205" t="s">
        <v>4128</v>
      </c>
      <c r="AW205">
        <v>3</v>
      </c>
      <c r="AY205" t="s">
        <v>4140</v>
      </c>
      <c r="BC205" t="s">
        <v>4155</v>
      </c>
      <c r="BF205" t="s">
        <v>4281</v>
      </c>
      <c r="BG205" t="s">
        <v>4327</v>
      </c>
      <c r="BM205" t="s">
        <v>4627</v>
      </c>
    </row>
    <row r="206" spans="1:65">
      <c r="A206" s="1">
        <f>HYPERLINK("https://lsnyc.legalserver.org/matter/dynamic-profile/view/1876570","18-1876570")</f>
        <v>0</v>
      </c>
      <c r="B206" t="s">
        <v>74</v>
      </c>
      <c r="C206" t="s">
        <v>93</v>
      </c>
      <c r="D206" t="s">
        <v>229</v>
      </c>
      <c r="F206" t="s">
        <v>543</v>
      </c>
      <c r="G206" t="s">
        <v>1163</v>
      </c>
      <c r="H206" t="s">
        <v>1611</v>
      </c>
      <c r="I206" t="s">
        <v>1949</v>
      </c>
      <c r="J206" t="s">
        <v>2205</v>
      </c>
      <c r="K206">
        <v>11216</v>
      </c>
      <c r="N206" t="s">
        <v>2233</v>
      </c>
      <c r="O206" t="s">
        <v>2412</v>
      </c>
      <c r="Q206" t="s">
        <v>3084</v>
      </c>
      <c r="R206">
        <v>2</v>
      </c>
      <c r="S206">
        <v>0</v>
      </c>
      <c r="T206">
        <v>212.64</v>
      </c>
      <c r="U206" t="s">
        <v>3450</v>
      </c>
      <c r="V206" t="s">
        <v>3458</v>
      </c>
      <c r="W206">
        <v>35000</v>
      </c>
      <c r="X206" t="s">
        <v>3491</v>
      </c>
      <c r="Y206">
        <v>0</v>
      </c>
      <c r="AA206" t="s">
        <v>90</v>
      </c>
      <c r="AC206" t="s">
        <v>3942</v>
      </c>
      <c r="AD206" t="s">
        <v>3973</v>
      </c>
      <c r="AF206" t="s">
        <v>4062</v>
      </c>
      <c r="AH206" t="s">
        <v>4076</v>
      </c>
      <c r="AJ206" t="s">
        <v>3942</v>
      </c>
      <c r="AL206" t="s">
        <v>4089</v>
      </c>
      <c r="AM206" t="s">
        <v>2230</v>
      </c>
      <c r="AO206">
        <v>2300</v>
      </c>
      <c r="AQ206">
        <v>8</v>
      </c>
      <c r="AS206" t="s">
        <v>4113</v>
      </c>
      <c r="AU206" t="s">
        <v>4128</v>
      </c>
      <c r="AW206">
        <v>2</v>
      </c>
      <c r="AY206" t="s">
        <v>4140</v>
      </c>
      <c r="BB206" t="s">
        <v>4154</v>
      </c>
      <c r="BG206" t="s">
        <v>4404</v>
      </c>
      <c r="BM206" t="s">
        <v>4627</v>
      </c>
    </row>
    <row r="207" spans="1:65">
      <c r="A207" s="1">
        <f>HYPERLINK("https://lsnyc.legalserver.org/matter/dynamic-profile/view/1876828","18-1876828")</f>
        <v>0</v>
      </c>
      <c r="B207" t="s">
        <v>74</v>
      </c>
      <c r="C207" t="s">
        <v>93</v>
      </c>
      <c r="D207" t="s">
        <v>227</v>
      </c>
      <c r="F207" t="s">
        <v>631</v>
      </c>
      <c r="G207" t="s">
        <v>1164</v>
      </c>
      <c r="H207" t="s">
        <v>1611</v>
      </c>
      <c r="I207" t="s">
        <v>1992</v>
      </c>
      <c r="J207" t="s">
        <v>2205</v>
      </c>
      <c r="K207">
        <v>11216</v>
      </c>
      <c r="N207" t="s">
        <v>2233</v>
      </c>
      <c r="O207" t="s">
        <v>2413</v>
      </c>
      <c r="Q207" t="s">
        <v>3085</v>
      </c>
      <c r="R207">
        <v>1</v>
      </c>
      <c r="S207">
        <v>0</v>
      </c>
      <c r="T207">
        <v>838.59</v>
      </c>
      <c r="W207">
        <v>101805</v>
      </c>
      <c r="X207" t="s">
        <v>3473</v>
      </c>
      <c r="Y207">
        <v>0</v>
      </c>
      <c r="AA207" t="s">
        <v>90</v>
      </c>
      <c r="AC207" t="s">
        <v>3942</v>
      </c>
      <c r="AD207" t="s">
        <v>143</v>
      </c>
      <c r="AF207" t="s">
        <v>4054</v>
      </c>
      <c r="AH207" t="s">
        <v>3510</v>
      </c>
      <c r="AJ207" t="s">
        <v>3942</v>
      </c>
      <c r="AL207" t="s">
        <v>4089</v>
      </c>
      <c r="AM207" t="s">
        <v>2230</v>
      </c>
      <c r="AO207">
        <v>1400</v>
      </c>
      <c r="AQ207">
        <v>82</v>
      </c>
      <c r="AS207" t="s">
        <v>4113</v>
      </c>
      <c r="AU207" t="s">
        <v>4128</v>
      </c>
      <c r="AW207">
        <v>2</v>
      </c>
      <c r="AY207" t="s">
        <v>4140</v>
      </c>
      <c r="BB207" t="s">
        <v>4154</v>
      </c>
      <c r="BF207" t="s">
        <v>4281</v>
      </c>
      <c r="BG207" t="s">
        <v>4054</v>
      </c>
      <c r="BM207" t="s">
        <v>4627</v>
      </c>
    </row>
    <row r="208" spans="1:65">
      <c r="A208" s="1">
        <f>HYPERLINK("https://lsnyc.legalserver.org/matter/dynamic-profile/view/1897637","19-1897637")</f>
        <v>0</v>
      </c>
      <c r="B208" t="s">
        <v>74</v>
      </c>
      <c r="C208" t="s">
        <v>93</v>
      </c>
      <c r="D208" t="s">
        <v>233</v>
      </c>
      <c r="F208" t="s">
        <v>622</v>
      </c>
      <c r="G208" t="s">
        <v>1154</v>
      </c>
      <c r="H208" t="s">
        <v>1685</v>
      </c>
      <c r="I208" t="s">
        <v>1924</v>
      </c>
      <c r="J208" t="s">
        <v>2205</v>
      </c>
      <c r="K208">
        <v>11233</v>
      </c>
      <c r="N208" t="s">
        <v>2233</v>
      </c>
      <c r="O208" t="s">
        <v>2403</v>
      </c>
      <c r="Q208" t="s">
        <v>3077</v>
      </c>
      <c r="R208">
        <v>1</v>
      </c>
      <c r="S208">
        <v>0</v>
      </c>
      <c r="T208">
        <v>80.06</v>
      </c>
      <c r="W208">
        <v>10000</v>
      </c>
      <c r="Y208">
        <v>0.7</v>
      </c>
      <c r="Z208" t="s">
        <v>3831</v>
      </c>
      <c r="AA208" t="s">
        <v>74</v>
      </c>
      <c r="AC208" t="s">
        <v>3942</v>
      </c>
      <c r="AD208" t="s">
        <v>233</v>
      </c>
      <c r="AF208" t="s">
        <v>4059</v>
      </c>
      <c r="AH208" t="s">
        <v>4078</v>
      </c>
      <c r="AJ208" t="s">
        <v>3943</v>
      </c>
      <c r="AK208" t="s">
        <v>4084</v>
      </c>
      <c r="AM208" t="s">
        <v>2230</v>
      </c>
      <c r="AO208">
        <v>606</v>
      </c>
      <c r="AQ208">
        <v>6</v>
      </c>
      <c r="AS208" t="s">
        <v>4113</v>
      </c>
      <c r="AU208" t="s">
        <v>4128</v>
      </c>
      <c r="AW208">
        <v>40</v>
      </c>
      <c r="AY208" t="s">
        <v>4140</v>
      </c>
      <c r="BB208" t="s">
        <v>4154</v>
      </c>
      <c r="BF208" t="s">
        <v>4281</v>
      </c>
      <c r="BM208" t="s">
        <v>4627</v>
      </c>
    </row>
    <row r="209" spans="1:65">
      <c r="A209" s="1">
        <f>HYPERLINK("https://lsnyc.legalserver.org/matter/dynamic-profile/view/1876913","18-1876913")</f>
        <v>0</v>
      </c>
      <c r="B209" t="s">
        <v>74</v>
      </c>
      <c r="C209" t="s">
        <v>93</v>
      </c>
      <c r="D209" t="s">
        <v>230</v>
      </c>
      <c r="F209" t="s">
        <v>632</v>
      </c>
      <c r="G209" t="s">
        <v>1165</v>
      </c>
      <c r="H209" t="s">
        <v>1611</v>
      </c>
      <c r="I209" t="s">
        <v>1986</v>
      </c>
      <c r="J209" t="s">
        <v>2205</v>
      </c>
      <c r="K209">
        <v>11216</v>
      </c>
      <c r="N209" t="s">
        <v>2233</v>
      </c>
      <c r="O209" t="s">
        <v>2414</v>
      </c>
      <c r="Q209" t="s">
        <v>3086</v>
      </c>
      <c r="R209">
        <v>1</v>
      </c>
      <c r="S209">
        <v>0</v>
      </c>
      <c r="T209">
        <v>494.23</v>
      </c>
      <c r="U209" t="s">
        <v>3450</v>
      </c>
      <c r="V209" t="s">
        <v>3458</v>
      </c>
      <c r="W209">
        <v>60000</v>
      </c>
      <c r="X209" t="s">
        <v>3473</v>
      </c>
      <c r="Y209">
        <v>0</v>
      </c>
      <c r="AA209" t="s">
        <v>90</v>
      </c>
      <c r="AC209" t="s">
        <v>3942</v>
      </c>
      <c r="AD209" t="s">
        <v>143</v>
      </c>
      <c r="AF209" t="s">
        <v>4054</v>
      </c>
      <c r="AH209" t="s">
        <v>3510</v>
      </c>
      <c r="AJ209" t="s">
        <v>3942</v>
      </c>
      <c r="AL209" t="s">
        <v>4089</v>
      </c>
      <c r="AM209" t="s">
        <v>2230</v>
      </c>
      <c r="AO209">
        <v>2200</v>
      </c>
      <c r="AQ209">
        <v>82</v>
      </c>
      <c r="AS209" t="s">
        <v>4113</v>
      </c>
      <c r="AU209" t="s">
        <v>4128</v>
      </c>
      <c r="AW209">
        <v>1</v>
      </c>
      <c r="AY209" t="s">
        <v>4140</v>
      </c>
      <c r="BB209" t="s">
        <v>4154</v>
      </c>
      <c r="BF209" t="s">
        <v>4281</v>
      </c>
      <c r="BG209" t="s">
        <v>4054</v>
      </c>
      <c r="BM209" t="s">
        <v>4627</v>
      </c>
    </row>
    <row r="210" spans="1:65">
      <c r="A210" s="1">
        <f>HYPERLINK("https://lsnyc.legalserver.org/matter/dynamic-profile/view/1866708","18-1866708")</f>
        <v>0</v>
      </c>
      <c r="B210" t="s">
        <v>74</v>
      </c>
      <c r="C210" t="s">
        <v>93</v>
      </c>
      <c r="D210" t="s">
        <v>234</v>
      </c>
      <c r="F210" t="s">
        <v>633</v>
      </c>
      <c r="G210" t="s">
        <v>1166</v>
      </c>
      <c r="H210" t="s">
        <v>1687</v>
      </c>
      <c r="I210" t="s">
        <v>1933</v>
      </c>
      <c r="J210" t="s">
        <v>2205</v>
      </c>
      <c r="K210">
        <v>11233</v>
      </c>
      <c r="N210" t="s">
        <v>2233</v>
      </c>
      <c r="O210" t="s">
        <v>2415</v>
      </c>
      <c r="Q210" t="s">
        <v>3087</v>
      </c>
      <c r="R210">
        <v>1</v>
      </c>
      <c r="S210">
        <v>0</v>
      </c>
      <c r="T210">
        <v>192.75</v>
      </c>
      <c r="W210">
        <v>23400</v>
      </c>
      <c r="X210" t="s">
        <v>3511</v>
      </c>
      <c r="Y210">
        <v>5.5</v>
      </c>
      <c r="Z210" t="s">
        <v>3832</v>
      </c>
      <c r="AA210" t="s">
        <v>3899</v>
      </c>
      <c r="AC210" t="s">
        <v>3942</v>
      </c>
      <c r="AD210" t="s">
        <v>3974</v>
      </c>
      <c r="AF210" t="s">
        <v>4061</v>
      </c>
      <c r="AH210" t="s">
        <v>3510</v>
      </c>
      <c r="AJ210" t="s">
        <v>3943</v>
      </c>
      <c r="AL210" t="s">
        <v>4098</v>
      </c>
      <c r="AM210" t="s">
        <v>2230</v>
      </c>
      <c r="AO210">
        <v>647</v>
      </c>
      <c r="AQ210">
        <v>23</v>
      </c>
      <c r="AS210" t="s">
        <v>4113</v>
      </c>
      <c r="AU210" t="s">
        <v>4135</v>
      </c>
      <c r="AW210">
        <v>4</v>
      </c>
      <c r="AY210" t="s">
        <v>4140</v>
      </c>
      <c r="BB210" t="s">
        <v>4154</v>
      </c>
      <c r="BE210" t="s">
        <v>4207</v>
      </c>
      <c r="BF210" t="s">
        <v>4281</v>
      </c>
      <c r="BG210" t="s">
        <v>4128</v>
      </c>
      <c r="BM210" t="s">
        <v>4627</v>
      </c>
    </row>
    <row r="211" spans="1:65">
      <c r="A211" s="1">
        <f>HYPERLINK("https://lsnyc.legalserver.org/matter/dynamic-profile/view/1876746","18-1876746")</f>
        <v>0</v>
      </c>
      <c r="B211" t="s">
        <v>74</v>
      </c>
      <c r="C211" t="s">
        <v>93</v>
      </c>
      <c r="D211" t="s">
        <v>227</v>
      </c>
      <c r="F211" t="s">
        <v>634</v>
      </c>
      <c r="G211" t="s">
        <v>1167</v>
      </c>
      <c r="H211" t="s">
        <v>1611</v>
      </c>
      <c r="I211" t="s">
        <v>1993</v>
      </c>
      <c r="J211" t="s">
        <v>2205</v>
      </c>
      <c r="K211">
        <v>11216</v>
      </c>
      <c r="N211" t="s">
        <v>2233</v>
      </c>
      <c r="O211" t="s">
        <v>2416</v>
      </c>
      <c r="Q211" t="s">
        <v>3088</v>
      </c>
      <c r="R211">
        <v>1</v>
      </c>
      <c r="S211">
        <v>0</v>
      </c>
      <c r="T211">
        <v>543.66</v>
      </c>
      <c r="U211" t="s">
        <v>3450</v>
      </c>
      <c r="V211" t="s">
        <v>3458</v>
      </c>
      <c r="W211">
        <v>66000</v>
      </c>
      <c r="X211" t="s">
        <v>3491</v>
      </c>
      <c r="Y211">
        <v>0</v>
      </c>
      <c r="AA211" t="s">
        <v>90</v>
      </c>
      <c r="AC211" t="s">
        <v>3942</v>
      </c>
      <c r="AD211" t="s">
        <v>3972</v>
      </c>
      <c r="AF211" t="s">
        <v>4062</v>
      </c>
      <c r="AH211" t="s">
        <v>4076</v>
      </c>
      <c r="AJ211" t="s">
        <v>3942</v>
      </c>
      <c r="AL211" t="s">
        <v>4089</v>
      </c>
      <c r="AM211" t="s">
        <v>2230</v>
      </c>
      <c r="AO211">
        <v>1575</v>
      </c>
      <c r="AQ211">
        <v>82</v>
      </c>
      <c r="AS211" t="s">
        <v>4113</v>
      </c>
      <c r="AU211" t="s">
        <v>4128</v>
      </c>
      <c r="AW211">
        <v>2</v>
      </c>
      <c r="AY211" t="s">
        <v>4140</v>
      </c>
      <c r="BB211" t="s">
        <v>4154</v>
      </c>
      <c r="BG211" t="s">
        <v>4404</v>
      </c>
      <c r="BM211" t="s">
        <v>4627</v>
      </c>
    </row>
    <row r="212" spans="1:65">
      <c r="A212" s="1">
        <f>HYPERLINK("https://lsnyc.legalserver.org/matter/dynamic-profile/view/1876793","18-1876793")</f>
        <v>0</v>
      </c>
      <c r="B212" t="s">
        <v>74</v>
      </c>
      <c r="C212" t="s">
        <v>93</v>
      </c>
      <c r="D212" t="s">
        <v>227</v>
      </c>
      <c r="F212" t="s">
        <v>629</v>
      </c>
      <c r="G212" t="s">
        <v>1161</v>
      </c>
      <c r="H212" t="s">
        <v>1611</v>
      </c>
      <c r="I212" t="s">
        <v>1990</v>
      </c>
      <c r="J212" t="s">
        <v>2205</v>
      </c>
      <c r="K212">
        <v>11216</v>
      </c>
      <c r="N212" t="s">
        <v>2233</v>
      </c>
      <c r="O212" t="s">
        <v>2410</v>
      </c>
      <c r="Q212" t="s">
        <v>3083</v>
      </c>
      <c r="R212">
        <v>1</v>
      </c>
      <c r="S212">
        <v>0</v>
      </c>
      <c r="T212">
        <v>873.15</v>
      </c>
      <c r="W212">
        <v>106000</v>
      </c>
      <c r="X212" t="s">
        <v>3473</v>
      </c>
      <c r="Y212">
        <v>0</v>
      </c>
      <c r="AA212" t="s">
        <v>90</v>
      </c>
      <c r="AC212" t="s">
        <v>3942</v>
      </c>
      <c r="AD212" t="s">
        <v>143</v>
      </c>
      <c r="AF212" t="s">
        <v>4054</v>
      </c>
      <c r="AH212" t="s">
        <v>3510</v>
      </c>
      <c r="AJ212" t="s">
        <v>3942</v>
      </c>
      <c r="AL212" t="s">
        <v>4089</v>
      </c>
      <c r="AM212" t="s">
        <v>2230</v>
      </c>
      <c r="AO212">
        <v>1450</v>
      </c>
      <c r="AQ212">
        <v>82</v>
      </c>
      <c r="AS212" t="s">
        <v>4113</v>
      </c>
      <c r="AU212" t="s">
        <v>4128</v>
      </c>
      <c r="AV212" t="s">
        <v>4137</v>
      </c>
      <c r="AW212">
        <v>0</v>
      </c>
      <c r="AY212" t="s">
        <v>4144</v>
      </c>
      <c r="BB212" t="s">
        <v>4154</v>
      </c>
      <c r="BF212" t="s">
        <v>4281</v>
      </c>
      <c r="BG212" t="s">
        <v>4054</v>
      </c>
      <c r="BM212" t="s">
        <v>4627</v>
      </c>
    </row>
    <row r="213" spans="1:65">
      <c r="A213" s="1">
        <f>HYPERLINK("https://lsnyc.legalserver.org/matter/dynamic-profile/view/1876806","18-1876806")</f>
        <v>0</v>
      </c>
      <c r="B213" t="s">
        <v>74</v>
      </c>
      <c r="C213" t="s">
        <v>93</v>
      </c>
      <c r="D213" t="s">
        <v>227</v>
      </c>
      <c r="F213" t="s">
        <v>635</v>
      </c>
      <c r="G213" t="s">
        <v>1168</v>
      </c>
      <c r="H213" t="s">
        <v>1611</v>
      </c>
      <c r="I213" t="s">
        <v>1940</v>
      </c>
      <c r="J213" t="s">
        <v>2205</v>
      </c>
      <c r="K213">
        <v>11216</v>
      </c>
      <c r="N213" t="s">
        <v>2233</v>
      </c>
      <c r="O213" t="s">
        <v>2417</v>
      </c>
      <c r="Q213" t="s">
        <v>3089</v>
      </c>
      <c r="R213">
        <v>1</v>
      </c>
      <c r="S213">
        <v>0</v>
      </c>
      <c r="T213">
        <v>577.11</v>
      </c>
      <c r="W213">
        <v>70061</v>
      </c>
      <c r="X213" t="s">
        <v>3491</v>
      </c>
      <c r="Y213">
        <v>0.1</v>
      </c>
      <c r="Z213" t="s">
        <v>432</v>
      </c>
      <c r="AA213" t="s">
        <v>90</v>
      </c>
      <c r="AC213" t="s">
        <v>3942</v>
      </c>
      <c r="AD213" t="s">
        <v>3975</v>
      </c>
      <c r="AF213" t="s">
        <v>4054</v>
      </c>
      <c r="AH213" t="s">
        <v>3510</v>
      </c>
      <c r="AJ213" t="s">
        <v>3942</v>
      </c>
      <c r="AL213" t="s">
        <v>4089</v>
      </c>
      <c r="AM213" t="s">
        <v>2230</v>
      </c>
      <c r="AO213">
        <v>1350</v>
      </c>
      <c r="AQ213">
        <v>82</v>
      </c>
      <c r="AS213" t="s">
        <v>4113</v>
      </c>
      <c r="AU213" t="s">
        <v>4128</v>
      </c>
      <c r="AW213">
        <v>1</v>
      </c>
      <c r="AY213" t="s">
        <v>4140</v>
      </c>
      <c r="BB213" t="s">
        <v>4154</v>
      </c>
      <c r="BF213" t="s">
        <v>4281</v>
      </c>
      <c r="BG213" t="s">
        <v>4054</v>
      </c>
      <c r="BM213" t="s">
        <v>4627</v>
      </c>
    </row>
    <row r="214" spans="1:65">
      <c r="A214" s="1">
        <f>HYPERLINK("https://lsnyc.legalserver.org/matter/dynamic-profile/view/1876613","18-1876613")</f>
        <v>0</v>
      </c>
      <c r="B214" t="s">
        <v>74</v>
      </c>
      <c r="C214" t="s">
        <v>93</v>
      </c>
      <c r="D214" t="s">
        <v>229</v>
      </c>
      <c r="F214" t="s">
        <v>636</v>
      </c>
      <c r="G214" t="s">
        <v>1169</v>
      </c>
      <c r="H214" t="s">
        <v>1611</v>
      </c>
      <c r="I214" t="s">
        <v>1994</v>
      </c>
      <c r="J214" t="s">
        <v>2205</v>
      </c>
      <c r="K214">
        <v>11216</v>
      </c>
      <c r="N214" t="s">
        <v>2233</v>
      </c>
      <c r="O214" t="s">
        <v>2418</v>
      </c>
      <c r="Q214" t="s">
        <v>3090</v>
      </c>
      <c r="R214">
        <v>2</v>
      </c>
      <c r="S214">
        <v>0</v>
      </c>
      <c r="T214">
        <v>543.74</v>
      </c>
      <c r="W214">
        <v>89500</v>
      </c>
      <c r="X214" t="s">
        <v>3491</v>
      </c>
      <c r="Y214">
        <v>0</v>
      </c>
      <c r="AA214" t="s">
        <v>90</v>
      </c>
      <c r="AC214" t="s">
        <v>3942</v>
      </c>
      <c r="AD214" t="s">
        <v>143</v>
      </c>
      <c r="AF214" t="s">
        <v>4054</v>
      </c>
      <c r="AH214" t="s">
        <v>3510</v>
      </c>
      <c r="AI214" t="s">
        <v>4082</v>
      </c>
      <c r="AL214" t="s">
        <v>4089</v>
      </c>
      <c r="AM214" t="s">
        <v>2230</v>
      </c>
      <c r="AO214">
        <v>2100</v>
      </c>
      <c r="AQ214">
        <v>82</v>
      </c>
      <c r="AS214" t="s">
        <v>4113</v>
      </c>
      <c r="AU214" t="s">
        <v>4128</v>
      </c>
      <c r="AW214">
        <v>4</v>
      </c>
      <c r="AY214" t="s">
        <v>4140</v>
      </c>
      <c r="BB214" t="s">
        <v>4154</v>
      </c>
      <c r="BF214" t="s">
        <v>4281</v>
      </c>
      <c r="BG214" t="s">
        <v>4054</v>
      </c>
      <c r="BM214" t="s">
        <v>4627</v>
      </c>
    </row>
    <row r="215" spans="1:65">
      <c r="A215" s="1">
        <f>HYPERLINK("https://lsnyc.legalserver.org/matter/dynamic-profile/view/1838874","17-1838874")</f>
        <v>0</v>
      </c>
      <c r="B215" t="s">
        <v>74</v>
      </c>
      <c r="C215" t="s">
        <v>93</v>
      </c>
      <c r="D215" t="s">
        <v>235</v>
      </c>
      <c r="F215" t="s">
        <v>622</v>
      </c>
      <c r="G215" t="s">
        <v>1170</v>
      </c>
      <c r="H215" t="s">
        <v>1685</v>
      </c>
      <c r="I215" t="s">
        <v>1924</v>
      </c>
      <c r="J215" t="s">
        <v>2205</v>
      </c>
      <c r="K215">
        <v>11233</v>
      </c>
      <c r="N215" t="s">
        <v>2233</v>
      </c>
      <c r="O215" t="s">
        <v>2403</v>
      </c>
      <c r="Q215" t="s">
        <v>3077</v>
      </c>
      <c r="R215">
        <v>1</v>
      </c>
      <c r="S215">
        <v>0</v>
      </c>
      <c r="T215">
        <v>59.7</v>
      </c>
      <c r="W215">
        <v>7200</v>
      </c>
      <c r="Y215">
        <v>87.15000000000001</v>
      </c>
      <c r="Z215" t="s">
        <v>406</v>
      </c>
      <c r="AA215" t="s">
        <v>3905</v>
      </c>
      <c r="AC215" t="s">
        <v>3942</v>
      </c>
      <c r="AD215" t="s">
        <v>3976</v>
      </c>
      <c r="AF215" t="s">
        <v>4050</v>
      </c>
      <c r="AH215" t="s">
        <v>4076</v>
      </c>
      <c r="AJ215" t="s">
        <v>3943</v>
      </c>
      <c r="AL215" t="s">
        <v>4102</v>
      </c>
      <c r="AM215" t="s">
        <v>2230</v>
      </c>
      <c r="AO215">
        <v>600</v>
      </c>
      <c r="AQ215">
        <v>6</v>
      </c>
      <c r="AS215" t="s">
        <v>4113</v>
      </c>
      <c r="AU215" t="s">
        <v>4128</v>
      </c>
      <c r="AW215">
        <v>35</v>
      </c>
      <c r="AY215" t="s">
        <v>4140</v>
      </c>
      <c r="BB215" t="s">
        <v>4154</v>
      </c>
      <c r="BG215" t="s">
        <v>4406</v>
      </c>
      <c r="BM215" t="s">
        <v>4627</v>
      </c>
    </row>
    <row r="216" spans="1:65">
      <c r="A216" s="1">
        <f>HYPERLINK("https://lsnyc.legalserver.org/matter/dynamic-profile/view/1901391","19-1901391")</f>
        <v>0</v>
      </c>
      <c r="B216" t="s">
        <v>74</v>
      </c>
      <c r="C216" t="s">
        <v>93</v>
      </c>
      <c r="D216" t="s">
        <v>236</v>
      </c>
      <c r="F216" t="s">
        <v>637</v>
      </c>
      <c r="G216" t="s">
        <v>1171</v>
      </c>
      <c r="H216" t="s">
        <v>1688</v>
      </c>
      <c r="I216" t="s">
        <v>1930</v>
      </c>
      <c r="J216" t="s">
        <v>2205</v>
      </c>
      <c r="K216">
        <v>11212</v>
      </c>
      <c r="N216" t="s">
        <v>2233</v>
      </c>
      <c r="O216" t="s">
        <v>2419</v>
      </c>
      <c r="Q216" t="s">
        <v>3091</v>
      </c>
      <c r="R216">
        <v>1</v>
      </c>
      <c r="S216">
        <v>0</v>
      </c>
      <c r="T216">
        <v>88.29000000000001</v>
      </c>
      <c r="W216">
        <v>11028</v>
      </c>
      <c r="X216" t="s">
        <v>3512</v>
      </c>
      <c r="Y216">
        <v>11.9</v>
      </c>
      <c r="Z216" t="s">
        <v>156</v>
      </c>
      <c r="AA216" t="s">
        <v>90</v>
      </c>
      <c r="AC216" t="s">
        <v>3942</v>
      </c>
      <c r="AD216" t="s">
        <v>236</v>
      </c>
      <c r="AF216" t="s">
        <v>4053</v>
      </c>
      <c r="AH216" t="s">
        <v>4076</v>
      </c>
      <c r="AJ216" t="s">
        <v>3943</v>
      </c>
      <c r="AL216" t="s">
        <v>4089</v>
      </c>
      <c r="AM216" t="s">
        <v>2230</v>
      </c>
      <c r="AN216" t="s">
        <v>4107</v>
      </c>
      <c r="AO216">
        <v>0</v>
      </c>
      <c r="AQ216">
        <v>23</v>
      </c>
      <c r="AS216" t="s">
        <v>4113</v>
      </c>
      <c r="AU216" t="s">
        <v>4128</v>
      </c>
      <c r="AV216" t="s">
        <v>4137</v>
      </c>
      <c r="AW216">
        <v>0</v>
      </c>
      <c r="AY216" t="s">
        <v>4140</v>
      </c>
      <c r="BA216" t="s">
        <v>4149</v>
      </c>
      <c r="BC216" t="s">
        <v>4155</v>
      </c>
      <c r="BG216" t="s">
        <v>4407</v>
      </c>
      <c r="BM216" t="s">
        <v>4627</v>
      </c>
    </row>
    <row r="217" spans="1:65">
      <c r="A217" s="1">
        <f>HYPERLINK("https://lsnyc.legalserver.org/matter/dynamic-profile/view/1876606","18-1876606")</f>
        <v>0</v>
      </c>
      <c r="B217" t="s">
        <v>74</v>
      </c>
      <c r="C217" t="s">
        <v>93</v>
      </c>
      <c r="D217" t="s">
        <v>229</v>
      </c>
      <c r="F217" t="s">
        <v>638</v>
      </c>
      <c r="G217" t="s">
        <v>1172</v>
      </c>
      <c r="H217" t="s">
        <v>1611</v>
      </c>
      <c r="I217" t="s">
        <v>1994</v>
      </c>
      <c r="J217" t="s">
        <v>2205</v>
      </c>
      <c r="K217">
        <v>11216</v>
      </c>
      <c r="N217" t="s">
        <v>2233</v>
      </c>
      <c r="O217" t="s">
        <v>2420</v>
      </c>
      <c r="Q217" t="s">
        <v>3092</v>
      </c>
      <c r="R217">
        <v>2</v>
      </c>
      <c r="S217">
        <v>0</v>
      </c>
      <c r="T217">
        <v>546.78</v>
      </c>
      <c r="W217">
        <v>90000</v>
      </c>
      <c r="X217" t="s">
        <v>3491</v>
      </c>
      <c r="Y217">
        <v>0</v>
      </c>
      <c r="AA217" t="s">
        <v>90</v>
      </c>
      <c r="AC217" t="s">
        <v>3942</v>
      </c>
      <c r="AD217" t="s">
        <v>3972</v>
      </c>
      <c r="AF217" t="s">
        <v>4062</v>
      </c>
      <c r="AH217" t="s">
        <v>4076</v>
      </c>
      <c r="AJ217" t="s">
        <v>3942</v>
      </c>
      <c r="AL217" t="s">
        <v>4089</v>
      </c>
      <c r="AM217" t="s">
        <v>2230</v>
      </c>
      <c r="AO217">
        <v>2100</v>
      </c>
      <c r="AQ217">
        <v>82</v>
      </c>
      <c r="AS217" t="s">
        <v>4113</v>
      </c>
      <c r="AU217" t="s">
        <v>4128</v>
      </c>
      <c r="AW217">
        <v>4</v>
      </c>
      <c r="AY217" t="s">
        <v>4140</v>
      </c>
      <c r="BB217" t="s">
        <v>4154</v>
      </c>
      <c r="BG217" t="s">
        <v>4404</v>
      </c>
      <c r="BM217" t="s">
        <v>4627</v>
      </c>
    </row>
    <row r="218" spans="1:65">
      <c r="A218" s="1">
        <f>HYPERLINK("https://lsnyc.legalserver.org/matter/dynamic-profile/view/1906138","19-1906138")</f>
        <v>0</v>
      </c>
      <c r="B218" t="s">
        <v>74</v>
      </c>
      <c r="C218" t="s">
        <v>93</v>
      </c>
      <c r="D218" t="s">
        <v>237</v>
      </c>
      <c r="F218" t="s">
        <v>639</v>
      </c>
      <c r="G218" t="s">
        <v>1173</v>
      </c>
      <c r="H218" t="s">
        <v>1611</v>
      </c>
      <c r="I218" t="s">
        <v>1995</v>
      </c>
      <c r="J218" t="s">
        <v>2205</v>
      </c>
      <c r="K218">
        <v>11216</v>
      </c>
      <c r="N218" t="s">
        <v>2233</v>
      </c>
      <c r="O218" t="s">
        <v>2421</v>
      </c>
      <c r="Q218" t="s">
        <v>3093</v>
      </c>
      <c r="R218">
        <v>2</v>
      </c>
      <c r="S218">
        <v>0</v>
      </c>
      <c r="T218">
        <v>236.55</v>
      </c>
      <c r="V218" t="s">
        <v>3458</v>
      </c>
      <c r="W218">
        <v>40000</v>
      </c>
      <c r="Y218">
        <v>0</v>
      </c>
      <c r="AA218" t="s">
        <v>90</v>
      </c>
      <c r="AC218" t="s">
        <v>3942</v>
      </c>
      <c r="AD218" t="s">
        <v>237</v>
      </c>
      <c r="AF218" t="s">
        <v>4054</v>
      </c>
      <c r="AH218" t="s">
        <v>3510</v>
      </c>
      <c r="AJ218" t="s">
        <v>3942</v>
      </c>
      <c r="AL218" t="s">
        <v>4089</v>
      </c>
      <c r="AM218" t="s">
        <v>2230</v>
      </c>
      <c r="AN218" t="s">
        <v>4107</v>
      </c>
      <c r="AO218">
        <v>0</v>
      </c>
      <c r="AQ218">
        <v>82</v>
      </c>
      <c r="AS218" t="s">
        <v>4113</v>
      </c>
      <c r="AU218" t="s">
        <v>4128</v>
      </c>
      <c r="AW218">
        <v>1</v>
      </c>
      <c r="AY218" t="s">
        <v>4140</v>
      </c>
      <c r="BA218" t="s">
        <v>4149</v>
      </c>
      <c r="BC218" t="s">
        <v>4155</v>
      </c>
      <c r="BE218" t="s">
        <v>4159</v>
      </c>
      <c r="BF218" t="s">
        <v>4281</v>
      </c>
      <c r="BG218" t="s">
        <v>4054</v>
      </c>
      <c r="BM218" t="s">
        <v>4627</v>
      </c>
    </row>
    <row r="219" spans="1:65">
      <c r="A219" s="1">
        <f>HYPERLINK("https://lsnyc.legalserver.org/matter/dynamic-profile/view/1896502","19-1896502")</f>
        <v>0</v>
      </c>
      <c r="B219" t="s">
        <v>74</v>
      </c>
      <c r="C219" t="s">
        <v>93</v>
      </c>
      <c r="D219" t="s">
        <v>219</v>
      </c>
      <c r="F219" t="s">
        <v>640</v>
      </c>
      <c r="G219" t="s">
        <v>1174</v>
      </c>
      <c r="H219" t="s">
        <v>1689</v>
      </c>
      <c r="I219">
        <v>7</v>
      </c>
      <c r="J219" t="s">
        <v>2208</v>
      </c>
      <c r="K219">
        <v>11233</v>
      </c>
      <c r="N219" t="s">
        <v>2233</v>
      </c>
      <c r="O219" t="s">
        <v>2422</v>
      </c>
      <c r="Q219" t="s">
        <v>3094</v>
      </c>
      <c r="R219">
        <v>1</v>
      </c>
      <c r="S219">
        <v>0</v>
      </c>
      <c r="T219">
        <v>74.36</v>
      </c>
      <c r="W219">
        <v>9288</v>
      </c>
      <c r="Y219">
        <v>105.95</v>
      </c>
      <c r="Z219" t="s">
        <v>122</v>
      </c>
      <c r="AA219" t="s">
        <v>77</v>
      </c>
      <c r="AC219" t="s">
        <v>3942</v>
      </c>
      <c r="AD219" t="s">
        <v>226</v>
      </c>
      <c r="AF219" t="s">
        <v>4058</v>
      </c>
      <c r="AH219" t="s">
        <v>4076</v>
      </c>
      <c r="AJ219" t="s">
        <v>3943</v>
      </c>
      <c r="AK219" t="s">
        <v>4084</v>
      </c>
      <c r="AM219" t="s">
        <v>2230</v>
      </c>
      <c r="AO219">
        <v>859</v>
      </c>
      <c r="AQ219">
        <v>12</v>
      </c>
      <c r="AS219" t="s">
        <v>4113</v>
      </c>
      <c r="AU219" t="s">
        <v>4129</v>
      </c>
      <c r="AV219" t="s">
        <v>4137</v>
      </c>
      <c r="AW219">
        <v>0</v>
      </c>
      <c r="AY219" t="s">
        <v>4140</v>
      </c>
      <c r="BA219" t="s">
        <v>4151</v>
      </c>
      <c r="BB219" t="s">
        <v>4154</v>
      </c>
      <c r="BF219" t="s">
        <v>4281</v>
      </c>
      <c r="BG219" t="s">
        <v>4408</v>
      </c>
      <c r="BM219" t="s">
        <v>4627</v>
      </c>
    </row>
    <row r="220" spans="1:65">
      <c r="A220" s="1">
        <f>HYPERLINK("https://lsnyc.legalserver.org/matter/dynamic-profile/view/1881489","18-1881489")</f>
        <v>0</v>
      </c>
      <c r="B220" t="s">
        <v>74</v>
      </c>
      <c r="C220" t="s">
        <v>93</v>
      </c>
      <c r="D220" t="s">
        <v>228</v>
      </c>
      <c r="F220" t="s">
        <v>625</v>
      </c>
      <c r="G220" t="s">
        <v>1157</v>
      </c>
      <c r="H220" t="s">
        <v>1611</v>
      </c>
      <c r="I220" t="s">
        <v>1988</v>
      </c>
      <c r="J220" t="s">
        <v>2205</v>
      </c>
      <c r="K220">
        <v>11216</v>
      </c>
      <c r="N220" t="s">
        <v>2233</v>
      </c>
      <c r="O220" t="s">
        <v>2406</v>
      </c>
      <c r="Q220" t="s">
        <v>3080</v>
      </c>
      <c r="R220">
        <v>1</v>
      </c>
      <c r="S220">
        <v>0</v>
      </c>
      <c r="T220">
        <v>82.37</v>
      </c>
      <c r="W220">
        <v>9999.959999999999</v>
      </c>
      <c r="X220" t="s">
        <v>3491</v>
      </c>
      <c r="Y220">
        <v>0</v>
      </c>
      <c r="AA220" t="s">
        <v>90</v>
      </c>
      <c r="AC220" t="s">
        <v>3942</v>
      </c>
      <c r="AD220" t="s">
        <v>119</v>
      </c>
      <c r="AF220" t="s">
        <v>4062</v>
      </c>
      <c r="AH220" t="s">
        <v>4076</v>
      </c>
      <c r="AJ220" t="s">
        <v>3942</v>
      </c>
      <c r="AL220" t="s">
        <v>4089</v>
      </c>
      <c r="AM220" t="s">
        <v>2230</v>
      </c>
      <c r="AO220">
        <v>1650</v>
      </c>
      <c r="AQ220">
        <v>8</v>
      </c>
      <c r="AS220" t="s">
        <v>4113</v>
      </c>
      <c r="AU220" t="s">
        <v>4128</v>
      </c>
      <c r="AW220">
        <v>1</v>
      </c>
      <c r="AY220" t="s">
        <v>4140</v>
      </c>
      <c r="BA220" t="s">
        <v>4149</v>
      </c>
      <c r="BB220" t="s">
        <v>4154</v>
      </c>
      <c r="BE220" t="s">
        <v>4159</v>
      </c>
      <c r="BG220" t="s">
        <v>4404</v>
      </c>
      <c r="BM220" t="s">
        <v>4627</v>
      </c>
    </row>
    <row r="221" spans="1:65">
      <c r="A221" s="1">
        <f>HYPERLINK("https://lsnyc.legalserver.org/matter/dynamic-profile/view/1889424","19-1889424")</f>
        <v>0</v>
      </c>
      <c r="B221" t="s">
        <v>74</v>
      </c>
      <c r="C221" t="s">
        <v>93</v>
      </c>
      <c r="D221" t="s">
        <v>238</v>
      </c>
      <c r="F221" t="s">
        <v>641</v>
      </c>
      <c r="G221" t="s">
        <v>1175</v>
      </c>
      <c r="H221" t="s">
        <v>1690</v>
      </c>
      <c r="I221" t="s">
        <v>1951</v>
      </c>
      <c r="J221" t="s">
        <v>2205</v>
      </c>
      <c r="K221">
        <v>11208</v>
      </c>
      <c r="N221" t="s">
        <v>2233</v>
      </c>
      <c r="O221" t="s">
        <v>2423</v>
      </c>
      <c r="Q221" t="s">
        <v>3095</v>
      </c>
      <c r="R221">
        <v>2</v>
      </c>
      <c r="S221">
        <v>3</v>
      </c>
      <c r="T221">
        <v>64.43000000000001</v>
      </c>
      <c r="W221">
        <v>19440</v>
      </c>
      <c r="X221" t="s">
        <v>3513</v>
      </c>
      <c r="Y221">
        <v>8.6</v>
      </c>
      <c r="Z221" t="s">
        <v>215</v>
      </c>
      <c r="AA221" t="s">
        <v>90</v>
      </c>
      <c r="AC221" t="s">
        <v>3942</v>
      </c>
      <c r="AD221" t="s">
        <v>451</v>
      </c>
      <c r="AF221" t="s">
        <v>4059</v>
      </c>
      <c r="AH221" t="s">
        <v>4078</v>
      </c>
      <c r="AJ221" t="s">
        <v>3943</v>
      </c>
      <c r="AL221" t="s">
        <v>4086</v>
      </c>
      <c r="AM221" t="s">
        <v>2230</v>
      </c>
      <c r="AO221">
        <v>1350</v>
      </c>
      <c r="AQ221">
        <v>15</v>
      </c>
      <c r="AS221" t="s">
        <v>4113</v>
      </c>
      <c r="AU221" t="s">
        <v>4128</v>
      </c>
      <c r="AW221">
        <v>2</v>
      </c>
      <c r="AY221" t="s">
        <v>4140</v>
      </c>
      <c r="BA221" t="s">
        <v>4149</v>
      </c>
      <c r="BC221" t="s">
        <v>4155</v>
      </c>
      <c r="BF221" t="s">
        <v>4281</v>
      </c>
      <c r="BG221" t="s">
        <v>4054</v>
      </c>
      <c r="BM221" t="s">
        <v>4627</v>
      </c>
    </row>
    <row r="222" spans="1:65">
      <c r="A222" s="1">
        <f>HYPERLINK("https://lsnyc.legalserver.org/matter/dynamic-profile/view/1876808","18-1876808")</f>
        <v>0</v>
      </c>
      <c r="B222" t="s">
        <v>74</v>
      </c>
      <c r="C222" t="s">
        <v>93</v>
      </c>
      <c r="D222" t="s">
        <v>227</v>
      </c>
      <c r="F222" t="s">
        <v>635</v>
      </c>
      <c r="G222" t="s">
        <v>1168</v>
      </c>
      <c r="H222" t="s">
        <v>1611</v>
      </c>
      <c r="I222" t="s">
        <v>1940</v>
      </c>
      <c r="J222" t="s">
        <v>2205</v>
      </c>
      <c r="K222">
        <v>11216</v>
      </c>
      <c r="N222" t="s">
        <v>2233</v>
      </c>
      <c r="O222" t="s">
        <v>2417</v>
      </c>
      <c r="Q222" t="s">
        <v>3089</v>
      </c>
      <c r="R222">
        <v>1</v>
      </c>
      <c r="S222">
        <v>0</v>
      </c>
      <c r="T222">
        <v>577.11</v>
      </c>
      <c r="W222">
        <v>70061</v>
      </c>
      <c r="X222" t="s">
        <v>3491</v>
      </c>
      <c r="Y222">
        <v>0</v>
      </c>
      <c r="AA222" t="s">
        <v>90</v>
      </c>
      <c r="AC222" t="s">
        <v>3942</v>
      </c>
      <c r="AD222" t="s">
        <v>3949</v>
      </c>
      <c r="AF222" t="s">
        <v>4062</v>
      </c>
      <c r="AH222" t="s">
        <v>4076</v>
      </c>
      <c r="AJ222" t="s">
        <v>3942</v>
      </c>
      <c r="AL222" t="s">
        <v>4089</v>
      </c>
      <c r="AM222" t="s">
        <v>2230</v>
      </c>
      <c r="AO222">
        <v>1350</v>
      </c>
      <c r="AQ222">
        <v>82</v>
      </c>
      <c r="AS222" t="s">
        <v>4113</v>
      </c>
      <c r="AU222" t="s">
        <v>4128</v>
      </c>
      <c r="AW222">
        <v>1</v>
      </c>
      <c r="AY222" t="s">
        <v>4140</v>
      </c>
      <c r="BB222" t="s">
        <v>4154</v>
      </c>
      <c r="BG222" t="s">
        <v>4404</v>
      </c>
      <c r="BM222" t="s">
        <v>4627</v>
      </c>
    </row>
    <row r="223" spans="1:65">
      <c r="A223" s="1">
        <f>HYPERLINK("https://lsnyc.legalserver.org/matter/dynamic-profile/view/1876744","18-1876744")</f>
        <v>0</v>
      </c>
      <c r="B223" t="s">
        <v>74</v>
      </c>
      <c r="C223" t="s">
        <v>93</v>
      </c>
      <c r="D223" t="s">
        <v>227</v>
      </c>
      <c r="F223" t="s">
        <v>634</v>
      </c>
      <c r="G223" t="s">
        <v>1167</v>
      </c>
      <c r="H223" t="s">
        <v>1611</v>
      </c>
      <c r="I223" t="s">
        <v>1993</v>
      </c>
      <c r="J223" t="s">
        <v>2205</v>
      </c>
      <c r="K223">
        <v>11216</v>
      </c>
      <c r="N223" t="s">
        <v>2233</v>
      </c>
      <c r="O223" t="s">
        <v>2416</v>
      </c>
      <c r="Q223" t="s">
        <v>3088</v>
      </c>
      <c r="R223">
        <v>1</v>
      </c>
      <c r="S223">
        <v>0</v>
      </c>
      <c r="T223">
        <v>543.66</v>
      </c>
      <c r="U223" t="s">
        <v>3450</v>
      </c>
      <c r="V223" t="s">
        <v>3458</v>
      </c>
      <c r="W223">
        <v>66000</v>
      </c>
      <c r="X223" t="s">
        <v>3491</v>
      </c>
      <c r="Y223">
        <v>0</v>
      </c>
      <c r="AA223" t="s">
        <v>90</v>
      </c>
      <c r="AC223" t="s">
        <v>3942</v>
      </c>
      <c r="AD223" t="s">
        <v>143</v>
      </c>
      <c r="AF223" t="s">
        <v>4054</v>
      </c>
      <c r="AH223" t="s">
        <v>3510</v>
      </c>
      <c r="AI223" t="s">
        <v>4082</v>
      </c>
      <c r="AL223" t="s">
        <v>4089</v>
      </c>
      <c r="AM223" t="s">
        <v>2230</v>
      </c>
      <c r="AO223">
        <v>1575</v>
      </c>
      <c r="AQ223">
        <v>82</v>
      </c>
      <c r="AS223" t="s">
        <v>4113</v>
      </c>
      <c r="AU223" t="s">
        <v>4128</v>
      </c>
      <c r="AW223">
        <v>2</v>
      </c>
      <c r="AY223" t="s">
        <v>4140</v>
      </c>
      <c r="BB223" t="s">
        <v>4154</v>
      </c>
      <c r="BF223" t="s">
        <v>4281</v>
      </c>
      <c r="BG223" t="s">
        <v>4054</v>
      </c>
      <c r="BM223" t="s">
        <v>4627</v>
      </c>
    </row>
    <row r="224" spans="1:65">
      <c r="A224" s="1">
        <f>HYPERLINK("https://lsnyc.legalserver.org/matter/dynamic-profile/view/1876591","18-1876591")</f>
        <v>0</v>
      </c>
      <c r="B224" t="s">
        <v>74</v>
      </c>
      <c r="C224" t="s">
        <v>93</v>
      </c>
      <c r="D224" t="s">
        <v>229</v>
      </c>
      <c r="F224" t="s">
        <v>626</v>
      </c>
      <c r="G224" t="s">
        <v>1158</v>
      </c>
      <c r="H224" t="s">
        <v>1611</v>
      </c>
      <c r="I224" t="s">
        <v>1989</v>
      </c>
      <c r="J224" t="s">
        <v>2205</v>
      </c>
      <c r="K224">
        <v>11216</v>
      </c>
      <c r="N224" t="s">
        <v>2233</v>
      </c>
      <c r="O224" t="s">
        <v>2407</v>
      </c>
      <c r="P224" t="s">
        <v>2930</v>
      </c>
      <c r="R224">
        <v>1</v>
      </c>
      <c r="S224">
        <v>0</v>
      </c>
      <c r="T224">
        <v>576.61</v>
      </c>
      <c r="W224">
        <v>70000</v>
      </c>
      <c r="X224" t="s">
        <v>3491</v>
      </c>
      <c r="Y224">
        <v>0</v>
      </c>
      <c r="AA224" t="s">
        <v>90</v>
      </c>
      <c r="AC224" t="s">
        <v>3942</v>
      </c>
      <c r="AD224" t="s">
        <v>3881</v>
      </c>
      <c r="AF224" t="s">
        <v>4062</v>
      </c>
      <c r="AH224" t="s">
        <v>4076</v>
      </c>
      <c r="AJ224" t="s">
        <v>3942</v>
      </c>
      <c r="AL224" t="s">
        <v>4089</v>
      </c>
      <c r="AM224" t="s">
        <v>2230</v>
      </c>
      <c r="AO224">
        <v>1500</v>
      </c>
      <c r="AQ224">
        <v>8</v>
      </c>
      <c r="AS224" t="s">
        <v>4113</v>
      </c>
      <c r="AU224" t="s">
        <v>4128</v>
      </c>
      <c r="AW224">
        <v>1</v>
      </c>
      <c r="AY224" t="s">
        <v>4140</v>
      </c>
      <c r="BB224" t="s">
        <v>4154</v>
      </c>
      <c r="BG224" t="s">
        <v>4404</v>
      </c>
      <c r="BM224" t="s">
        <v>4627</v>
      </c>
    </row>
    <row r="225" spans="1:65">
      <c r="A225" s="1">
        <f>HYPERLINK("https://lsnyc.legalserver.org/matter/dynamic-profile/view/1876602","18-1876602")</f>
        <v>0</v>
      </c>
      <c r="B225" t="s">
        <v>74</v>
      </c>
      <c r="C225" t="s">
        <v>93</v>
      </c>
      <c r="D225" t="s">
        <v>229</v>
      </c>
      <c r="F225" t="s">
        <v>638</v>
      </c>
      <c r="G225" t="s">
        <v>1172</v>
      </c>
      <c r="H225" t="s">
        <v>1611</v>
      </c>
      <c r="I225" t="s">
        <v>1994</v>
      </c>
      <c r="J225" t="s">
        <v>2205</v>
      </c>
      <c r="K225">
        <v>11216</v>
      </c>
      <c r="N225" t="s">
        <v>2233</v>
      </c>
      <c r="O225" t="s">
        <v>2420</v>
      </c>
      <c r="Q225" t="s">
        <v>3092</v>
      </c>
      <c r="R225">
        <v>2</v>
      </c>
      <c r="S225">
        <v>0</v>
      </c>
      <c r="T225">
        <v>546.78</v>
      </c>
      <c r="W225">
        <v>90000</v>
      </c>
      <c r="X225" t="s">
        <v>3491</v>
      </c>
      <c r="Y225">
        <v>0</v>
      </c>
      <c r="AA225" t="s">
        <v>90</v>
      </c>
      <c r="AC225" t="s">
        <v>3942</v>
      </c>
      <c r="AD225" t="s">
        <v>143</v>
      </c>
      <c r="AF225" t="s">
        <v>4054</v>
      </c>
      <c r="AH225" t="s">
        <v>3510</v>
      </c>
      <c r="AJ225" t="s">
        <v>3942</v>
      </c>
      <c r="AL225" t="s">
        <v>4089</v>
      </c>
      <c r="AM225" t="s">
        <v>2230</v>
      </c>
      <c r="AO225">
        <v>2100</v>
      </c>
      <c r="AQ225">
        <v>82</v>
      </c>
      <c r="AS225" t="s">
        <v>4113</v>
      </c>
      <c r="AU225" t="s">
        <v>4128</v>
      </c>
      <c r="AW225">
        <v>4</v>
      </c>
      <c r="AY225" t="s">
        <v>4140</v>
      </c>
      <c r="BB225" t="s">
        <v>4154</v>
      </c>
      <c r="BF225" t="s">
        <v>4281</v>
      </c>
      <c r="BG225" t="s">
        <v>4054</v>
      </c>
      <c r="BM225" t="s">
        <v>4627</v>
      </c>
    </row>
    <row r="226" spans="1:65">
      <c r="A226" s="1">
        <f>HYPERLINK("https://lsnyc.legalserver.org/matter/dynamic-profile/view/1878081","18-1878081")</f>
        <v>0</v>
      </c>
      <c r="B226" t="s">
        <v>74</v>
      </c>
      <c r="C226" t="s">
        <v>93</v>
      </c>
      <c r="D226" t="s">
        <v>232</v>
      </c>
      <c r="F226" t="s">
        <v>642</v>
      </c>
      <c r="G226" t="s">
        <v>1176</v>
      </c>
      <c r="H226" t="s">
        <v>1611</v>
      </c>
      <c r="I226" t="s">
        <v>1996</v>
      </c>
      <c r="J226" t="s">
        <v>2205</v>
      </c>
      <c r="K226">
        <v>11216</v>
      </c>
      <c r="N226" t="s">
        <v>2233</v>
      </c>
      <c r="O226" t="s">
        <v>2424</v>
      </c>
      <c r="Q226" t="s">
        <v>3096</v>
      </c>
      <c r="R226">
        <v>2</v>
      </c>
      <c r="S226">
        <v>0</v>
      </c>
      <c r="T226">
        <v>607.53</v>
      </c>
      <c r="W226">
        <v>100000</v>
      </c>
      <c r="X226" t="s">
        <v>3498</v>
      </c>
      <c r="Y226">
        <v>0</v>
      </c>
      <c r="AA226" t="s">
        <v>90</v>
      </c>
      <c r="AC226" t="s">
        <v>3942</v>
      </c>
      <c r="AD226" t="s">
        <v>3972</v>
      </c>
      <c r="AF226" t="s">
        <v>4062</v>
      </c>
      <c r="AH226" t="s">
        <v>4076</v>
      </c>
      <c r="AJ226" t="s">
        <v>3942</v>
      </c>
      <c r="AL226" t="s">
        <v>4089</v>
      </c>
      <c r="AM226" t="s">
        <v>2230</v>
      </c>
      <c r="AO226">
        <v>2300</v>
      </c>
      <c r="AQ226">
        <v>82</v>
      </c>
      <c r="AS226" t="s">
        <v>4113</v>
      </c>
      <c r="AU226" t="s">
        <v>4128</v>
      </c>
      <c r="AW226">
        <v>3</v>
      </c>
      <c r="AY226" t="s">
        <v>4140</v>
      </c>
      <c r="BB226" t="s">
        <v>4154</v>
      </c>
      <c r="BG226" t="s">
        <v>4404</v>
      </c>
      <c r="BM226" t="s">
        <v>4627</v>
      </c>
    </row>
    <row r="227" spans="1:65">
      <c r="A227" s="1">
        <f>HYPERLINK("https://lsnyc.legalserver.org/matter/dynamic-profile/view/1876833","18-1876833")</f>
        <v>0</v>
      </c>
      <c r="B227" t="s">
        <v>74</v>
      </c>
      <c r="C227" t="s">
        <v>93</v>
      </c>
      <c r="D227" t="s">
        <v>227</v>
      </c>
      <c r="F227" t="s">
        <v>631</v>
      </c>
      <c r="G227" t="s">
        <v>1164</v>
      </c>
      <c r="H227" t="s">
        <v>1611</v>
      </c>
      <c r="I227" t="s">
        <v>1992</v>
      </c>
      <c r="J227" t="s">
        <v>2205</v>
      </c>
      <c r="K227">
        <v>11216</v>
      </c>
      <c r="N227" t="s">
        <v>2233</v>
      </c>
      <c r="O227" t="s">
        <v>2413</v>
      </c>
      <c r="Q227" t="s">
        <v>3085</v>
      </c>
      <c r="R227">
        <v>1</v>
      </c>
      <c r="S227">
        <v>0</v>
      </c>
      <c r="T227">
        <v>838.59</v>
      </c>
      <c r="W227">
        <v>101805</v>
      </c>
      <c r="X227" t="s">
        <v>3514</v>
      </c>
      <c r="Y227">
        <v>0</v>
      </c>
      <c r="AA227" t="s">
        <v>90</v>
      </c>
      <c r="AC227" t="s">
        <v>3942</v>
      </c>
      <c r="AD227" t="s">
        <v>3972</v>
      </c>
      <c r="AF227" t="s">
        <v>4062</v>
      </c>
      <c r="AH227" t="s">
        <v>4076</v>
      </c>
      <c r="AJ227" t="s">
        <v>3942</v>
      </c>
      <c r="AL227" t="s">
        <v>4089</v>
      </c>
      <c r="AM227" t="s">
        <v>2230</v>
      </c>
      <c r="AO227">
        <v>1400</v>
      </c>
      <c r="AQ227">
        <v>82</v>
      </c>
      <c r="AS227" t="s">
        <v>4113</v>
      </c>
      <c r="AU227" t="s">
        <v>4128</v>
      </c>
      <c r="AW227">
        <v>2</v>
      </c>
      <c r="AY227" t="s">
        <v>4140</v>
      </c>
      <c r="BB227" t="s">
        <v>4154</v>
      </c>
      <c r="BG227" t="s">
        <v>4404</v>
      </c>
      <c r="BM227" t="s">
        <v>4627</v>
      </c>
    </row>
    <row r="228" spans="1:65">
      <c r="A228" s="1">
        <f>HYPERLINK("https://lsnyc.legalserver.org/matter/dynamic-profile/view/1876389","18-1876389")</f>
        <v>0</v>
      </c>
      <c r="B228" t="s">
        <v>74</v>
      </c>
      <c r="C228" t="s">
        <v>93</v>
      </c>
      <c r="D228" t="s">
        <v>239</v>
      </c>
      <c r="F228" t="s">
        <v>624</v>
      </c>
      <c r="G228" t="s">
        <v>1156</v>
      </c>
      <c r="H228" t="s">
        <v>1611</v>
      </c>
      <c r="I228" t="s">
        <v>1987</v>
      </c>
      <c r="J228" t="s">
        <v>2205</v>
      </c>
      <c r="K228">
        <v>11216</v>
      </c>
      <c r="N228" t="s">
        <v>2233</v>
      </c>
      <c r="O228" t="s">
        <v>2405</v>
      </c>
      <c r="Q228" t="s">
        <v>3079</v>
      </c>
      <c r="R228">
        <v>1</v>
      </c>
      <c r="S228">
        <v>0</v>
      </c>
      <c r="T228">
        <v>82.37</v>
      </c>
      <c r="W228">
        <v>10000</v>
      </c>
      <c r="X228" t="s">
        <v>3515</v>
      </c>
      <c r="Y228">
        <v>256.55</v>
      </c>
      <c r="Z228" t="s">
        <v>360</v>
      </c>
      <c r="AA228" t="s">
        <v>74</v>
      </c>
      <c r="AC228" t="s">
        <v>3942</v>
      </c>
      <c r="AD228" t="s">
        <v>3446</v>
      </c>
      <c r="AF228" t="s">
        <v>4062</v>
      </c>
      <c r="AH228" t="s">
        <v>4076</v>
      </c>
      <c r="AJ228" t="s">
        <v>3942</v>
      </c>
      <c r="AL228" t="s">
        <v>4086</v>
      </c>
      <c r="AM228" t="s">
        <v>2230</v>
      </c>
      <c r="AO228">
        <v>952.42</v>
      </c>
      <c r="AQ228">
        <v>82</v>
      </c>
      <c r="AS228" t="s">
        <v>4113</v>
      </c>
      <c r="AU228" t="s">
        <v>4128</v>
      </c>
      <c r="AW228">
        <v>7</v>
      </c>
      <c r="AY228" t="s">
        <v>4140</v>
      </c>
      <c r="BA228" t="s">
        <v>4149</v>
      </c>
      <c r="BB228" t="s">
        <v>4154</v>
      </c>
      <c r="BG228" t="s">
        <v>4404</v>
      </c>
      <c r="BM228" t="s">
        <v>4627</v>
      </c>
    </row>
    <row r="229" spans="1:65">
      <c r="A229" s="1">
        <f>HYPERLINK("https://lsnyc.legalserver.org/matter/dynamic-profile/view/1876539","18-1876539")</f>
        <v>0</v>
      </c>
      <c r="B229" t="s">
        <v>74</v>
      </c>
      <c r="C229" t="s">
        <v>93</v>
      </c>
      <c r="D229" t="s">
        <v>121</v>
      </c>
      <c r="F229" t="s">
        <v>643</v>
      </c>
      <c r="G229" t="s">
        <v>1177</v>
      </c>
      <c r="H229" t="s">
        <v>1611</v>
      </c>
      <c r="I229" t="s">
        <v>1949</v>
      </c>
      <c r="J229" t="s">
        <v>2205</v>
      </c>
      <c r="K229">
        <v>11216</v>
      </c>
      <c r="N229" t="s">
        <v>2233</v>
      </c>
      <c r="O229" t="s">
        <v>2425</v>
      </c>
      <c r="Q229" t="s">
        <v>3097</v>
      </c>
      <c r="R229">
        <v>2</v>
      </c>
      <c r="S229">
        <v>2</v>
      </c>
      <c r="T229">
        <v>537.85</v>
      </c>
      <c r="U229" t="s">
        <v>3450</v>
      </c>
      <c r="V229" t="s">
        <v>3458</v>
      </c>
      <c r="W229">
        <v>135000</v>
      </c>
      <c r="X229" t="s">
        <v>3491</v>
      </c>
      <c r="Y229">
        <v>0</v>
      </c>
      <c r="AA229" t="s">
        <v>90</v>
      </c>
      <c r="AC229" t="s">
        <v>3942</v>
      </c>
      <c r="AD229" t="s">
        <v>3977</v>
      </c>
      <c r="AF229" t="s">
        <v>4054</v>
      </c>
      <c r="AH229" t="s">
        <v>3510</v>
      </c>
      <c r="AJ229" t="s">
        <v>3942</v>
      </c>
      <c r="AL229" t="s">
        <v>4089</v>
      </c>
      <c r="AM229" t="s">
        <v>2230</v>
      </c>
      <c r="AO229">
        <v>2300</v>
      </c>
      <c r="AQ229">
        <v>8</v>
      </c>
      <c r="AS229" t="s">
        <v>4113</v>
      </c>
      <c r="AU229" t="s">
        <v>4128</v>
      </c>
      <c r="AW229">
        <v>2</v>
      </c>
      <c r="AY229" t="s">
        <v>4140</v>
      </c>
      <c r="BB229" t="s">
        <v>4154</v>
      </c>
      <c r="BF229" t="s">
        <v>4281</v>
      </c>
      <c r="BG229" t="s">
        <v>4054</v>
      </c>
      <c r="BM229" t="s">
        <v>4627</v>
      </c>
    </row>
    <row r="230" spans="1:65">
      <c r="A230" s="1">
        <f>HYPERLINK("https://lsnyc.legalserver.org/matter/dynamic-profile/view/1876618","18-1876618")</f>
        <v>0</v>
      </c>
      <c r="B230" t="s">
        <v>74</v>
      </c>
      <c r="C230" t="s">
        <v>93</v>
      </c>
      <c r="D230" t="s">
        <v>229</v>
      </c>
      <c r="F230" t="s">
        <v>636</v>
      </c>
      <c r="G230" t="s">
        <v>1169</v>
      </c>
      <c r="H230" t="s">
        <v>1611</v>
      </c>
      <c r="I230" t="s">
        <v>1994</v>
      </c>
      <c r="J230" t="s">
        <v>2205</v>
      </c>
      <c r="K230">
        <v>11216</v>
      </c>
      <c r="N230" t="s">
        <v>2233</v>
      </c>
      <c r="O230" t="s">
        <v>2418</v>
      </c>
      <c r="Q230" t="s">
        <v>3090</v>
      </c>
      <c r="R230">
        <v>2</v>
      </c>
      <c r="S230">
        <v>0</v>
      </c>
      <c r="T230">
        <v>543.74</v>
      </c>
      <c r="W230">
        <v>89500</v>
      </c>
      <c r="X230" t="s">
        <v>3491</v>
      </c>
      <c r="Y230">
        <v>0</v>
      </c>
      <c r="AA230" t="s">
        <v>90</v>
      </c>
      <c r="AC230" t="s">
        <v>3942</v>
      </c>
      <c r="AD230" t="s">
        <v>3972</v>
      </c>
      <c r="AF230" t="s">
        <v>4062</v>
      </c>
      <c r="AH230" t="s">
        <v>4076</v>
      </c>
      <c r="AJ230" t="s">
        <v>3942</v>
      </c>
      <c r="AL230" t="s">
        <v>4089</v>
      </c>
      <c r="AM230" t="s">
        <v>2230</v>
      </c>
      <c r="AO230">
        <v>2100</v>
      </c>
      <c r="AQ230">
        <v>82</v>
      </c>
      <c r="AS230" t="s">
        <v>4113</v>
      </c>
      <c r="AU230" t="s">
        <v>4128</v>
      </c>
      <c r="AW230">
        <v>4</v>
      </c>
      <c r="AY230" t="s">
        <v>4140</v>
      </c>
      <c r="BB230" t="s">
        <v>4154</v>
      </c>
      <c r="BG230" t="s">
        <v>4404</v>
      </c>
      <c r="BM230" t="s">
        <v>4627</v>
      </c>
    </row>
    <row r="231" spans="1:65">
      <c r="A231" s="1">
        <f>HYPERLINK("https://lsnyc.legalserver.org/matter/dynamic-profile/view/1878074","18-1878074")</f>
        <v>0</v>
      </c>
      <c r="B231" t="s">
        <v>74</v>
      </c>
      <c r="C231" t="s">
        <v>93</v>
      </c>
      <c r="D231" t="s">
        <v>232</v>
      </c>
      <c r="F231" t="s">
        <v>642</v>
      </c>
      <c r="G231" t="s">
        <v>1176</v>
      </c>
      <c r="H231" t="s">
        <v>1611</v>
      </c>
      <c r="I231" t="s">
        <v>1996</v>
      </c>
      <c r="J231" t="s">
        <v>2205</v>
      </c>
      <c r="K231">
        <v>11216</v>
      </c>
      <c r="N231" t="s">
        <v>2233</v>
      </c>
      <c r="O231" t="s">
        <v>2424</v>
      </c>
      <c r="Q231" t="s">
        <v>3096</v>
      </c>
      <c r="R231">
        <v>2</v>
      </c>
      <c r="S231">
        <v>0</v>
      </c>
      <c r="T231">
        <v>607.53</v>
      </c>
      <c r="W231">
        <v>100000</v>
      </c>
      <c r="X231" t="s">
        <v>3491</v>
      </c>
      <c r="Y231">
        <v>0</v>
      </c>
      <c r="AA231" t="s">
        <v>90</v>
      </c>
      <c r="AC231" t="s">
        <v>3942</v>
      </c>
      <c r="AD231" t="s">
        <v>143</v>
      </c>
      <c r="AF231" t="s">
        <v>4054</v>
      </c>
      <c r="AH231" t="s">
        <v>3510</v>
      </c>
      <c r="AJ231" t="s">
        <v>3942</v>
      </c>
      <c r="AL231" t="s">
        <v>4089</v>
      </c>
      <c r="AM231" t="s">
        <v>2230</v>
      </c>
      <c r="AO231">
        <v>2300</v>
      </c>
      <c r="AQ231">
        <v>82</v>
      </c>
      <c r="AS231" t="s">
        <v>4113</v>
      </c>
      <c r="AU231" t="s">
        <v>4128</v>
      </c>
      <c r="AW231">
        <v>3</v>
      </c>
      <c r="AY231" t="s">
        <v>4140</v>
      </c>
      <c r="BB231" t="s">
        <v>4154</v>
      </c>
      <c r="BF231" t="s">
        <v>4281</v>
      </c>
      <c r="BG231" t="s">
        <v>4054</v>
      </c>
      <c r="BM231" t="s">
        <v>4627</v>
      </c>
    </row>
    <row r="232" spans="1:65">
      <c r="A232" s="1">
        <f>HYPERLINK("https://lsnyc.legalserver.org/matter/dynamic-profile/view/1876567","18-1876567")</f>
        <v>0</v>
      </c>
      <c r="B232" t="s">
        <v>74</v>
      </c>
      <c r="C232" t="s">
        <v>93</v>
      </c>
      <c r="D232" t="s">
        <v>229</v>
      </c>
      <c r="F232" t="s">
        <v>543</v>
      </c>
      <c r="G232" t="s">
        <v>1163</v>
      </c>
      <c r="H232" t="s">
        <v>1611</v>
      </c>
      <c r="I232" t="s">
        <v>1949</v>
      </c>
      <c r="J232" t="s">
        <v>2205</v>
      </c>
      <c r="K232">
        <v>11216</v>
      </c>
      <c r="N232" t="s">
        <v>2233</v>
      </c>
      <c r="O232" t="s">
        <v>2412</v>
      </c>
      <c r="Q232" t="s">
        <v>3084</v>
      </c>
      <c r="R232">
        <v>2</v>
      </c>
      <c r="S232">
        <v>0</v>
      </c>
      <c r="T232">
        <v>212.64</v>
      </c>
      <c r="U232" t="s">
        <v>3450</v>
      </c>
      <c r="V232" t="s">
        <v>3458</v>
      </c>
      <c r="W232">
        <v>35000</v>
      </c>
      <c r="X232" t="s">
        <v>3491</v>
      </c>
      <c r="Y232">
        <v>0</v>
      </c>
      <c r="AA232" t="s">
        <v>90</v>
      </c>
      <c r="AC232" t="s">
        <v>3942</v>
      </c>
      <c r="AD232" t="s">
        <v>3881</v>
      </c>
      <c r="AF232" t="s">
        <v>4052</v>
      </c>
      <c r="AH232" t="s">
        <v>3510</v>
      </c>
      <c r="AJ232" t="s">
        <v>3942</v>
      </c>
      <c r="AL232" t="s">
        <v>4089</v>
      </c>
      <c r="AM232" t="s">
        <v>2230</v>
      </c>
      <c r="AO232">
        <v>2300</v>
      </c>
      <c r="AQ232">
        <v>8</v>
      </c>
      <c r="AS232" t="s">
        <v>4113</v>
      </c>
      <c r="AU232" t="s">
        <v>4128</v>
      </c>
      <c r="AW232">
        <v>2</v>
      </c>
      <c r="AY232" t="s">
        <v>4140</v>
      </c>
      <c r="BB232" t="s">
        <v>4154</v>
      </c>
      <c r="BF232" t="s">
        <v>4281</v>
      </c>
      <c r="BG232" t="s">
        <v>4054</v>
      </c>
      <c r="BM232" t="s">
        <v>4627</v>
      </c>
    </row>
    <row r="233" spans="1:65">
      <c r="A233" s="1">
        <f>HYPERLINK("https://lsnyc.legalserver.org/matter/dynamic-profile/view/1876766","18-1876766")</f>
        <v>0</v>
      </c>
      <c r="B233" t="s">
        <v>74</v>
      </c>
      <c r="C233" t="s">
        <v>93</v>
      </c>
      <c r="D233" t="s">
        <v>227</v>
      </c>
      <c r="F233" t="s">
        <v>644</v>
      </c>
      <c r="G233" t="s">
        <v>1178</v>
      </c>
      <c r="H233" t="s">
        <v>1611</v>
      </c>
      <c r="I233" t="s">
        <v>1997</v>
      </c>
      <c r="J233" t="s">
        <v>2205</v>
      </c>
      <c r="K233">
        <v>11216</v>
      </c>
      <c r="N233" t="s">
        <v>2233</v>
      </c>
      <c r="O233" t="s">
        <v>2426</v>
      </c>
      <c r="P233" t="s">
        <v>2930</v>
      </c>
      <c r="R233">
        <v>1</v>
      </c>
      <c r="S233">
        <v>0</v>
      </c>
      <c r="T233">
        <v>535.42</v>
      </c>
      <c r="U233" t="s">
        <v>3450</v>
      </c>
      <c r="V233" t="s">
        <v>3458</v>
      </c>
      <c r="W233">
        <v>65000</v>
      </c>
      <c r="X233" t="s">
        <v>3491</v>
      </c>
      <c r="Y233">
        <v>0</v>
      </c>
      <c r="AA233" t="s">
        <v>90</v>
      </c>
      <c r="AC233" t="s">
        <v>3942</v>
      </c>
      <c r="AD233" t="s">
        <v>143</v>
      </c>
      <c r="AF233" t="s">
        <v>4062</v>
      </c>
      <c r="AH233" t="s">
        <v>4076</v>
      </c>
      <c r="AJ233" t="s">
        <v>3942</v>
      </c>
      <c r="AL233" t="s">
        <v>4089</v>
      </c>
      <c r="AM233" t="s">
        <v>2230</v>
      </c>
      <c r="AO233">
        <v>2450</v>
      </c>
      <c r="AQ233">
        <v>82</v>
      </c>
      <c r="AS233" t="s">
        <v>4113</v>
      </c>
      <c r="AU233" t="s">
        <v>4128</v>
      </c>
      <c r="AW233">
        <v>1</v>
      </c>
      <c r="AY233" t="s">
        <v>4140</v>
      </c>
      <c r="BB233" t="s">
        <v>4154</v>
      </c>
      <c r="BG233" t="s">
        <v>4404</v>
      </c>
      <c r="BM233" t="s">
        <v>4627</v>
      </c>
    </row>
    <row r="234" spans="1:65">
      <c r="A234" s="1">
        <f>HYPERLINK("https://lsnyc.legalserver.org/matter/dynamic-profile/view/1902101","19-1902101")</f>
        <v>0</v>
      </c>
      <c r="B234" t="s">
        <v>74</v>
      </c>
      <c r="C234" t="s">
        <v>93</v>
      </c>
      <c r="D234" t="s">
        <v>240</v>
      </c>
      <c r="F234" t="s">
        <v>645</v>
      </c>
      <c r="G234" t="s">
        <v>1179</v>
      </c>
      <c r="H234" t="s">
        <v>1611</v>
      </c>
      <c r="I234" t="s">
        <v>1998</v>
      </c>
      <c r="J234" t="s">
        <v>2205</v>
      </c>
      <c r="K234">
        <v>11216</v>
      </c>
      <c r="N234" t="s">
        <v>2233</v>
      </c>
      <c r="O234" t="s">
        <v>2427</v>
      </c>
      <c r="Q234" t="s">
        <v>3098</v>
      </c>
      <c r="R234">
        <v>1</v>
      </c>
      <c r="S234">
        <v>0</v>
      </c>
      <c r="T234">
        <v>426.31</v>
      </c>
      <c r="W234">
        <v>53246.66</v>
      </c>
      <c r="X234" t="s">
        <v>3516</v>
      </c>
      <c r="Y234">
        <v>1</v>
      </c>
      <c r="Z234" t="s">
        <v>149</v>
      </c>
      <c r="AA234" t="s">
        <v>90</v>
      </c>
      <c r="AC234" t="s">
        <v>3942</v>
      </c>
      <c r="AD234" t="s">
        <v>240</v>
      </c>
      <c r="AF234" t="s">
        <v>4062</v>
      </c>
      <c r="AH234" t="s">
        <v>4076</v>
      </c>
      <c r="AJ234" t="s">
        <v>3942</v>
      </c>
      <c r="AL234" t="s">
        <v>4089</v>
      </c>
      <c r="AM234" t="s">
        <v>2230</v>
      </c>
      <c r="AN234" t="s">
        <v>4107</v>
      </c>
      <c r="AO234">
        <v>0</v>
      </c>
      <c r="AQ234">
        <v>82</v>
      </c>
      <c r="AS234" t="s">
        <v>4113</v>
      </c>
      <c r="AU234" t="s">
        <v>4128</v>
      </c>
      <c r="AV234" t="s">
        <v>4137</v>
      </c>
      <c r="AW234">
        <v>0</v>
      </c>
      <c r="AY234" t="s">
        <v>4140</v>
      </c>
      <c r="BA234" t="s">
        <v>4149</v>
      </c>
      <c r="BC234" t="s">
        <v>4155</v>
      </c>
      <c r="BE234" t="s">
        <v>4128</v>
      </c>
      <c r="BF234" t="s">
        <v>4281</v>
      </c>
      <c r="BG234" t="s">
        <v>4409</v>
      </c>
      <c r="BM234" t="s">
        <v>4627</v>
      </c>
    </row>
    <row r="235" spans="1:65">
      <c r="A235" s="1">
        <f>HYPERLINK("https://lsnyc.legalserver.org/matter/dynamic-profile/view/1879577","18-1879577")</f>
        <v>0</v>
      </c>
      <c r="B235" t="s">
        <v>74</v>
      </c>
      <c r="C235" t="s">
        <v>93</v>
      </c>
      <c r="D235" t="s">
        <v>189</v>
      </c>
      <c r="F235" t="s">
        <v>548</v>
      </c>
      <c r="G235" t="s">
        <v>1180</v>
      </c>
      <c r="H235" t="s">
        <v>1691</v>
      </c>
      <c r="I235" t="s">
        <v>1934</v>
      </c>
      <c r="J235" t="s">
        <v>2205</v>
      </c>
      <c r="K235">
        <v>11212</v>
      </c>
      <c r="N235" t="s">
        <v>2233</v>
      </c>
      <c r="O235" t="s">
        <v>2428</v>
      </c>
      <c r="Q235" t="s">
        <v>3099</v>
      </c>
      <c r="R235">
        <v>2</v>
      </c>
      <c r="S235">
        <v>2</v>
      </c>
      <c r="T235">
        <v>141.61</v>
      </c>
      <c r="W235">
        <v>35543</v>
      </c>
      <c r="Y235">
        <v>0.7</v>
      </c>
      <c r="Z235" t="s">
        <v>154</v>
      </c>
      <c r="AA235" t="s">
        <v>90</v>
      </c>
      <c r="AC235" t="s">
        <v>3942</v>
      </c>
      <c r="AD235" t="s">
        <v>251</v>
      </c>
      <c r="AF235" t="s">
        <v>4062</v>
      </c>
      <c r="AH235" t="s">
        <v>4076</v>
      </c>
      <c r="AI235" t="s">
        <v>4082</v>
      </c>
      <c r="AL235" t="s">
        <v>4086</v>
      </c>
      <c r="AM235" t="s">
        <v>2230</v>
      </c>
      <c r="AO235">
        <v>1350</v>
      </c>
      <c r="AQ235">
        <v>6</v>
      </c>
      <c r="AS235" t="s">
        <v>4113</v>
      </c>
      <c r="AT235" t="s">
        <v>4127</v>
      </c>
      <c r="AW235">
        <v>4</v>
      </c>
      <c r="AY235" t="s">
        <v>4140</v>
      </c>
      <c r="BB235" t="s">
        <v>4154</v>
      </c>
      <c r="BF235" t="s">
        <v>4281</v>
      </c>
      <c r="BM235" t="s">
        <v>4627</v>
      </c>
    </row>
    <row r="236" spans="1:65">
      <c r="A236" s="1">
        <f>HYPERLINK("https://lsnyc.legalserver.org/matter/dynamic-profile/view/1878068","18-1878068")</f>
        <v>0</v>
      </c>
      <c r="B236" t="s">
        <v>74</v>
      </c>
      <c r="C236" t="s">
        <v>93</v>
      </c>
      <c r="D236" t="s">
        <v>232</v>
      </c>
      <c r="F236" t="s">
        <v>646</v>
      </c>
      <c r="G236" t="s">
        <v>1181</v>
      </c>
      <c r="H236" t="s">
        <v>1611</v>
      </c>
      <c r="I236" t="s">
        <v>1953</v>
      </c>
      <c r="J236" t="s">
        <v>2205</v>
      </c>
      <c r="K236">
        <v>11216</v>
      </c>
      <c r="N236" t="s">
        <v>2233</v>
      </c>
      <c r="O236" t="s">
        <v>2429</v>
      </c>
      <c r="Q236" t="s">
        <v>3100</v>
      </c>
      <c r="R236">
        <v>2</v>
      </c>
      <c r="S236">
        <v>0</v>
      </c>
      <c r="T236">
        <v>516.4</v>
      </c>
      <c r="U236" t="s">
        <v>3450</v>
      </c>
      <c r="V236" t="s">
        <v>3458</v>
      </c>
      <c r="W236">
        <v>85000</v>
      </c>
      <c r="X236" t="s">
        <v>3491</v>
      </c>
      <c r="Y236">
        <v>0</v>
      </c>
      <c r="AA236" t="s">
        <v>90</v>
      </c>
      <c r="AC236" t="s">
        <v>3942</v>
      </c>
      <c r="AD236" t="s">
        <v>3888</v>
      </c>
      <c r="AF236" t="s">
        <v>4062</v>
      </c>
      <c r="AH236" t="s">
        <v>4076</v>
      </c>
      <c r="AI236" t="s">
        <v>4082</v>
      </c>
      <c r="AL236" t="s">
        <v>4089</v>
      </c>
      <c r="AM236" t="s">
        <v>2230</v>
      </c>
      <c r="AO236">
        <v>1390.98</v>
      </c>
      <c r="AQ236">
        <v>82</v>
      </c>
      <c r="AS236" t="s">
        <v>4113</v>
      </c>
      <c r="AU236" t="s">
        <v>4128</v>
      </c>
      <c r="AW236">
        <v>7</v>
      </c>
      <c r="AY236" t="s">
        <v>4140</v>
      </c>
      <c r="BB236" t="s">
        <v>4154</v>
      </c>
      <c r="BG236" t="s">
        <v>4404</v>
      </c>
      <c r="BM236" t="s">
        <v>4627</v>
      </c>
    </row>
    <row r="237" spans="1:65">
      <c r="A237" s="1">
        <f>HYPERLINK("https://lsnyc.legalserver.org/matter/dynamic-profile/view/1876799","18-1876799")</f>
        <v>0</v>
      </c>
      <c r="B237" t="s">
        <v>74</v>
      </c>
      <c r="C237" t="s">
        <v>93</v>
      </c>
      <c r="D237" t="s">
        <v>227</v>
      </c>
      <c r="F237" t="s">
        <v>647</v>
      </c>
      <c r="G237" t="s">
        <v>1182</v>
      </c>
      <c r="H237" t="s">
        <v>1611</v>
      </c>
      <c r="I237" t="s">
        <v>1999</v>
      </c>
      <c r="J237" t="s">
        <v>2205</v>
      </c>
      <c r="K237">
        <v>11216</v>
      </c>
      <c r="N237" t="s">
        <v>2233</v>
      </c>
      <c r="O237" t="s">
        <v>2430</v>
      </c>
      <c r="P237" t="s">
        <v>2930</v>
      </c>
      <c r="R237">
        <v>1</v>
      </c>
      <c r="S237">
        <v>0</v>
      </c>
      <c r="T237">
        <v>823.72</v>
      </c>
      <c r="W237">
        <v>100000</v>
      </c>
      <c r="X237" t="s">
        <v>3473</v>
      </c>
      <c r="Y237">
        <v>0</v>
      </c>
      <c r="AA237" t="s">
        <v>90</v>
      </c>
      <c r="AC237" t="s">
        <v>3942</v>
      </c>
      <c r="AD237" t="s">
        <v>143</v>
      </c>
      <c r="AF237" t="s">
        <v>4054</v>
      </c>
      <c r="AH237" t="s">
        <v>3510</v>
      </c>
      <c r="AJ237" t="s">
        <v>3942</v>
      </c>
      <c r="AL237" t="s">
        <v>4089</v>
      </c>
      <c r="AM237" t="s">
        <v>2230</v>
      </c>
      <c r="AO237">
        <v>1550</v>
      </c>
      <c r="AQ237">
        <v>82</v>
      </c>
      <c r="AS237" t="s">
        <v>4113</v>
      </c>
      <c r="AU237" t="s">
        <v>4128</v>
      </c>
      <c r="AW237">
        <v>1</v>
      </c>
      <c r="AY237" t="s">
        <v>4140</v>
      </c>
      <c r="BB237" t="s">
        <v>4154</v>
      </c>
      <c r="BF237" t="s">
        <v>4281</v>
      </c>
      <c r="BM237" t="s">
        <v>4627</v>
      </c>
    </row>
    <row r="238" spans="1:65">
      <c r="A238" s="1">
        <f>HYPERLINK("https://lsnyc.legalserver.org/matter/dynamic-profile/view/1908272","19-1908272")</f>
        <v>0</v>
      </c>
      <c r="B238" t="s">
        <v>74</v>
      </c>
      <c r="C238" t="s">
        <v>93</v>
      </c>
      <c r="D238" t="s">
        <v>162</v>
      </c>
      <c r="F238" t="s">
        <v>644</v>
      </c>
      <c r="G238" t="s">
        <v>1183</v>
      </c>
      <c r="H238" t="s">
        <v>1689</v>
      </c>
      <c r="I238">
        <v>5</v>
      </c>
      <c r="J238" t="s">
        <v>2205</v>
      </c>
      <c r="K238">
        <v>11233</v>
      </c>
      <c r="N238" t="s">
        <v>2233</v>
      </c>
      <c r="O238" t="s">
        <v>2431</v>
      </c>
      <c r="Q238" t="s">
        <v>3101</v>
      </c>
      <c r="R238">
        <v>1</v>
      </c>
      <c r="S238">
        <v>0</v>
      </c>
      <c r="T238">
        <v>31.22</v>
      </c>
      <c r="W238">
        <v>3900</v>
      </c>
      <c r="Y238">
        <v>10.4</v>
      </c>
      <c r="Z238" t="s">
        <v>113</v>
      </c>
      <c r="AA238" t="s">
        <v>90</v>
      </c>
      <c r="AC238" t="s">
        <v>3942</v>
      </c>
      <c r="AD238" t="s">
        <v>123</v>
      </c>
      <c r="AF238" t="s">
        <v>4058</v>
      </c>
      <c r="AH238" t="s">
        <v>4076</v>
      </c>
      <c r="AJ238" t="s">
        <v>3943</v>
      </c>
      <c r="AK238" t="s">
        <v>4084</v>
      </c>
      <c r="AM238" t="s">
        <v>2230</v>
      </c>
      <c r="AO238">
        <v>1550</v>
      </c>
      <c r="AQ238">
        <v>12</v>
      </c>
      <c r="AS238" t="s">
        <v>4113</v>
      </c>
      <c r="AU238" t="s">
        <v>4130</v>
      </c>
      <c r="AW238">
        <v>4</v>
      </c>
      <c r="AY238" t="s">
        <v>4140</v>
      </c>
      <c r="BA238" t="s">
        <v>4149</v>
      </c>
      <c r="BC238" t="s">
        <v>4155</v>
      </c>
      <c r="BE238" t="s">
        <v>4160</v>
      </c>
      <c r="BF238" t="s">
        <v>4281</v>
      </c>
      <c r="BM238" t="s">
        <v>4627</v>
      </c>
    </row>
    <row r="239" spans="1:65">
      <c r="A239" s="1">
        <f>HYPERLINK("https://lsnyc.legalserver.org/matter/dynamic-profile/view/1908269","19-1908269")</f>
        <v>0</v>
      </c>
      <c r="B239" t="s">
        <v>74</v>
      </c>
      <c r="C239" t="s">
        <v>93</v>
      </c>
      <c r="D239" t="s">
        <v>162</v>
      </c>
      <c r="F239" t="s">
        <v>644</v>
      </c>
      <c r="G239" t="s">
        <v>1183</v>
      </c>
      <c r="H239" t="s">
        <v>1689</v>
      </c>
      <c r="I239">
        <v>5</v>
      </c>
      <c r="J239" t="s">
        <v>2205</v>
      </c>
      <c r="K239">
        <v>11233</v>
      </c>
      <c r="N239" t="s">
        <v>2233</v>
      </c>
      <c r="O239" t="s">
        <v>2431</v>
      </c>
      <c r="Q239" t="s">
        <v>3101</v>
      </c>
      <c r="R239">
        <v>1</v>
      </c>
      <c r="S239">
        <v>0</v>
      </c>
      <c r="T239">
        <v>31.22</v>
      </c>
      <c r="W239">
        <v>3900</v>
      </c>
      <c r="Y239">
        <v>0</v>
      </c>
      <c r="AA239" t="s">
        <v>90</v>
      </c>
      <c r="AC239" t="s">
        <v>3942</v>
      </c>
      <c r="AD239" t="s">
        <v>246</v>
      </c>
      <c r="AF239" t="s">
        <v>4061</v>
      </c>
      <c r="AH239" t="s">
        <v>3510</v>
      </c>
      <c r="AJ239" t="s">
        <v>3943</v>
      </c>
      <c r="AK239" t="s">
        <v>4084</v>
      </c>
      <c r="AM239" t="s">
        <v>2230</v>
      </c>
      <c r="AO239">
        <v>1550</v>
      </c>
      <c r="AQ239">
        <v>12</v>
      </c>
      <c r="AS239" t="s">
        <v>4113</v>
      </c>
      <c r="AU239" t="s">
        <v>4130</v>
      </c>
      <c r="AW239">
        <v>4</v>
      </c>
      <c r="AY239" t="s">
        <v>4140</v>
      </c>
      <c r="BA239" t="s">
        <v>4149</v>
      </c>
      <c r="BC239" t="s">
        <v>4155</v>
      </c>
      <c r="BE239" t="s">
        <v>4168</v>
      </c>
      <c r="BF239" t="s">
        <v>4281</v>
      </c>
      <c r="BG239" t="s">
        <v>4159</v>
      </c>
      <c r="BM239" t="s">
        <v>4627</v>
      </c>
    </row>
    <row r="240" spans="1:65">
      <c r="A240" s="1">
        <f>HYPERLINK("https://lsnyc.legalserver.org/matter/dynamic-profile/view/1876941","18-1876941")</f>
        <v>0</v>
      </c>
      <c r="B240" t="s">
        <v>74</v>
      </c>
      <c r="C240" t="s">
        <v>93</v>
      </c>
      <c r="D240" t="s">
        <v>230</v>
      </c>
      <c r="F240" t="s">
        <v>627</v>
      </c>
      <c r="G240" t="s">
        <v>1159</v>
      </c>
      <c r="H240" t="s">
        <v>1611</v>
      </c>
      <c r="I240" t="s">
        <v>1947</v>
      </c>
      <c r="J240" t="s">
        <v>2205</v>
      </c>
      <c r="K240">
        <v>11216</v>
      </c>
      <c r="N240" t="s">
        <v>2233</v>
      </c>
      <c r="O240" t="s">
        <v>2408</v>
      </c>
      <c r="Q240" t="s">
        <v>3081</v>
      </c>
      <c r="R240">
        <v>1</v>
      </c>
      <c r="S240">
        <v>0</v>
      </c>
      <c r="T240">
        <v>1087.31</v>
      </c>
      <c r="W240">
        <v>132000</v>
      </c>
      <c r="X240" t="s">
        <v>3473</v>
      </c>
      <c r="Y240">
        <v>0</v>
      </c>
      <c r="AA240" t="s">
        <v>90</v>
      </c>
      <c r="AC240" t="s">
        <v>3942</v>
      </c>
      <c r="AD240" t="s">
        <v>3446</v>
      </c>
      <c r="AF240" t="s">
        <v>4054</v>
      </c>
      <c r="AH240" t="s">
        <v>3510</v>
      </c>
      <c r="AJ240" t="s">
        <v>3942</v>
      </c>
      <c r="AL240" t="s">
        <v>4089</v>
      </c>
      <c r="AM240" t="s">
        <v>2230</v>
      </c>
      <c r="AO240">
        <v>2450</v>
      </c>
      <c r="AQ240">
        <v>82</v>
      </c>
      <c r="AS240" t="s">
        <v>4113</v>
      </c>
      <c r="AU240" t="s">
        <v>4128</v>
      </c>
      <c r="AW240">
        <v>3</v>
      </c>
      <c r="AY240" t="s">
        <v>4140</v>
      </c>
      <c r="BB240" t="s">
        <v>4154</v>
      </c>
      <c r="BF240" t="s">
        <v>4281</v>
      </c>
      <c r="BG240" t="s">
        <v>4054</v>
      </c>
      <c r="BM240" t="s">
        <v>4627</v>
      </c>
    </row>
    <row r="241" spans="1:65">
      <c r="A241" s="1">
        <f>HYPERLINK("https://lsnyc.legalserver.org/matter/dynamic-profile/view/1898333","19-1898333")</f>
        <v>0</v>
      </c>
      <c r="B241" t="s">
        <v>74</v>
      </c>
      <c r="C241" t="s">
        <v>93</v>
      </c>
      <c r="D241" t="s">
        <v>241</v>
      </c>
      <c r="F241" t="s">
        <v>648</v>
      </c>
      <c r="G241" t="s">
        <v>1184</v>
      </c>
      <c r="H241" t="s">
        <v>1611</v>
      </c>
      <c r="I241" t="s">
        <v>2000</v>
      </c>
      <c r="J241" t="s">
        <v>2205</v>
      </c>
      <c r="K241">
        <v>11216</v>
      </c>
      <c r="N241" t="s">
        <v>2233</v>
      </c>
      <c r="O241" t="s">
        <v>2432</v>
      </c>
      <c r="Q241" t="s">
        <v>3102</v>
      </c>
      <c r="R241">
        <v>1</v>
      </c>
      <c r="S241">
        <v>0</v>
      </c>
      <c r="T241">
        <v>391.71</v>
      </c>
      <c r="W241">
        <v>48925</v>
      </c>
      <c r="X241" t="s">
        <v>3517</v>
      </c>
      <c r="Y241">
        <v>0</v>
      </c>
      <c r="AA241" t="s">
        <v>90</v>
      </c>
      <c r="AC241" t="s">
        <v>3942</v>
      </c>
      <c r="AD241" t="s">
        <v>428</v>
      </c>
      <c r="AF241" t="s">
        <v>4061</v>
      </c>
      <c r="AH241" t="s">
        <v>3510</v>
      </c>
      <c r="AJ241" t="s">
        <v>3942</v>
      </c>
      <c r="AL241" t="s">
        <v>4089</v>
      </c>
      <c r="AM241" t="s">
        <v>2230</v>
      </c>
      <c r="AO241">
        <v>2200</v>
      </c>
      <c r="AQ241">
        <v>82</v>
      </c>
      <c r="AS241" t="s">
        <v>4113</v>
      </c>
      <c r="AU241" t="s">
        <v>4128</v>
      </c>
      <c r="AV241" t="s">
        <v>4137</v>
      </c>
      <c r="AW241">
        <v>0</v>
      </c>
      <c r="AY241" t="s">
        <v>4140</v>
      </c>
      <c r="BA241" t="s">
        <v>4149</v>
      </c>
      <c r="BB241" t="s">
        <v>4154</v>
      </c>
      <c r="BF241" t="s">
        <v>4281</v>
      </c>
      <c r="BM241" t="s">
        <v>4627</v>
      </c>
    </row>
    <row r="242" spans="1:65">
      <c r="A242" s="1">
        <f>HYPERLINK("https://lsnyc.legalserver.org/matter/dynamic-profile/view/1898331","19-1898331")</f>
        <v>0</v>
      </c>
      <c r="B242" t="s">
        <v>74</v>
      </c>
      <c r="C242" t="s">
        <v>93</v>
      </c>
      <c r="D242" t="s">
        <v>241</v>
      </c>
      <c r="F242" t="s">
        <v>648</v>
      </c>
      <c r="G242" t="s">
        <v>1184</v>
      </c>
      <c r="H242" t="s">
        <v>1611</v>
      </c>
      <c r="I242" t="s">
        <v>2000</v>
      </c>
      <c r="J242" t="s">
        <v>2205</v>
      </c>
      <c r="K242">
        <v>11216</v>
      </c>
      <c r="N242" t="s">
        <v>2233</v>
      </c>
      <c r="O242" t="s">
        <v>2432</v>
      </c>
      <c r="Q242" t="s">
        <v>3102</v>
      </c>
      <c r="R242">
        <v>1</v>
      </c>
      <c r="S242">
        <v>0</v>
      </c>
      <c r="T242">
        <v>391.71</v>
      </c>
      <c r="W242">
        <v>48925</v>
      </c>
      <c r="X242" t="s">
        <v>3518</v>
      </c>
      <c r="Y242">
        <v>0</v>
      </c>
      <c r="AA242" t="s">
        <v>90</v>
      </c>
      <c r="AC242" t="s">
        <v>3942</v>
      </c>
      <c r="AD242" t="s">
        <v>428</v>
      </c>
      <c r="AF242" t="s">
        <v>4062</v>
      </c>
      <c r="AH242" t="s">
        <v>4076</v>
      </c>
      <c r="AJ242" t="s">
        <v>3942</v>
      </c>
      <c r="AL242" t="s">
        <v>4089</v>
      </c>
      <c r="AM242" t="s">
        <v>2230</v>
      </c>
      <c r="AO242">
        <v>2200</v>
      </c>
      <c r="AQ242">
        <v>82</v>
      </c>
      <c r="AS242" t="s">
        <v>4113</v>
      </c>
      <c r="AU242" t="s">
        <v>4128</v>
      </c>
      <c r="AV242" t="s">
        <v>4137</v>
      </c>
      <c r="AW242">
        <v>0</v>
      </c>
      <c r="AY242" t="s">
        <v>4140</v>
      </c>
      <c r="BA242" t="s">
        <v>4149</v>
      </c>
      <c r="BB242" t="s">
        <v>4154</v>
      </c>
      <c r="BG242" t="s">
        <v>4404</v>
      </c>
      <c r="BM242" t="s">
        <v>4627</v>
      </c>
    </row>
    <row r="243" spans="1:65">
      <c r="A243" s="1">
        <f>HYPERLINK("https://lsnyc.legalserver.org/matter/dynamic-profile/view/1876812","18-1876812")</f>
        <v>0</v>
      </c>
      <c r="B243" t="s">
        <v>74</v>
      </c>
      <c r="C243" t="s">
        <v>93</v>
      </c>
      <c r="D243" t="s">
        <v>227</v>
      </c>
      <c r="F243" t="s">
        <v>649</v>
      </c>
      <c r="G243" t="s">
        <v>1050</v>
      </c>
      <c r="H243" t="s">
        <v>1611</v>
      </c>
      <c r="I243" t="s">
        <v>1941</v>
      </c>
      <c r="J243" t="s">
        <v>2205</v>
      </c>
      <c r="K243">
        <v>11216</v>
      </c>
      <c r="N243" t="s">
        <v>2233</v>
      </c>
      <c r="O243" t="s">
        <v>2433</v>
      </c>
      <c r="Q243" t="s">
        <v>3103</v>
      </c>
      <c r="R243">
        <v>2</v>
      </c>
      <c r="S243">
        <v>2</v>
      </c>
      <c r="T243">
        <v>378.49</v>
      </c>
      <c r="U243" t="s">
        <v>3450</v>
      </c>
      <c r="V243" t="s">
        <v>3458</v>
      </c>
      <c r="W243">
        <v>95000</v>
      </c>
      <c r="X243" t="s">
        <v>3473</v>
      </c>
      <c r="Y243">
        <v>0</v>
      </c>
      <c r="AA243" t="s">
        <v>90</v>
      </c>
      <c r="AC243" t="s">
        <v>3942</v>
      </c>
      <c r="AD243" t="s">
        <v>143</v>
      </c>
      <c r="AF243" t="s">
        <v>4054</v>
      </c>
      <c r="AH243" t="s">
        <v>3510</v>
      </c>
      <c r="AJ243" t="s">
        <v>3942</v>
      </c>
      <c r="AL243" t="s">
        <v>4089</v>
      </c>
      <c r="AM243" t="s">
        <v>2230</v>
      </c>
      <c r="AO243">
        <v>2350</v>
      </c>
      <c r="AQ243">
        <v>82</v>
      </c>
      <c r="AS243" t="s">
        <v>4113</v>
      </c>
      <c r="AU243" t="s">
        <v>4128</v>
      </c>
      <c r="AW243">
        <v>4</v>
      </c>
      <c r="AY243" t="s">
        <v>4140</v>
      </c>
      <c r="BB243" t="s">
        <v>4154</v>
      </c>
      <c r="BF243" t="s">
        <v>4281</v>
      </c>
      <c r="BG243" t="s">
        <v>4054</v>
      </c>
      <c r="BM243" t="s">
        <v>4627</v>
      </c>
    </row>
    <row r="244" spans="1:65">
      <c r="A244" s="1">
        <f>HYPERLINK("https://lsnyc.legalserver.org/matter/dynamic-profile/view/1876814","18-1876814")</f>
        <v>0</v>
      </c>
      <c r="B244" t="s">
        <v>74</v>
      </c>
      <c r="C244" t="s">
        <v>93</v>
      </c>
      <c r="D244" t="s">
        <v>227</v>
      </c>
      <c r="F244" t="s">
        <v>649</v>
      </c>
      <c r="G244" t="s">
        <v>1050</v>
      </c>
      <c r="H244" t="s">
        <v>1611</v>
      </c>
      <c r="I244" t="s">
        <v>1941</v>
      </c>
      <c r="J244" t="s">
        <v>2205</v>
      </c>
      <c r="K244">
        <v>11216</v>
      </c>
      <c r="N244" t="s">
        <v>2233</v>
      </c>
      <c r="O244" t="s">
        <v>2433</v>
      </c>
      <c r="Q244" t="s">
        <v>3103</v>
      </c>
      <c r="R244">
        <v>2</v>
      </c>
      <c r="S244">
        <v>2</v>
      </c>
      <c r="T244">
        <v>378.49</v>
      </c>
      <c r="U244" t="s">
        <v>3450</v>
      </c>
      <c r="V244" t="s">
        <v>3458</v>
      </c>
      <c r="W244">
        <v>95000</v>
      </c>
      <c r="X244" t="s">
        <v>3491</v>
      </c>
      <c r="Y244">
        <v>0</v>
      </c>
      <c r="AA244" t="s">
        <v>90</v>
      </c>
      <c r="AC244" t="s">
        <v>3942</v>
      </c>
      <c r="AD244" t="s">
        <v>3972</v>
      </c>
      <c r="AF244" t="s">
        <v>4062</v>
      </c>
      <c r="AH244" t="s">
        <v>4076</v>
      </c>
      <c r="AJ244" t="s">
        <v>3942</v>
      </c>
      <c r="AL244" t="s">
        <v>4089</v>
      </c>
      <c r="AM244" t="s">
        <v>2230</v>
      </c>
      <c r="AO244">
        <v>2350</v>
      </c>
      <c r="AQ244">
        <v>82</v>
      </c>
      <c r="AS244" t="s">
        <v>4113</v>
      </c>
      <c r="AU244" t="s">
        <v>4128</v>
      </c>
      <c r="AW244">
        <v>4</v>
      </c>
      <c r="AY244" t="s">
        <v>4140</v>
      </c>
      <c r="BB244" t="s">
        <v>4154</v>
      </c>
      <c r="BG244" t="s">
        <v>4404</v>
      </c>
      <c r="BM244" t="s">
        <v>4627</v>
      </c>
    </row>
    <row r="245" spans="1:65">
      <c r="A245" s="1">
        <f>HYPERLINK("https://lsnyc.legalserver.org/matter/dynamic-profile/view/1879530","18-1879530")</f>
        <v>0</v>
      </c>
      <c r="B245" t="s">
        <v>74</v>
      </c>
      <c r="C245" t="s">
        <v>93</v>
      </c>
      <c r="D245" t="s">
        <v>189</v>
      </c>
      <c r="F245" t="s">
        <v>650</v>
      </c>
      <c r="G245" t="s">
        <v>1046</v>
      </c>
      <c r="H245" t="s">
        <v>1611</v>
      </c>
      <c r="I245" t="s">
        <v>2001</v>
      </c>
      <c r="J245" t="s">
        <v>2205</v>
      </c>
      <c r="K245">
        <v>11216</v>
      </c>
      <c r="N245" t="s">
        <v>2233</v>
      </c>
      <c r="O245" t="s">
        <v>2434</v>
      </c>
      <c r="Q245" t="s">
        <v>3104</v>
      </c>
      <c r="R245">
        <v>2</v>
      </c>
      <c r="S245">
        <v>5</v>
      </c>
      <c r="T245">
        <v>315.29</v>
      </c>
      <c r="U245" t="s">
        <v>3450</v>
      </c>
      <c r="V245" t="s">
        <v>3458</v>
      </c>
      <c r="W245">
        <v>120000</v>
      </c>
      <c r="X245" t="s">
        <v>3491</v>
      </c>
      <c r="Y245">
        <v>0</v>
      </c>
      <c r="AA245" t="s">
        <v>90</v>
      </c>
      <c r="AC245" t="s">
        <v>3942</v>
      </c>
      <c r="AD245" t="s">
        <v>150</v>
      </c>
      <c r="AF245" t="s">
        <v>4062</v>
      </c>
      <c r="AH245" t="s">
        <v>4076</v>
      </c>
      <c r="AJ245" t="s">
        <v>3942</v>
      </c>
      <c r="AL245" t="s">
        <v>4089</v>
      </c>
      <c r="AM245" t="s">
        <v>2230</v>
      </c>
      <c r="AO245">
        <v>2200</v>
      </c>
      <c r="AQ245">
        <v>82</v>
      </c>
      <c r="AS245" t="s">
        <v>4113</v>
      </c>
      <c r="AU245" t="s">
        <v>4128</v>
      </c>
      <c r="AW245">
        <v>5</v>
      </c>
      <c r="AY245" t="s">
        <v>4140</v>
      </c>
      <c r="BA245" t="s">
        <v>4149</v>
      </c>
      <c r="BB245" t="s">
        <v>4154</v>
      </c>
      <c r="BG245" t="s">
        <v>4404</v>
      </c>
      <c r="BM245" t="s">
        <v>4627</v>
      </c>
    </row>
    <row r="246" spans="1:65">
      <c r="A246" s="1">
        <f>HYPERLINK("https://lsnyc.legalserver.org/matter/dynamic-profile/view/1876541","18-1876541")</f>
        <v>0</v>
      </c>
      <c r="B246" t="s">
        <v>74</v>
      </c>
      <c r="C246" t="s">
        <v>93</v>
      </c>
      <c r="D246" t="s">
        <v>121</v>
      </c>
      <c r="F246" t="s">
        <v>643</v>
      </c>
      <c r="G246" t="s">
        <v>1177</v>
      </c>
      <c r="H246" t="s">
        <v>1611</v>
      </c>
      <c r="I246" t="s">
        <v>1949</v>
      </c>
      <c r="J246" t="s">
        <v>2205</v>
      </c>
      <c r="K246">
        <v>11216</v>
      </c>
      <c r="N246" t="s">
        <v>2233</v>
      </c>
      <c r="O246" t="s">
        <v>2425</v>
      </c>
      <c r="Q246" t="s">
        <v>3097</v>
      </c>
      <c r="R246">
        <v>2</v>
      </c>
      <c r="S246">
        <v>0</v>
      </c>
      <c r="T246">
        <v>820.17</v>
      </c>
      <c r="U246" t="s">
        <v>3450</v>
      </c>
      <c r="V246" t="s">
        <v>3458</v>
      </c>
      <c r="W246">
        <v>135000</v>
      </c>
      <c r="X246" t="s">
        <v>3491</v>
      </c>
      <c r="Y246">
        <v>0</v>
      </c>
      <c r="AA246" t="s">
        <v>90</v>
      </c>
      <c r="AC246" t="s">
        <v>3942</v>
      </c>
      <c r="AD246" t="s">
        <v>419</v>
      </c>
      <c r="AF246" t="s">
        <v>4062</v>
      </c>
      <c r="AH246" t="s">
        <v>4076</v>
      </c>
      <c r="AJ246" t="s">
        <v>3942</v>
      </c>
      <c r="AL246" t="s">
        <v>4089</v>
      </c>
      <c r="AM246" t="s">
        <v>2230</v>
      </c>
      <c r="AO246">
        <v>2300</v>
      </c>
      <c r="AQ246">
        <v>8</v>
      </c>
      <c r="AS246" t="s">
        <v>4113</v>
      </c>
      <c r="AU246" t="s">
        <v>4128</v>
      </c>
      <c r="AW246">
        <v>2</v>
      </c>
      <c r="AY246" t="s">
        <v>4140</v>
      </c>
      <c r="BB246" t="s">
        <v>4154</v>
      </c>
      <c r="BG246" t="s">
        <v>4404</v>
      </c>
      <c r="BM246" t="s">
        <v>4627</v>
      </c>
    </row>
    <row r="247" spans="1:65">
      <c r="A247" s="1">
        <f>HYPERLINK("https://lsnyc.legalserver.org/matter/dynamic-profile/view/1871418","18-1871418")</f>
        <v>0</v>
      </c>
      <c r="B247" t="s">
        <v>74</v>
      </c>
      <c r="C247" t="s">
        <v>93</v>
      </c>
      <c r="D247" t="s">
        <v>242</v>
      </c>
      <c r="F247" t="s">
        <v>548</v>
      </c>
      <c r="G247" t="s">
        <v>1180</v>
      </c>
      <c r="H247" t="s">
        <v>1691</v>
      </c>
      <c r="I247" t="s">
        <v>1934</v>
      </c>
      <c r="J247" t="s">
        <v>2205</v>
      </c>
      <c r="K247">
        <v>11212</v>
      </c>
      <c r="N247" t="s">
        <v>2233</v>
      </c>
      <c r="O247" t="s">
        <v>2428</v>
      </c>
      <c r="Q247" t="s">
        <v>3099</v>
      </c>
      <c r="R247">
        <v>1</v>
      </c>
      <c r="S247">
        <v>3</v>
      </c>
      <c r="T247">
        <v>144.48</v>
      </c>
      <c r="W247">
        <v>35543</v>
      </c>
      <c r="Y247">
        <v>98.59999999999999</v>
      </c>
      <c r="Z247" t="s">
        <v>3833</v>
      </c>
      <c r="AA247" t="s">
        <v>74</v>
      </c>
      <c r="AC247" t="s">
        <v>3942</v>
      </c>
      <c r="AD247" t="s">
        <v>251</v>
      </c>
      <c r="AF247" t="s">
        <v>4058</v>
      </c>
      <c r="AH247" t="s">
        <v>4076</v>
      </c>
      <c r="AJ247" t="s">
        <v>3942</v>
      </c>
      <c r="AL247" t="s">
        <v>4086</v>
      </c>
      <c r="AM247" t="s">
        <v>2230</v>
      </c>
      <c r="AO247">
        <v>1350</v>
      </c>
      <c r="AQ247">
        <v>6</v>
      </c>
      <c r="AS247" t="s">
        <v>4113</v>
      </c>
      <c r="AT247" t="s">
        <v>4127</v>
      </c>
      <c r="AW247">
        <v>4</v>
      </c>
      <c r="AY247" t="s">
        <v>4140</v>
      </c>
      <c r="BC247" t="s">
        <v>4155</v>
      </c>
      <c r="BF247" t="s">
        <v>4281</v>
      </c>
      <c r="BG247" t="s">
        <v>4410</v>
      </c>
      <c r="BM247" t="s">
        <v>4627</v>
      </c>
    </row>
    <row r="248" spans="1:65">
      <c r="A248" s="1">
        <f>HYPERLINK("https://lsnyc.legalserver.org/matter/dynamic-profile/view/1879525","18-1879525")</f>
        <v>0</v>
      </c>
      <c r="B248" t="s">
        <v>74</v>
      </c>
      <c r="C248" t="s">
        <v>93</v>
      </c>
      <c r="D248" t="s">
        <v>189</v>
      </c>
      <c r="F248" t="s">
        <v>650</v>
      </c>
      <c r="G248" t="s">
        <v>1046</v>
      </c>
      <c r="H248" t="s">
        <v>1611</v>
      </c>
      <c r="I248" t="s">
        <v>2001</v>
      </c>
      <c r="J248" t="s">
        <v>2205</v>
      </c>
      <c r="K248">
        <v>11216</v>
      </c>
      <c r="N248" t="s">
        <v>2233</v>
      </c>
      <c r="O248" t="s">
        <v>2434</v>
      </c>
      <c r="Q248" t="s">
        <v>3104</v>
      </c>
      <c r="R248">
        <v>2</v>
      </c>
      <c r="S248">
        <v>5</v>
      </c>
      <c r="T248">
        <v>315.29</v>
      </c>
      <c r="U248" t="s">
        <v>3450</v>
      </c>
      <c r="V248" t="s">
        <v>3458</v>
      </c>
      <c r="W248">
        <v>120000</v>
      </c>
      <c r="X248" t="s">
        <v>3491</v>
      </c>
      <c r="Y248">
        <v>0</v>
      </c>
      <c r="AA248" t="s">
        <v>90</v>
      </c>
      <c r="AC248" t="s">
        <v>3942</v>
      </c>
      <c r="AD248" t="s">
        <v>150</v>
      </c>
      <c r="AF248" t="s">
        <v>4061</v>
      </c>
      <c r="AH248" t="s">
        <v>3510</v>
      </c>
      <c r="AJ248" t="s">
        <v>3942</v>
      </c>
      <c r="AL248" t="s">
        <v>4089</v>
      </c>
      <c r="AM248" t="s">
        <v>2230</v>
      </c>
      <c r="AO248">
        <v>2200</v>
      </c>
      <c r="AQ248">
        <v>82</v>
      </c>
      <c r="AS248" t="s">
        <v>4113</v>
      </c>
      <c r="AU248" t="s">
        <v>4128</v>
      </c>
      <c r="AW248">
        <v>5</v>
      </c>
      <c r="AY248" t="s">
        <v>4140</v>
      </c>
      <c r="BB248" t="s">
        <v>4154</v>
      </c>
      <c r="BF248" t="s">
        <v>4281</v>
      </c>
      <c r="BG248" t="s">
        <v>4054</v>
      </c>
      <c r="BM248" t="s">
        <v>4627</v>
      </c>
    </row>
    <row r="249" spans="1:65">
      <c r="A249" s="1">
        <f>HYPERLINK("https://lsnyc.legalserver.org/matter/dynamic-profile/view/1876621","18-1876621")</f>
        <v>0</v>
      </c>
      <c r="B249" t="s">
        <v>74</v>
      </c>
      <c r="C249" t="s">
        <v>93</v>
      </c>
      <c r="D249" t="s">
        <v>229</v>
      </c>
      <c r="F249" t="s">
        <v>651</v>
      </c>
      <c r="G249" t="s">
        <v>1185</v>
      </c>
      <c r="H249" t="s">
        <v>1611</v>
      </c>
      <c r="I249" t="s">
        <v>1997</v>
      </c>
      <c r="J249" t="s">
        <v>2205</v>
      </c>
      <c r="K249">
        <v>11216</v>
      </c>
      <c r="N249" t="s">
        <v>2233</v>
      </c>
      <c r="O249" t="s">
        <v>2435</v>
      </c>
      <c r="Q249" t="s">
        <v>3105</v>
      </c>
      <c r="R249">
        <v>1</v>
      </c>
      <c r="S249">
        <v>0</v>
      </c>
      <c r="T249">
        <v>373.9</v>
      </c>
      <c r="U249" t="s">
        <v>3450</v>
      </c>
      <c r="V249" t="s">
        <v>3458</v>
      </c>
      <c r="W249">
        <v>45392</v>
      </c>
      <c r="X249" t="s">
        <v>3491</v>
      </c>
      <c r="Y249">
        <v>0</v>
      </c>
      <c r="AA249" t="s">
        <v>90</v>
      </c>
      <c r="AC249" t="s">
        <v>3942</v>
      </c>
      <c r="AD249" t="s">
        <v>143</v>
      </c>
      <c r="AF249" t="s">
        <v>4054</v>
      </c>
      <c r="AH249" t="s">
        <v>3510</v>
      </c>
      <c r="AI249" t="s">
        <v>4082</v>
      </c>
      <c r="AL249" t="s">
        <v>4089</v>
      </c>
      <c r="AM249" t="s">
        <v>2230</v>
      </c>
      <c r="AO249">
        <v>2450</v>
      </c>
      <c r="AQ249">
        <v>82</v>
      </c>
      <c r="AS249" t="s">
        <v>4113</v>
      </c>
      <c r="AU249" t="s">
        <v>4128</v>
      </c>
      <c r="AW249">
        <v>1</v>
      </c>
      <c r="AY249" t="s">
        <v>4140</v>
      </c>
      <c r="BB249" t="s">
        <v>4154</v>
      </c>
      <c r="BF249" t="s">
        <v>4281</v>
      </c>
      <c r="BG249" t="s">
        <v>4054</v>
      </c>
      <c r="BM249" t="s">
        <v>4627</v>
      </c>
    </row>
    <row r="250" spans="1:65">
      <c r="A250" s="1">
        <f>HYPERLINK("https://lsnyc.legalserver.org/matter/dynamic-profile/view/1898336","19-1898336")</f>
        <v>0</v>
      </c>
      <c r="B250" t="s">
        <v>74</v>
      </c>
      <c r="C250" t="s">
        <v>93</v>
      </c>
      <c r="D250" t="s">
        <v>241</v>
      </c>
      <c r="F250" t="s">
        <v>652</v>
      </c>
      <c r="G250" t="s">
        <v>1186</v>
      </c>
      <c r="H250" t="s">
        <v>1611</v>
      </c>
      <c r="I250" t="s">
        <v>1926</v>
      </c>
      <c r="J250" t="s">
        <v>2205</v>
      </c>
      <c r="K250">
        <v>11216</v>
      </c>
      <c r="N250" t="s">
        <v>2233</v>
      </c>
      <c r="O250" t="s">
        <v>2436</v>
      </c>
      <c r="Q250" t="s">
        <v>3106</v>
      </c>
      <c r="R250">
        <v>2</v>
      </c>
      <c r="S250">
        <v>0</v>
      </c>
      <c r="T250">
        <v>324.01</v>
      </c>
      <c r="W250">
        <v>54790.06</v>
      </c>
      <c r="X250" t="s">
        <v>3519</v>
      </c>
      <c r="Y250">
        <v>0</v>
      </c>
      <c r="AA250" t="s">
        <v>90</v>
      </c>
      <c r="AC250" t="s">
        <v>3942</v>
      </c>
      <c r="AD250" t="s">
        <v>241</v>
      </c>
      <c r="AF250" t="s">
        <v>4061</v>
      </c>
      <c r="AH250" t="s">
        <v>3510</v>
      </c>
      <c r="AJ250" t="s">
        <v>3942</v>
      </c>
      <c r="AL250" t="s">
        <v>4089</v>
      </c>
      <c r="AM250" t="s">
        <v>2230</v>
      </c>
      <c r="AO250">
        <v>2075</v>
      </c>
      <c r="AQ250">
        <v>82</v>
      </c>
      <c r="AS250" t="s">
        <v>4113</v>
      </c>
      <c r="AU250" t="s">
        <v>4128</v>
      </c>
      <c r="AW250">
        <v>2</v>
      </c>
      <c r="AY250" t="s">
        <v>4140</v>
      </c>
      <c r="BA250" t="s">
        <v>4149</v>
      </c>
      <c r="BB250" t="s">
        <v>4154</v>
      </c>
      <c r="BF250" t="s">
        <v>4281</v>
      </c>
      <c r="BM250" t="s">
        <v>4627</v>
      </c>
    </row>
    <row r="251" spans="1:65">
      <c r="A251" s="1">
        <f>HYPERLINK("https://lsnyc.legalserver.org/matter/dynamic-profile/view/1895338","19-1895338")</f>
        <v>0</v>
      </c>
      <c r="B251" t="s">
        <v>74</v>
      </c>
      <c r="C251" t="s">
        <v>93</v>
      </c>
      <c r="D251" t="s">
        <v>99</v>
      </c>
      <c r="F251" t="s">
        <v>653</v>
      </c>
      <c r="G251" t="s">
        <v>1187</v>
      </c>
      <c r="H251" t="s">
        <v>1558</v>
      </c>
      <c r="I251" t="s">
        <v>1931</v>
      </c>
      <c r="J251" t="s">
        <v>2205</v>
      </c>
      <c r="K251">
        <v>11221</v>
      </c>
      <c r="N251" t="s">
        <v>2234</v>
      </c>
      <c r="O251" t="s">
        <v>2437</v>
      </c>
      <c r="Q251" t="s">
        <v>3107</v>
      </c>
      <c r="R251">
        <v>1</v>
      </c>
      <c r="S251">
        <v>0</v>
      </c>
      <c r="T251">
        <v>147.93</v>
      </c>
      <c r="W251">
        <v>18476.9</v>
      </c>
      <c r="Y251">
        <v>15.9</v>
      </c>
      <c r="Z251" t="s">
        <v>298</v>
      </c>
      <c r="AA251" t="s">
        <v>90</v>
      </c>
      <c r="AC251" t="s">
        <v>3942</v>
      </c>
      <c r="AD251" t="s">
        <v>99</v>
      </c>
      <c r="AF251" t="s">
        <v>4051</v>
      </c>
      <c r="AH251" t="s">
        <v>4077</v>
      </c>
      <c r="AJ251" t="s">
        <v>3942</v>
      </c>
      <c r="AL251" t="s">
        <v>4087</v>
      </c>
      <c r="AM251" t="s">
        <v>2230</v>
      </c>
      <c r="AO251">
        <v>1091.82</v>
      </c>
      <c r="AQ251">
        <v>12</v>
      </c>
      <c r="AS251" t="s">
        <v>4113</v>
      </c>
      <c r="AU251" t="s">
        <v>4129</v>
      </c>
      <c r="AW251">
        <v>12</v>
      </c>
      <c r="AY251" t="s">
        <v>4140</v>
      </c>
      <c r="BA251" t="s">
        <v>4149</v>
      </c>
      <c r="BC251" t="s">
        <v>4155</v>
      </c>
      <c r="BE251" t="s">
        <v>4162</v>
      </c>
      <c r="BF251" t="s">
        <v>4281</v>
      </c>
      <c r="BM251" t="s">
        <v>4627</v>
      </c>
    </row>
    <row r="252" spans="1:65">
      <c r="A252" s="1">
        <f>HYPERLINK("https://lsnyc.legalserver.org/matter/dynamic-profile/view/1878063","18-1878063")</f>
        <v>0</v>
      </c>
      <c r="B252" t="s">
        <v>74</v>
      </c>
      <c r="C252" t="s">
        <v>93</v>
      </c>
      <c r="D252" t="s">
        <v>232</v>
      </c>
      <c r="F252" t="s">
        <v>646</v>
      </c>
      <c r="G252" t="s">
        <v>1181</v>
      </c>
      <c r="H252" t="s">
        <v>1611</v>
      </c>
      <c r="I252" t="s">
        <v>1953</v>
      </c>
      <c r="J252" t="s">
        <v>2205</v>
      </c>
      <c r="K252">
        <v>11216</v>
      </c>
      <c r="N252" t="s">
        <v>2233</v>
      </c>
      <c r="O252" t="s">
        <v>2429</v>
      </c>
      <c r="Q252" t="s">
        <v>3100</v>
      </c>
      <c r="R252">
        <v>2</v>
      </c>
      <c r="S252">
        <v>0</v>
      </c>
      <c r="T252">
        <v>516.4</v>
      </c>
      <c r="U252" t="s">
        <v>3450</v>
      </c>
      <c r="V252" t="s">
        <v>3458</v>
      </c>
      <c r="W252">
        <v>85000</v>
      </c>
      <c r="X252" t="s">
        <v>3491</v>
      </c>
      <c r="Y252">
        <v>0</v>
      </c>
      <c r="AA252" t="s">
        <v>90</v>
      </c>
      <c r="AC252" t="s">
        <v>3942</v>
      </c>
      <c r="AD252" t="s">
        <v>227</v>
      </c>
      <c r="AF252" t="s">
        <v>4054</v>
      </c>
      <c r="AH252" t="s">
        <v>3510</v>
      </c>
      <c r="AI252" t="s">
        <v>4082</v>
      </c>
      <c r="AL252" t="s">
        <v>4089</v>
      </c>
      <c r="AM252" t="s">
        <v>2230</v>
      </c>
      <c r="AO252">
        <v>1390</v>
      </c>
      <c r="AQ252">
        <v>82</v>
      </c>
      <c r="AS252" t="s">
        <v>4113</v>
      </c>
      <c r="AU252" t="s">
        <v>4128</v>
      </c>
      <c r="AW252">
        <v>7</v>
      </c>
      <c r="AY252" t="s">
        <v>4140</v>
      </c>
      <c r="BB252" t="s">
        <v>4154</v>
      </c>
      <c r="BF252" t="s">
        <v>4281</v>
      </c>
      <c r="BG252" t="s">
        <v>4054</v>
      </c>
      <c r="BM252" t="s">
        <v>4627</v>
      </c>
    </row>
    <row r="253" spans="1:65">
      <c r="A253" s="1">
        <f>HYPERLINK("https://lsnyc.legalserver.org/matter/dynamic-profile/view/1876803","18-1876803")</f>
        <v>0</v>
      </c>
      <c r="B253" t="s">
        <v>74</v>
      </c>
      <c r="C253" t="s">
        <v>93</v>
      </c>
      <c r="D253" t="s">
        <v>227</v>
      </c>
      <c r="F253" t="s">
        <v>647</v>
      </c>
      <c r="G253" t="s">
        <v>1182</v>
      </c>
      <c r="H253" t="s">
        <v>1611</v>
      </c>
      <c r="I253" t="s">
        <v>1999</v>
      </c>
      <c r="J253" t="s">
        <v>2205</v>
      </c>
      <c r="K253">
        <v>11216</v>
      </c>
      <c r="N253" t="s">
        <v>2233</v>
      </c>
      <c r="O253" t="s">
        <v>2430</v>
      </c>
      <c r="P253" t="s">
        <v>2930</v>
      </c>
      <c r="R253">
        <v>1</v>
      </c>
      <c r="S253">
        <v>0</v>
      </c>
      <c r="T253">
        <v>823.72</v>
      </c>
      <c r="W253">
        <v>100000</v>
      </c>
      <c r="X253" t="s">
        <v>3520</v>
      </c>
      <c r="Y253">
        <v>0</v>
      </c>
      <c r="AA253" t="s">
        <v>90</v>
      </c>
      <c r="AC253" t="s">
        <v>3942</v>
      </c>
      <c r="AD253" t="s">
        <v>143</v>
      </c>
      <c r="AF253" t="s">
        <v>4062</v>
      </c>
      <c r="AH253" t="s">
        <v>4076</v>
      </c>
      <c r="AJ253" t="s">
        <v>3942</v>
      </c>
      <c r="AL253" t="s">
        <v>4089</v>
      </c>
      <c r="AM253" t="s">
        <v>2230</v>
      </c>
      <c r="AO253">
        <v>1550</v>
      </c>
      <c r="AQ253">
        <v>82</v>
      </c>
      <c r="AS253" t="s">
        <v>4113</v>
      </c>
      <c r="AU253" t="s">
        <v>4128</v>
      </c>
      <c r="AW253">
        <v>1</v>
      </c>
      <c r="AY253" t="s">
        <v>4140</v>
      </c>
      <c r="BB253" t="s">
        <v>4154</v>
      </c>
      <c r="BG253" t="s">
        <v>4404</v>
      </c>
      <c r="BM253" t="s">
        <v>4627</v>
      </c>
    </row>
    <row r="254" spans="1:65">
      <c r="A254" s="1">
        <f>HYPERLINK("https://lsnyc.legalserver.org/matter/dynamic-profile/view/1871979","18-1871979")</f>
        <v>0</v>
      </c>
      <c r="B254" t="s">
        <v>74</v>
      </c>
      <c r="C254" t="s">
        <v>93</v>
      </c>
      <c r="D254" t="s">
        <v>243</v>
      </c>
      <c r="F254" t="s">
        <v>633</v>
      </c>
      <c r="G254" t="s">
        <v>1166</v>
      </c>
      <c r="H254" t="s">
        <v>1687</v>
      </c>
      <c r="I254" t="s">
        <v>1933</v>
      </c>
      <c r="J254" t="s">
        <v>2205</v>
      </c>
      <c r="K254">
        <v>11233</v>
      </c>
      <c r="N254" t="s">
        <v>2233</v>
      </c>
      <c r="O254" t="s">
        <v>2415</v>
      </c>
      <c r="Q254" t="s">
        <v>3087</v>
      </c>
      <c r="R254">
        <v>1</v>
      </c>
      <c r="S254">
        <v>0</v>
      </c>
      <c r="T254">
        <v>41.19</v>
      </c>
      <c r="W254">
        <v>5000</v>
      </c>
      <c r="Y254">
        <v>64</v>
      </c>
      <c r="Z254" t="s">
        <v>176</v>
      </c>
      <c r="AA254" t="s">
        <v>74</v>
      </c>
      <c r="AC254" t="s">
        <v>3942</v>
      </c>
      <c r="AD254" t="s">
        <v>243</v>
      </c>
      <c r="AF254" t="s">
        <v>4050</v>
      </c>
      <c r="AH254" t="s">
        <v>4076</v>
      </c>
      <c r="AJ254" t="s">
        <v>3943</v>
      </c>
      <c r="AL254" t="s">
        <v>4086</v>
      </c>
      <c r="AM254" t="s">
        <v>2230</v>
      </c>
      <c r="AO254">
        <v>650.39</v>
      </c>
      <c r="AQ254">
        <v>23</v>
      </c>
      <c r="AS254" t="s">
        <v>4113</v>
      </c>
      <c r="AU254" t="s">
        <v>4135</v>
      </c>
      <c r="AW254">
        <v>4</v>
      </c>
      <c r="AY254" t="s">
        <v>4140</v>
      </c>
      <c r="BA254" t="s">
        <v>4149</v>
      </c>
      <c r="BB254" t="s">
        <v>4154</v>
      </c>
      <c r="BE254" t="s">
        <v>4207</v>
      </c>
      <c r="BG254" t="s">
        <v>4411</v>
      </c>
      <c r="BM254" t="s">
        <v>4627</v>
      </c>
    </row>
    <row r="255" spans="1:65">
      <c r="A255" s="1">
        <f>HYPERLINK("https://lsnyc.legalserver.org/matter/dynamic-profile/view/1915683","19-1915683")</f>
        <v>0</v>
      </c>
      <c r="B255" t="s">
        <v>74</v>
      </c>
      <c r="C255" t="s">
        <v>93</v>
      </c>
      <c r="D255" t="s">
        <v>122</v>
      </c>
      <c r="F255" t="s">
        <v>654</v>
      </c>
      <c r="G255" t="s">
        <v>1030</v>
      </c>
      <c r="H255" t="s">
        <v>1692</v>
      </c>
      <c r="I255">
        <v>1</v>
      </c>
      <c r="J255" t="s">
        <v>2205</v>
      </c>
      <c r="K255">
        <v>11207</v>
      </c>
      <c r="N255" t="s">
        <v>2233</v>
      </c>
      <c r="O255" t="s">
        <v>2438</v>
      </c>
      <c r="Q255" t="s">
        <v>3108</v>
      </c>
      <c r="R255">
        <v>2</v>
      </c>
      <c r="S255">
        <v>2</v>
      </c>
      <c r="T255">
        <v>121.17</v>
      </c>
      <c r="W255">
        <v>31200</v>
      </c>
      <c r="Y255">
        <v>0</v>
      </c>
      <c r="AA255" t="s">
        <v>70</v>
      </c>
      <c r="AB255" t="s">
        <v>3940</v>
      </c>
      <c r="AC255" t="s">
        <v>3944</v>
      </c>
      <c r="AF255" t="s">
        <v>4050</v>
      </c>
      <c r="AG255" t="s">
        <v>4075</v>
      </c>
      <c r="AJ255" t="s">
        <v>3943</v>
      </c>
      <c r="AL255" t="s">
        <v>4095</v>
      </c>
      <c r="AM255" t="s">
        <v>2230</v>
      </c>
      <c r="AO255">
        <v>2400</v>
      </c>
      <c r="AQ255">
        <v>2</v>
      </c>
      <c r="AS255" t="s">
        <v>4114</v>
      </c>
      <c r="AU255" t="s">
        <v>4128</v>
      </c>
      <c r="AW255">
        <v>4</v>
      </c>
      <c r="AY255" t="s">
        <v>4140</v>
      </c>
      <c r="AZ255" t="s">
        <v>4148</v>
      </c>
      <c r="BB255" t="s">
        <v>4154</v>
      </c>
      <c r="BE255" t="s">
        <v>4128</v>
      </c>
      <c r="BG255" t="s">
        <v>4412</v>
      </c>
      <c r="BM255" t="s">
        <v>4627</v>
      </c>
    </row>
    <row r="256" spans="1:65">
      <c r="A256" s="1">
        <f>HYPERLINK("https://lsnyc.legalserver.org/matter/dynamic-profile/view/1876749","18-1876749")</f>
        <v>0</v>
      </c>
      <c r="B256" t="s">
        <v>74</v>
      </c>
      <c r="C256" t="s">
        <v>93</v>
      </c>
      <c r="D256" t="s">
        <v>227</v>
      </c>
      <c r="F256" t="s">
        <v>644</v>
      </c>
      <c r="G256" t="s">
        <v>1178</v>
      </c>
      <c r="H256" t="s">
        <v>1611</v>
      </c>
      <c r="I256" t="s">
        <v>1997</v>
      </c>
      <c r="J256" t="s">
        <v>2205</v>
      </c>
      <c r="K256">
        <v>11216</v>
      </c>
      <c r="N256" t="s">
        <v>2233</v>
      </c>
      <c r="O256" t="s">
        <v>2426</v>
      </c>
      <c r="P256" t="s">
        <v>2930</v>
      </c>
      <c r="R256">
        <v>1</v>
      </c>
      <c r="S256">
        <v>0</v>
      </c>
      <c r="T256">
        <v>535.42</v>
      </c>
      <c r="U256" t="s">
        <v>3450</v>
      </c>
      <c r="V256" t="s">
        <v>3458</v>
      </c>
      <c r="W256">
        <v>65000</v>
      </c>
      <c r="X256" t="s">
        <v>3491</v>
      </c>
      <c r="Y256">
        <v>0</v>
      </c>
      <c r="AA256" t="s">
        <v>90</v>
      </c>
      <c r="AC256" t="s">
        <v>3942</v>
      </c>
      <c r="AD256" t="s">
        <v>143</v>
      </c>
      <c r="AF256" t="s">
        <v>4054</v>
      </c>
      <c r="AH256" t="s">
        <v>3510</v>
      </c>
      <c r="AI256" t="s">
        <v>4082</v>
      </c>
      <c r="AL256" t="s">
        <v>4089</v>
      </c>
      <c r="AM256" t="s">
        <v>2230</v>
      </c>
      <c r="AO256">
        <v>2450</v>
      </c>
      <c r="AQ256">
        <v>82</v>
      </c>
      <c r="AS256" t="s">
        <v>4113</v>
      </c>
      <c r="AU256" t="s">
        <v>4128</v>
      </c>
      <c r="AW256">
        <v>1</v>
      </c>
      <c r="AY256" t="s">
        <v>4140</v>
      </c>
      <c r="BB256" t="s">
        <v>4154</v>
      </c>
      <c r="BF256" t="s">
        <v>4281</v>
      </c>
      <c r="BM256" t="s">
        <v>4627</v>
      </c>
    </row>
    <row r="257" spans="1:65">
      <c r="A257" s="1">
        <f>HYPERLINK("https://lsnyc.legalserver.org/matter/dynamic-profile/view/1893325","19-1893325")</f>
        <v>0</v>
      </c>
      <c r="B257" t="s">
        <v>74</v>
      </c>
      <c r="C257" t="s">
        <v>93</v>
      </c>
      <c r="D257" t="s">
        <v>145</v>
      </c>
      <c r="F257" t="s">
        <v>655</v>
      </c>
      <c r="G257" t="s">
        <v>1188</v>
      </c>
      <c r="H257" t="s">
        <v>1693</v>
      </c>
      <c r="I257" t="s">
        <v>2002</v>
      </c>
      <c r="J257" t="s">
        <v>2205</v>
      </c>
      <c r="K257">
        <v>11212</v>
      </c>
      <c r="N257" t="s">
        <v>2233</v>
      </c>
      <c r="O257" t="s">
        <v>2439</v>
      </c>
      <c r="Q257" t="s">
        <v>3109</v>
      </c>
      <c r="R257">
        <v>2</v>
      </c>
      <c r="S257">
        <v>0</v>
      </c>
      <c r="T257">
        <v>351.79</v>
      </c>
      <c r="W257">
        <v>59488</v>
      </c>
      <c r="X257" t="s">
        <v>3521</v>
      </c>
      <c r="Y257">
        <v>0.1</v>
      </c>
      <c r="Z257" t="s">
        <v>3829</v>
      </c>
      <c r="AA257" t="s">
        <v>70</v>
      </c>
      <c r="AC257" t="s">
        <v>3942</v>
      </c>
      <c r="AD257" t="s">
        <v>408</v>
      </c>
      <c r="AF257" t="s">
        <v>4059</v>
      </c>
      <c r="AH257" t="s">
        <v>4081</v>
      </c>
      <c r="AJ257" t="s">
        <v>3942</v>
      </c>
      <c r="AL257" t="s">
        <v>4087</v>
      </c>
      <c r="AM257" t="s">
        <v>2230</v>
      </c>
      <c r="AO257">
        <v>1489</v>
      </c>
      <c r="AQ257">
        <v>38</v>
      </c>
      <c r="AS257" t="s">
        <v>4113</v>
      </c>
      <c r="AU257" t="s">
        <v>4128</v>
      </c>
      <c r="AW257">
        <v>6</v>
      </c>
      <c r="AY257" t="s">
        <v>4140</v>
      </c>
      <c r="BA257" t="s">
        <v>4149</v>
      </c>
      <c r="BC257" t="s">
        <v>4155</v>
      </c>
      <c r="BE257" t="s">
        <v>4128</v>
      </c>
      <c r="BF257" t="s">
        <v>4281</v>
      </c>
      <c r="BG257" t="s">
        <v>4327</v>
      </c>
      <c r="BM257" t="s">
        <v>4627</v>
      </c>
    </row>
    <row r="258" spans="1:65">
      <c r="A258" s="1">
        <f>HYPERLINK("https://lsnyc.legalserver.org/matter/dynamic-profile/view/1893328","19-1893328")</f>
        <v>0</v>
      </c>
      <c r="B258" t="s">
        <v>74</v>
      </c>
      <c r="C258" t="s">
        <v>93</v>
      </c>
      <c r="D258" t="s">
        <v>145</v>
      </c>
      <c r="F258" t="s">
        <v>655</v>
      </c>
      <c r="G258" t="s">
        <v>1188</v>
      </c>
      <c r="H258" t="s">
        <v>1693</v>
      </c>
      <c r="I258" t="s">
        <v>2002</v>
      </c>
      <c r="J258" t="s">
        <v>2205</v>
      </c>
      <c r="K258">
        <v>11212</v>
      </c>
      <c r="N258" t="s">
        <v>2233</v>
      </c>
      <c r="O258" t="s">
        <v>2439</v>
      </c>
      <c r="Q258" t="s">
        <v>3109</v>
      </c>
      <c r="R258">
        <v>2</v>
      </c>
      <c r="S258">
        <v>0</v>
      </c>
      <c r="T258">
        <v>351.79</v>
      </c>
      <c r="W258">
        <v>59488</v>
      </c>
      <c r="X258" t="s">
        <v>3521</v>
      </c>
      <c r="Y258">
        <v>0</v>
      </c>
      <c r="AA258" t="s">
        <v>70</v>
      </c>
      <c r="AC258" t="s">
        <v>3942</v>
      </c>
      <c r="AD258" t="s">
        <v>408</v>
      </c>
      <c r="AF258" t="s">
        <v>4054</v>
      </c>
      <c r="AH258" t="s">
        <v>3510</v>
      </c>
      <c r="AJ258" t="s">
        <v>3942</v>
      </c>
      <c r="AL258" t="s">
        <v>4087</v>
      </c>
      <c r="AM258" t="s">
        <v>2230</v>
      </c>
      <c r="AO258">
        <v>1489</v>
      </c>
      <c r="AQ258">
        <v>38</v>
      </c>
      <c r="AS258" t="s">
        <v>4113</v>
      </c>
      <c r="AU258" t="s">
        <v>4128</v>
      </c>
      <c r="AW258">
        <v>6</v>
      </c>
      <c r="AY258" t="s">
        <v>4140</v>
      </c>
      <c r="BA258" t="s">
        <v>4149</v>
      </c>
      <c r="BC258" t="s">
        <v>4155</v>
      </c>
      <c r="BE258" t="s">
        <v>4128</v>
      </c>
      <c r="BF258" t="s">
        <v>4281</v>
      </c>
      <c r="BG258" t="s">
        <v>4128</v>
      </c>
      <c r="BM258" t="s">
        <v>4627</v>
      </c>
    </row>
    <row r="259" spans="1:65">
      <c r="A259" s="1">
        <f>HYPERLINK("https://lsnyc.legalserver.org/matter/dynamic-profile/view/1876914","18-1876914")</f>
        <v>0</v>
      </c>
      <c r="B259" t="s">
        <v>74</v>
      </c>
      <c r="C259" t="s">
        <v>93</v>
      </c>
      <c r="D259" t="s">
        <v>230</v>
      </c>
      <c r="F259" t="s">
        <v>632</v>
      </c>
      <c r="G259" t="s">
        <v>1165</v>
      </c>
      <c r="H259" t="s">
        <v>1611</v>
      </c>
      <c r="I259" t="s">
        <v>1986</v>
      </c>
      <c r="J259" t="s">
        <v>2205</v>
      </c>
      <c r="K259">
        <v>11216</v>
      </c>
      <c r="N259" t="s">
        <v>2233</v>
      </c>
      <c r="O259" t="s">
        <v>2414</v>
      </c>
      <c r="Q259" t="s">
        <v>3086</v>
      </c>
      <c r="R259">
        <v>1</v>
      </c>
      <c r="S259">
        <v>0</v>
      </c>
      <c r="T259">
        <v>494.23</v>
      </c>
      <c r="U259" t="s">
        <v>3450</v>
      </c>
      <c r="V259" t="s">
        <v>3458</v>
      </c>
      <c r="W259">
        <v>60000</v>
      </c>
      <c r="X259" t="s">
        <v>3522</v>
      </c>
      <c r="Y259">
        <v>0</v>
      </c>
      <c r="AA259" t="s">
        <v>90</v>
      </c>
      <c r="AC259" t="s">
        <v>3942</v>
      </c>
      <c r="AD259" t="s">
        <v>3972</v>
      </c>
      <c r="AF259" t="s">
        <v>4062</v>
      </c>
      <c r="AH259" t="s">
        <v>4076</v>
      </c>
      <c r="AJ259" t="s">
        <v>3942</v>
      </c>
      <c r="AL259" t="s">
        <v>4089</v>
      </c>
      <c r="AM259" t="s">
        <v>2230</v>
      </c>
      <c r="AO259">
        <v>2200</v>
      </c>
      <c r="AQ259">
        <v>82</v>
      </c>
      <c r="AS259" t="s">
        <v>4113</v>
      </c>
      <c r="AU259" t="s">
        <v>4128</v>
      </c>
      <c r="AW259">
        <v>1</v>
      </c>
      <c r="AY259" t="s">
        <v>4140</v>
      </c>
      <c r="BB259" t="s">
        <v>4154</v>
      </c>
      <c r="BG259" t="s">
        <v>4404</v>
      </c>
      <c r="BM259" t="s">
        <v>4627</v>
      </c>
    </row>
    <row r="260" spans="1:65">
      <c r="A260" s="1">
        <f>HYPERLINK("https://lsnyc.legalserver.org/matter/dynamic-profile/view/1881503","18-1881503")</f>
        <v>0</v>
      </c>
      <c r="B260" t="s">
        <v>74</v>
      </c>
      <c r="C260" t="s">
        <v>93</v>
      </c>
      <c r="D260" t="s">
        <v>228</v>
      </c>
      <c r="F260" t="s">
        <v>656</v>
      </c>
      <c r="G260" t="s">
        <v>534</v>
      </c>
      <c r="H260" t="s">
        <v>1611</v>
      </c>
      <c r="I260" t="s">
        <v>1925</v>
      </c>
      <c r="J260" t="s">
        <v>2205</v>
      </c>
      <c r="K260">
        <v>11216</v>
      </c>
      <c r="N260" t="s">
        <v>2233</v>
      </c>
      <c r="O260" t="s">
        <v>2440</v>
      </c>
      <c r="Q260" t="s">
        <v>3110</v>
      </c>
      <c r="R260">
        <v>1</v>
      </c>
      <c r="S260">
        <v>0</v>
      </c>
      <c r="T260">
        <v>708.4</v>
      </c>
      <c r="V260" t="s">
        <v>3458</v>
      </c>
      <c r="W260">
        <v>86000</v>
      </c>
      <c r="X260" t="s">
        <v>3523</v>
      </c>
      <c r="Y260">
        <v>0</v>
      </c>
      <c r="AA260" t="s">
        <v>90</v>
      </c>
      <c r="AC260" t="s">
        <v>3942</v>
      </c>
      <c r="AD260" t="s">
        <v>3978</v>
      </c>
      <c r="AF260" t="s">
        <v>4062</v>
      </c>
      <c r="AH260" t="s">
        <v>4076</v>
      </c>
      <c r="AJ260" t="s">
        <v>3942</v>
      </c>
      <c r="AL260" t="s">
        <v>4089</v>
      </c>
      <c r="AM260" t="s">
        <v>2230</v>
      </c>
      <c r="AO260">
        <v>1450</v>
      </c>
      <c r="AQ260">
        <v>8</v>
      </c>
      <c r="AS260" t="s">
        <v>4113</v>
      </c>
      <c r="AU260" t="s">
        <v>4128</v>
      </c>
      <c r="AW260">
        <v>2</v>
      </c>
      <c r="AY260" t="s">
        <v>4140</v>
      </c>
      <c r="BA260" t="s">
        <v>4149</v>
      </c>
      <c r="BB260" t="s">
        <v>4154</v>
      </c>
      <c r="BE260" t="s">
        <v>4128</v>
      </c>
      <c r="BG260" t="s">
        <v>4404</v>
      </c>
      <c r="BM260" t="s">
        <v>4627</v>
      </c>
    </row>
    <row r="261" spans="1:65">
      <c r="A261" s="1">
        <f>HYPERLINK("https://lsnyc.legalserver.org/matter/dynamic-profile/view/1893317","19-1893317")</f>
        <v>0</v>
      </c>
      <c r="B261" t="s">
        <v>74</v>
      </c>
      <c r="C261" t="s">
        <v>93</v>
      </c>
      <c r="D261" t="s">
        <v>145</v>
      </c>
      <c r="F261" t="s">
        <v>655</v>
      </c>
      <c r="G261" t="s">
        <v>1188</v>
      </c>
      <c r="H261" t="s">
        <v>1693</v>
      </c>
      <c r="I261" t="s">
        <v>2002</v>
      </c>
      <c r="J261" t="s">
        <v>2205</v>
      </c>
      <c r="K261">
        <v>11212</v>
      </c>
      <c r="N261" t="s">
        <v>2233</v>
      </c>
      <c r="O261" t="s">
        <v>2439</v>
      </c>
      <c r="Q261" t="s">
        <v>3109</v>
      </c>
      <c r="R261">
        <v>2</v>
      </c>
      <c r="S261">
        <v>0</v>
      </c>
      <c r="T261">
        <v>351.79</v>
      </c>
      <c r="W261">
        <v>59488</v>
      </c>
      <c r="Y261">
        <v>0.1</v>
      </c>
      <c r="Z261" t="s">
        <v>3829</v>
      </c>
      <c r="AA261" t="s">
        <v>70</v>
      </c>
      <c r="AC261" t="s">
        <v>3942</v>
      </c>
      <c r="AD261" t="s">
        <v>408</v>
      </c>
      <c r="AF261" t="s">
        <v>4058</v>
      </c>
      <c r="AH261" t="s">
        <v>4081</v>
      </c>
      <c r="AJ261" t="s">
        <v>3942</v>
      </c>
      <c r="AL261" t="s">
        <v>4087</v>
      </c>
      <c r="AM261" t="s">
        <v>2230</v>
      </c>
      <c r="AO261">
        <v>1489</v>
      </c>
      <c r="AQ261">
        <v>38</v>
      </c>
      <c r="AS261" t="s">
        <v>4113</v>
      </c>
      <c r="AU261" t="s">
        <v>4128</v>
      </c>
      <c r="AW261">
        <v>6</v>
      </c>
      <c r="AY261" t="s">
        <v>4140</v>
      </c>
      <c r="BA261" t="s">
        <v>4149</v>
      </c>
      <c r="BB261" t="s">
        <v>4154</v>
      </c>
      <c r="BF261" t="s">
        <v>4281</v>
      </c>
      <c r="BG261" t="s">
        <v>4054</v>
      </c>
      <c r="BM261" t="s">
        <v>4627</v>
      </c>
    </row>
    <row r="262" spans="1:65">
      <c r="A262" s="1">
        <f>HYPERLINK("https://lsnyc.legalserver.org/matter/dynamic-profile/view/1910038","19-1910038")</f>
        <v>0</v>
      </c>
      <c r="B262" t="s">
        <v>74</v>
      </c>
      <c r="C262" t="s">
        <v>93</v>
      </c>
      <c r="D262" t="s">
        <v>244</v>
      </c>
      <c r="F262" t="s">
        <v>503</v>
      </c>
      <c r="G262" t="s">
        <v>1039</v>
      </c>
      <c r="H262" t="s">
        <v>1694</v>
      </c>
      <c r="J262" t="s">
        <v>2205</v>
      </c>
      <c r="K262">
        <v>11212</v>
      </c>
      <c r="N262" t="s">
        <v>2233</v>
      </c>
      <c r="O262" t="s">
        <v>2441</v>
      </c>
      <c r="Q262" t="s">
        <v>3111</v>
      </c>
      <c r="R262">
        <v>3</v>
      </c>
      <c r="S262">
        <v>1</v>
      </c>
      <c r="T262">
        <v>161.48</v>
      </c>
      <c r="W262">
        <v>41580</v>
      </c>
      <c r="Y262">
        <v>4.4</v>
      </c>
      <c r="Z262" t="s">
        <v>388</v>
      </c>
      <c r="AA262" t="s">
        <v>3890</v>
      </c>
      <c r="AC262" t="s">
        <v>3942</v>
      </c>
      <c r="AD262" t="s">
        <v>178</v>
      </c>
      <c r="AF262" t="s">
        <v>4050</v>
      </c>
      <c r="AH262" t="s">
        <v>3510</v>
      </c>
      <c r="AJ262" t="s">
        <v>3943</v>
      </c>
      <c r="AK262" t="s">
        <v>4084</v>
      </c>
      <c r="AM262" t="s">
        <v>2230</v>
      </c>
      <c r="AO262">
        <v>900</v>
      </c>
      <c r="AQ262">
        <v>2</v>
      </c>
      <c r="AS262" t="s">
        <v>4114</v>
      </c>
      <c r="AU262" t="s">
        <v>4070</v>
      </c>
      <c r="AW262">
        <v>17</v>
      </c>
      <c r="AY262" t="s">
        <v>4140</v>
      </c>
      <c r="BA262" t="s">
        <v>4149</v>
      </c>
      <c r="BC262" t="s">
        <v>4155</v>
      </c>
      <c r="BE262" t="s">
        <v>4162</v>
      </c>
      <c r="BG262" t="s">
        <v>4413</v>
      </c>
      <c r="BM262" t="s">
        <v>4627</v>
      </c>
    </row>
    <row r="263" spans="1:65">
      <c r="A263" s="1">
        <f>HYPERLINK("https://lsnyc.legalserver.org/matter/dynamic-profile/view/1878057","18-1878057")</f>
        <v>0</v>
      </c>
      <c r="B263" t="s">
        <v>74</v>
      </c>
      <c r="C263" t="s">
        <v>93</v>
      </c>
      <c r="D263" t="s">
        <v>232</v>
      </c>
      <c r="F263" t="s">
        <v>515</v>
      </c>
      <c r="G263" t="s">
        <v>1189</v>
      </c>
      <c r="H263" t="s">
        <v>1611</v>
      </c>
      <c r="I263" t="s">
        <v>2003</v>
      </c>
      <c r="J263" t="s">
        <v>2205</v>
      </c>
      <c r="K263">
        <v>11216</v>
      </c>
      <c r="N263" t="s">
        <v>2233</v>
      </c>
      <c r="O263" t="s">
        <v>2442</v>
      </c>
      <c r="P263" t="s">
        <v>2930</v>
      </c>
      <c r="R263">
        <v>1</v>
      </c>
      <c r="S263">
        <v>0</v>
      </c>
      <c r="T263">
        <v>428.34</v>
      </c>
      <c r="U263" t="s">
        <v>3450</v>
      </c>
      <c r="V263" t="s">
        <v>3458</v>
      </c>
      <c r="W263">
        <v>52000</v>
      </c>
      <c r="X263" t="s">
        <v>3491</v>
      </c>
      <c r="Y263">
        <v>0</v>
      </c>
      <c r="AA263" t="s">
        <v>90</v>
      </c>
      <c r="AC263" t="s">
        <v>3942</v>
      </c>
      <c r="AD263" t="s">
        <v>3979</v>
      </c>
      <c r="AF263" t="s">
        <v>4061</v>
      </c>
      <c r="AH263" t="s">
        <v>3510</v>
      </c>
      <c r="AI263" t="s">
        <v>4082</v>
      </c>
      <c r="AL263" t="s">
        <v>4089</v>
      </c>
      <c r="AM263" t="s">
        <v>2230</v>
      </c>
      <c r="AO263">
        <v>1088</v>
      </c>
      <c r="AQ263">
        <v>82</v>
      </c>
      <c r="AS263" t="s">
        <v>4113</v>
      </c>
      <c r="AU263" t="s">
        <v>4128</v>
      </c>
      <c r="AV263" t="s">
        <v>4137</v>
      </c>
      <c r="AW263">
        <v>0</v>
      </c>
      <c r="AY263" t="s">
        <v>4140</v>
      </c>
      <c r="BB263" t="s">
        <v>4154</v>
      </c>
      <c r="BF263" t="s">
        <v>4281</v>
      </c>
      <c r="BG263" t="s">
        <v>4054</v>
      </c>
      <c r="BM263" t="s">
        <v>4627</v>
      </c>
    </row>
    <row r="264" spans="1:65">
      <c r="A264" s="1">
        <f>HYPERLINK("https://lsnyc.legalserver.org/matter/dynamic-profile/view/1903202","19-1903202")</f>
        <v>0</v>
      </c>
      <c r="B264" t="s">
        <v>74</v>
      </c>
      <c r="C264" t="s">
        <v>93</v>
      </c>
      <c r="D264" t="s">
        <v>245</v>
      </c>
      <c r="F264" t="s">
        <v>657</v>
      </c>
      <c r="G264" t="s">
        <v>1190</v>
      </c>
      <c r="H264" t="s">
        <v>1611</v>
      </c>
      <c r="I264" t="s">
        <v>1979</v>
      </c>
      <c r="J264" t="s">
        <v>2205</v>
      </c>
      <c r="K264">
        <v>11216</v>
      </c>
      <c r="N264" t="s">
        <v>2233</v>
      </c>
      <c r="O264" t="s">
        <v>2443</v>
      </c>
      <c r="Q264" t="s">
        <v>3112</v>
      </c>
      <c r="R264">
        <v>2</v>
      </c>
      <c r="S264">
        <v>0</v>
      </c>
      <c r="T264">
        <v>650.5</v>
      </c>
      <c r="W264">
        <v>110000</v>
      </c>
      <c r="X264" t="s">
        <v>3524</v>
      </c>
      <c r="Y264">
        <v>0</v>
      </c>
      <c r="AA264" t="s">
        <v>90</v>
      </c>
      <c r="AC264" t="s">
        <v>3942</v>
      </c>
      <c r="AD264" t="s">
        <v>245</v>
      </c>
      <c r="AF264" t="s">
        <v>4054</v>
      </c>
      <c r="AH264" t="s">
        <v>3510</v>
      </c>
      <c r="AJ264" t="s">
        <v>3942</v>
      </c>
      <c r="AL264" t="s">
        <v>4089</v>
      </c>
      <c r="AM264" t="s">
        <v>2230</v>
      </c>
      <c r="AO264">
        <v>2500</v>
      </c>
      <c r="AQ264">
        <v>82</v>
      </c>
      <c r="AS264" t="s">
        <v>4113</v>
      </c>
      <c r="AU264" t="s">
        <v>4128</v>
      </c>
      <c r="AW264">
        <v>5</v>
      </c>
      <c r="AY264" t="s">
        <v>4145</v>
      </c>
      <c r="BA264" t="s">
        <v>4149</v>
      </c>
      <c r="BC264" t="s">
        <v>4155</v>
      </c>
      <c r="BE264" t="s">
        <v>4128</v>
      </c>
      <c r="BF264" t="s">
        <v>4281</v>
      </c>
      <c r="BG264" t="s">
        <v>4303</v>
      </c>
      <c r="BM264" t="s">
        <v>4627</v>
      </c>
    </row>
    <row r="265" spans="1:65">
      <c r="A265" s="1">
        <f>HYPERLINK("https://lsnyc.legalserver.org/matter/dynamic-profile/view/1878058","18-1878058")</f>
        <v>0</v>
      </c>
      <c r="B265" t="s">
        <v>74</v>
      </c>
      <c r="C265" t="s">
        <v>93</v>
      </c>
      <c r="D265" t="s">
        <v>232</v>
      </c>
      <c r="F265" t="s">
        <v>515</v>
      </c>
      <c r="G265" t="s">
        <v>1189</v>
      </c>
      <c r="H265" t="s">
        <v>1611</v>
      </c>
      <c r="I265" t="s">
        <v>2003</v>
      </c>
      <c r="J265" t="s">
        <v>2205</v>
      </c>
      <c r="K265">
        <v>11216</v>
      </c>
      <c r="N265" t="s">
        <v>2233</v>
      </c>
      <c r="O265" t="s">
        <v>2442</v>
      </c>
      <c r="P265" t="s">
        <v>2930</v>
      </c>
      <c r="R265">
        <v>1</v>
      </c>
      <c r="S265">
        <v>0</v>
      </c>
      <c r="T265">
        <v>428.34</v>
      </c>
      <c r="U265" t="s">
        <v>3450</v>
      </c>
      <c r="V265" t="s">
        <v>3458</v>
      </c>
      <c r="W265">
        <v>52000</v>
      </c>
      <c r="X265" t="s">
        <v>3491</v>
      </c>
      <c r="Y265">
        <v>0</v>
      </c>
      <c r="AA265" t="s">
        <v>90</v>
      </c>
      <c r="AC265" t="s">
        <v>3942</v>
      </c>
      <c r="AD265" t="s">
        <v>3979</v>
      </c>
      <c r="AF265" t="s">
        <v>4062</v>
      </c>
      <c r="AH265" t="s">
        <v>4076</v>
      </c>
      <c r="AJ265" t="s">
        <v>3942</v>
      </c>
      <c r="AL265" t="s">
        <v>4089</v>
      </c>
      <c r="AM265" t="s">
        <v>2230</v>
      </c>
      <c r="AO265">
        <v>1088</v>
      </c>
      <c r="AQ265">
        <v>82</v>
      </c>
      <c r="AS265" t="s">
        <v>4113</v>
      </c>
      <c r="AU265" t="s">
        <v>4128</v>
      </c>
      <c r="AV265" t="s">
        <v>4137</v>
      </c>
      <c r="AW265">
        <v>0</v>
      </c>
      <c r="AY265" t="s">
        <v>4140</v>
      </c>
      <c r="BB265" t="s">
        <v>4154</v>
      </c>
      <c r="BG265" t="s">
        <v>4414</v>
      </c>
      <c r="BM265" t="s">
        <v>4627</v>
      </c>
    </row>
    <row r="266" spans="1:65">
      <c r="A266" s="1">
        <f>HYPERLINK("https://lsnyc.legalserver.org/matter/dynamic-profile/view/1902106","19-1902106")</f>
        <v>0</v>
      </c>
      <c r="B266" t="s">
        <v>74</v>
      </c>
      <c r="C266" t="s">
        <v>93</v>
      </c>
      <c r="D266" t="s">
        <v>240</v>
      </c>
      <c r="F266" t="s">
        <v>658</v>
      </c>
      <c r="G266" t="s">
        <v>1191</v>
      </c>
      <c r="H266" t="s">
        <v>1611</v>
      </c>
      <c r="I266" t="s">
        <v>2004</v>
      </c>
      <c r="J266" t="s">
        <v>2205</v>
      </c>
      <c r="K266">
        <v>11216</v>
      </c>
      <c r="N266" t="s">
        <v>2233</v>
      </c>
      <c r="O266" t="s">
        <v>2444</v>
      </c>
      <c r="Q266" t="s">
        <v>3113</v>
      </c>
      <c r="R266">
        <v>1</v>
      </c>
      <c r="S266">
        <v>0</v>
      </c>
      <c r="T266">
        <v>730.1799999999999</v>
      </c>
      <c r="W266">
        <v>91200</v>
      </c>
      <c r="X266" t="s">
        <v>3516</v>
      </c>
      <c r="Y266">
        <v>0</v>
      </c>
      <c r="AA266" t="s">
        <v>90</v>
      </c>
      <c r="AC266" t="s">
        <v>3942</v>
      </c>
      <c r="AD266" t="s">
        <v>240</v>
      </c>
      <c r="AF266" t="s">
        <v>4062</v>
      </c>
      <c r="AH266" t="s">
        <v>4076</v>
      </c>
      <c r="AJ266" t="s">
        <v>3942</v>
      </c>
      <c r="AL266" t="s">
        <v>4089</v>
      </c>
      <c r="AM266" t="s">
        <v>2230</v>
      </c>
      <c r="AN266" t="s">
        <v>4107</v>
      </c>
      <c r="AO266">
        <v>0</v>
      </c>
      <c r="AQ266">
        <v>82</v>
      </c>
      <c r="AS266" t="s">
        <v>4113</v>
      </c>
      <c r="AU266" t="s">
        <v>4128</v>
      </c>
      <c r="AV266" t="s">
        <v>4137</v>
      </c>
      <c r="AW266">
        <v>0</v>
      </c>
      <c r="AY266" t="s">
        <v>4144</v>
      </c>
      <c r="BA266" t="s">
        <v>4149</v>
      </c>
      <c r="BC266" t="s">
        <v>4155</v>
      </c>
      <c r="BE266" t="s">
        <v>4159</v>
      </c>
      <c r="BF266" t="s">
        <v>4281</v>
      </c>
      <c r="BG266" t="s">
        <v>4409</v>
      </c>
      <c r="BM266" t="s">
        <v>4627</v>
      </c>
    </row>
    <row r="267" spans="1:65">
      <c r="A267" s="1">
        <f>HYPERLINK("https://lsnyc.legalserver.org/matter/dynamic-profile/view/1876927","18-1876927")</f>
        <v>0</v>
      </c>
      <c r="B267" t="s">
        <v>74</v>
      </c>
      <c r="C267" t="s">
        <v>93</v>
      </c>
      <c r="D267" t="s">
        <v>230</v>
      </c>
      <c r="F267" t="s">
        <v>544</v>
      </c>
      <c r="G267" t="s">
        <v>1192</v>
      </c>
      <c r="H267" t="s">
        <v>1611</v>
      </c>
      <c r="I267" t="s">
        <v>2005</v>
      </c>
      <c r="J267" t="s">
        <v>2205</v>
      </c>
      <c r="K267">
        <v>11216</v>
      </c>
      <c r="N267" t="s">
        <v>2233</v>
      </c>
      <c r="O267" t="s">
        <v>2445</v>
      </c>
      <c r="P267" t="s">
        <v>2930</v>
      </c>
      <c r="R267">
        <v>1</v>
      </c>
      <c r="S267">
        <v>0</v>
      </c>
      <c r="T267">
        <v>453.05</v>
      </c>
      <c r="U267" t="s">
        <v>3450</v>
      </c>
      <c r="V267" t="s">
        <v>3458</v>
      </c>
      <c r="W267">
        <v>55000</v>
      </c>
      <c r="X267" t="s">
        <v>3525</v>
      </c>
      <c r="Y267">
        <v>0</v>
      </c>
      <c r="AA267" t="s">
        <v>90</v>
      </c>
      <c r="AC267" t="s">
        <v>3942</v>
      </c>
      <c r="AD267" t="s">
        <v>3980</v>
      </c>
      <c r="AF267" t="s">
        <v>4062</v>
      </c>
      <c r="AH267" t="s">
        <v>4076</v>
      </c>
      <c r="AJ267" t="s">
        <v>3942</v>
      </c>
      <c r="AL267" t="s">
        <v>4089</v>
      </c>
      <c r="AM267" t="s">
        <v>2230</v>
      </c>
      <c r="AO267">
        <v>1450</v>
      </c>
      <c r="AQ267">
        <v>82</v>
      </c>
      <c r="AS267" t="s">
        <v>4113</v>
      </c>
      <c r="AU267" t="s">
        <v>4128</v>
      </c>
      <c r="AW267">
        <v>1</v>
      </c>
      <c r="AY267" t="s">
        <v>4140</v>
      </c>
      <c r="BB267" t="s">
        <v>4154</v>
      </c>
      <c r="BG267" t="s">
        <v>4404</v>
      </c>
      <c r="BM267" t="s">
        <v>4627</v>
      </c>
    </row>
    <row r="268" spans="1:65">
      <c r="A268" s="1">
        <f>HYPERLINK("https://lsnyc.legalserver.org/matter/dynamic-profile/view/1908229","19-1908229")</f>
        <v>0</v>
      </c>
      <c r="B268" t="s">
        <v>74</v>
      </c>
      <c r="C268" t="s">
        <v>93</v>
      </c>
      <c r="D268" t="s">
        <v>246</v>
      </c>
      <c r="F268" t="s">
        <v>659</v>
      </c>
      <c r="G268" t="s">
        <v>1193</v>
      </c>
      <c r="H268" t="s">
        <v>1611</v>
      </c>
      <c r="I268" t="s">
        <v>2006</v>
      </c>
      <c r="J268" t="s">
        <v>2205</v>
      </c>
      <c r="K268">
        <v>11216</v>
      </c>
      <c r="N268" t="s">
        <v>2233</v>
      </c>
      <c r="O268" t="s">
        <v>2446</v>
      </c>
      <c r="Q268" t="s">
        <v>3114</v>
      </c>
      <c r="R268">
        <v>1</v>
      </c>
      <c r="S268">
        <v>0</v>
      </c>
      <c r="T268">
        <v>780.62</v>
      </c>
      <c r="W268">
        <v>97500</v>
      </c>
      <c r="Y268">
        <v>0</v>
      </c>
      <c r="AA268" t="s">
        <v>90</v>
      </c>
      <c r="AC268" t="s">
        <v>3942</v>
      </c>
      <c r="AD268" t="s">
        <v>388</v>
      </c>
      <c r="AF268" t="s">
        <v>4062</v>
      </c>
      <c r="AH268" t="s">
        <v>4076</v>
      </c>
      <c r="AJ268" t="s">
        <v>3942</v>
      </c>
      <c r="AL268" t="s">
        <v>4089</v>
      </c>
      <c r="AM268" t="s">
        <v>2230</v>
      </c>
      <c r="AO268">
        <v>1624.29</v>
      </c>
      <c r="AQ268">
        <v>82</v>
      </c>
      <c r="AS268" t="s">
        <v>4113</v>
      </c>
      <c r="AT268" t="s">
        <v>4127</v>
      </c>
      <c r="AW268">
        <v>-1</v>
      </c>
      <c r="AY268" t="s">
        <v>4140</v>
      </c>
      <c r="BA268" t="s">
        <v>4149</v>
      </c>
      <c r="BC268" t="s">
        <v>4155</v>
      </c>
      <c r="BE268" t="s">
        <v>4159</v>
      </c>
      <c r="BG268" t="s">
        <v>4404</v>
      </c>
      <c r="BM268" t="s">
        <v>4627</v>
      </c>
    </row>
    <row r="269" spans="1:65">
      <c r="A269" s="1">
        <f>HYPERLINK("https://lsnyc.legalserver.org/matter/dynamic-profile/view/1881496","18-1881496")</f>
        <v>0</v>
      </c>
      <c r="B269" t="s">
        <v>74</v>
      </c>
      <c r="C269" t="s">
        <v>93</v>
      </c>
      <c r="D269" t="s">
        <v>228</v>
      </c>
      <c r="F269" t="s">
        <v>656</v>
      </c>
      <c r="G269" t="s">
        <v>534</v>
      </c>
      <c r="H269" t="s">
        <v>1611</v>
      </c>
      <c r="I269" t="s">
        <v>1925</v>
      </c>
      <c r="J269" t="s">
        <v>2205</v>
      </c>
      <c r="K269">
        <v>11216</v>
      </c>
      <c r="N269" t="s">
        <v>2233</v>
      </c>
      <c r="O269" t="s">
        <v>2440</v>
      </c>
      <c r="Q269" t="s">
        <v>3110</v>
      </c>
      <c r="R269">
        <v>1</v>
      </c>
      <c r="S269">
        <v>0</v>
      </c>
      <c r="T269">
        <v>708.4</v>
      </c>
      <c r="V269" t="s">
        <v>3458</v>
      </c>
      <c r="W269">
        <v>86000</v>
      </c>
      <c r="X269" t="s">
        <v>3526</v>
      </c>
      <c r="Y269">
        <v>0</v>
      </c>
      <c r="AA269" t="s">
        <v>90</v>
      </c>
      <c r="AC269" t="s">
        <v>3942</v>
      </c>
      <c r="AD269" t="s">
        <v>3978</v>
      </c>
      <c r="AF269" t="s">
        <v>4054</v>
      </c>
      <c r="AH269" t="s">
        <v>3510</v>
      </c>
      <c r="AJ269" t="s">
        <v>3942</v>
      </c>
      <c r="AL269" t="s">
        <v>4089</v>
      </c>
      <c r="AM269" t="s">
        <v>2230</v>
      </c>
      <c r="AO269">
        <v>1450</v>
      </c>
      <c r="AQ269">
        <v>8</v>
      </c>
      <c r="AS269" t="s">
        <v>4113</v>
      </c>
      <c r="AU269" t="s">
        <v>4128</v>
      </c>
      <c r="AW269">
        <v>2</v>
      </c>
      <c r="AY269" t="s">
        <v>4140</v>
      </c>
      <c r="BA269" t="s">
        <v>4149</v>
      </c>
      <c r="BB269" t="s">
        <v>4154</v>
      </c>
      <c r="BE269" t="s">
        <v>4128</v>
      </c>
      <c r="BF269" t="s">
        <v>4281</v>
      </c>
      <c r="BG269" t="s">
        <v>4054</v>
      </c>
      <c r="BM269" t="s">
        <v>4627</v>
      </c>
    </row>
    <row r="270" spans="1:65">
      <c r="A270" s="1">
        <f>HYPERLINK("https://lsnyc.legalserver.org/matter/dynamic-profile/view/1876925","18-1876925")</f>
        <v>0</v>
      </c>
      <c r="B270" t="s">
        <v>74</v>
      </c>
      <c r="C270" t="s">
        <v>93</v>
      </c>
      <c r="D270" t="s">
        <v>230</v>
      </c>
      <c r="F270" t="s">
        <v>544</v>
      </c>
      <c r="G270" t="s">
        <v>1192</v>
      </c>
      <c r="H270" t="s">
        <v>1611</v>
      </c>
      <c r="I270" t="s">
        <v>2005</v>
      </c>
      <c r="J270" t="s">
        <v>2205</v>
      </c>
      <c r="K270">
        <v>11216</v>
      </c>
      <c r="N270" t="s">
        <v>2233</v>
      </c>
      <c r="O270" t="s">
        <v>2445</v>
      </c>
      <c r="P270" t="s">
        <v>2930</v>
      </c>
      <c r="R270">
        <v>1</v>
      </c>
      <c r="S270">
        <v>0</v>
      </c>
      <c r="T270">
        <v>453.05</v>
      </c>
      <c r="U270" t="s">
        <v>3450</v>
      </c>
      <c r="V270" t="s">
        <v>3458</v>
      </c>
      <c r="W270">
        <v>55000</v>
      </c>
      <c r="X270" t="s">
        <v>3473</v>
      </c>
      <c r="Y270">
        <v>0</v>
      </c>
      <c r="AA270" t="s">
        <v>90</v>
      </c>
      <c r="AC270" t="s">
        <v>3942</v>
      </c>
      <c r="AD270" t="s">
        <v>3980</v>
      </c>
      <c r="AF270" t="s">
        <v>4054</v>
      </c>
      <c r="AH270" t="s">
        <v>3510</v>
      </c>
      <c r="AJ270" t="s">
        <v>3942</v>
      </c>
      <c r="AL270" t="s">
        <v>4089</v>
      </c>
      <c r="AM270" t="s">
        <v>2230</v>
      </c>
      <c r="AO270">
        <v>1450</v>
      </c>
      <c r="AQ270">
        <v>82</v>
      </c>
      <c r="AS270" t="s">
        <v>4113</v>
      </c>
      <c r="AU270" t="s">
        <v>4128</v>
      </c>
      <c r="AW270">
        <v>1</v>
      </c>
      <c r="AY270" t="s">
        <v>4140</v>
      </c>
      <c r="BB270" t="s">
        <v>4154</v>
      </c>
      <c r="BF270" t="s">
        <v>4281</v>
      </c>
      <c r="BM270" t="s">
        <v>4627</v>
      </c>
    </row>
    <row r="271" spans="1:65">
      <c r="A271" s="1">
        <f>HYPERLINK("https://lsnyc.legalserver.org/matter/dynamic-profile/view/1903783","19-1903783")</f>
        <v>0</v>
      </c>
      <c r="B271" t="s">
        <v>74</v>
      </c>
      <c r="C271" t="s">
        <v>93</v>
      </c>
      <c r="D271" t="s">
        <v>247</v>
      </c>
      <c r="F271" t="s">
        <v>641</v>
      </c>
      <c r="G271" t="s">
        <v>1175</v>
      </c>
      <c r="H271" t="s">
        <v>1690</v>
      </c>
      <c r="I271" t="s">
        <v>1951</v>
      </c>
      <c r="J271" t="s">
        <v>2205</v>
      </c>
      <c r="K271">
        <v>11208</v>
      </c>
      <c r="N271" t="s">
        <v>2233</v>
      </c>
      <c r="O271" t="s">
        <v>2423</v>
      </c>
      <c r="Q271" t="s">
        <v>3095</v>
      </c>
      <c r="R271">
        <v>2</v>
      </c>
      <c r="S271">
        <v>3</v>
      </c>
      <c r="T271">
        <v>165.81</v>
      </c>
      <c r="W271">
        <v>50024</v>
      </c>
      <c r="Y271">
        <v>0.1</v>
      </c>
      <c r="Z271" t="s">
        <v>127</v>
      </c>
      <c r="AA271" t="s">
        <v>90</v>
      </c>
      <c r="AC271" t="s">
        <v>3942</v>
      </c>
      <c r="AD271" t="s">
        <v>247</v>
      </c>
      <c r="AF271" t="s">
        <v>4061</v>
      </c>
      <c r="AH271" t="s">
        <v>3510</v>
      </c>
      <c r="AJ271" t="s">
        <v>3943</v>
      </c>
      <c r="AL271" t="s">
        <v>4086</v>
      </c>
      <c r="AM271" t="s">
        <v>2230</v>
      </c>
      <c r="AO271">
        <v>1350</v>
      </c>
      <c r="AQ271">
        <v>15</v>
      </c>
      <c r="AS271" t="s">
        <v>4113</v>
      </c>
      <c r="AU271" t="s">
        <v>4128</v>
      </c>
      <c r="AW271">
        <v>2</v>
      </c>
      <c r="AY271" t="s">
        <v>4140</v>
      </c>
      <c r="BA271" t="s">
        <v>4149</v>
      </c>
      <c r="BC271" t="s">
        <v>4156</v>
      </c>
      <c r="BE271" t="s">
        <v>4208</v>
      </c>
      <c r="BF271" t="s">
        <v>4281</v>
      </c>
      <c r="BG271" t="s">
        <v>4303</v>
      </c>
      <c r="BM271" t="s">
        <v>4627</v>
      </c>
    </row>
    <row r="272" spans="1:65">
      <c r="A272" s="1">
        <f>HYPERLINK("https://lsnyc.legalserver.org/matter/dynamic-profile/view/1908228","19-1908228")</f>
        <v>0</v>
      </c>
      <c r="B272" t="s">
        <v>74</v>
      </c>
      <c r="C272" t="s">
        <v>93</v>
      </c>
      <c r="D272" t="s">
        <v>246</v>
      </c>
      <c r="F272" t="s">
        <v>659</v>
      </c>
      <c r="G272" t="s">
        <v>1193</v>
      </c>
      <c r="H272" t="s">
        <v>1611</v>
      </c>
      <c r="I272" t="s">
        <v>2006</v>
      </c>
      <c r="J272" t="s">
        <v>2205</v>
      </c>
      <c r="K272">
        <v>11216</v>
      </c>
      <c r="N272" t="s">
        <v>2233</v>
      </c>
      <c r="O272" t="s">
        <v>2446</v>
      </c>
      <c r="Q272" t="s">
        <v>3114</v>
      </c>
      <c r="R272">
        <v>1</v>
      </c>
      <c r="S272">
        <v>0</v>
      </c>
      <c r="T272">
        <v>780.62</v>
      </c>
      <c r="W272">
        <v>97500</v>
      </c>
      <c r="Y272">
        <v>0</v>
      </c>
      <c r="AA272" t="s">
        <v>90</v>
      </c>
      <c r="AC272" t="s">
        <v>3942</v>
      </c>
      <c r="AD272" t="s">
        <v>112</v>
      </c>
      <c r="AF272" t="s">
        <v>4061</v>
      </c>
      <c r="AH272" t="s">
        <v>3510</v>
      </c>
      <c r="AJ272" t="s">
        <v>3942</v>
      </c>
      <c r="AL272" t="s">
        <v>4089</v>
      </c>
      <c r="AM272" t="s">
        <v>2230</v>
      </c>
      <c r="AO272">
        <v>1624.29</v>
      </c>
      <c r="AQ272">
        <v>82</v>
      </c>
      <c r="AS272" t="s">
        <v>4113</v>
      </c>
      <c r="AU272" t="s">
        <v>4128</v>
      </c>
      <c r="AW272">
        <v>-1</v>
      </c>
      <c r="AY272" t="s">
        <v>4140</v>
      </c>
      <c r="BA272" t="s">
        <v>4149</v>
      </c>
      <c r="BC272" t="s">
        <v>4155</v>
      </c>
      <c r="BE272" t="s">
        <v>4159</v>
      </c>
      <c r="BF272" t="s">
        <v>4281</v>
      </c>
      <c r="BG272" t="s">
        <v>4128</v>
      </c>
      <c r="BM272" t="s">
        <v>4627</v>
      </c>
    </row>
    <row r="273" spans="1:65">
      <c r="A273" s="1">
        <f>HYPERLINK("https://lsnyc.legalserver.org/matter/dynamic-profile/view/1856573","18-1856573")</f>
        <v>0</v>
      </c>
      <c r="B273" t="s">
        <v>75</v>
      </c>
      <c r="C273" t="s">
        <v>93</v>
      </c>
      <c r="D273" t="s">
        <v>133</v>
      </c>
      <c r="F273" t="s">
        <v>484</v>
      </c>
      <c r="G273" t="s">
        <v>1194</v>
      </c>
      <c r="H273" t="s">
        <v>1695</v>
      </c>
      <c r="I273" t="s">
        <v>1948</v>
      </c>
      <c r="J273" t="s">
        <v>2205</v>
      </c>
      <c r="K273">
        <v>11206</v>
      </c>
      <c r="N273" t="s">
        <v>2233</v>
      </c>
      <c r="O273" t="s">
        <v>2447</v>
      </c>
      <c r="Q273" t="s">
        <v>3115</v>
      </c>
      <c r="R273">
        <v>1</v>
      </c>
      <c r="S273">
        <v>0</v>
      </c>
      <c r="T273">
        <v>199</v>
      </c>
      <c r="W273">
        <v>24000</v>
      </c>
      <c r="Y273">
        <v>305.95</v>
      </c>
      <c r="Z273" t="s">
        <v>204</v>
      </c>
      <c r="AA273" t="s">
        <v>90</v>
      </c>
      <c r="AC273" t="s">
        <v>3942</v>
      </c>
      <c r="AD273" t="s">
        <v>103</v>
      </c>
      <c r="AF273" t="s">
        <v>4058</v>
      </c>
      <c r="AH273" t="s">
        <v>4076</v>
      </c>
      <c r="AJ273" t="s">
        <v>3942</v>
      </c>
      <c r="AL273" t="s">
        <v>4087</v>
      </c>
      <c r="AM273" t="s">
        <v>2230</v>
      </c>
      <c r="AO273">
        <v>1157.82</v>
      </c>
      <c r="AQ273">
        <v>25</v>
      </c>
      <c r="AS273" t="s">
        <v>4116</v>
      </c>
      <c r="AU273" t="s">
        <v>4128</v>
      </c>
      <c r="AW273">
        <v>25</v>
      </c>
      <c r="AY273" t="s">
        <v>4140</v>
      </c>
      <c r="BB273" t="s">
        <v>4154</v>
      </c>
      <c r="BG273" t="s">
        <v>4415</v>
      </c>
      <c r="BM273" t="s">
        <v>4627</v>
      </c>
    </row>
    <row r="274" spans="1:65">
      <c r="A274" s="1">
        <f>HYPERLINK("https://lsnyc.legalserver.org/matter/dynamic-profile/view/1878923","18-1878923")</f>
        <v>0</v>
      </c>
      <c r="B274" t="s">
        <v>75</v>
      </c>
      <c r="C274" t="s">
        <v>93</v>
      </c>
      <c r="D274" t="s">
        <v>248</v>
      </c>
      <c r="F274" t="s">
        <v>660</v>
      </c>
      <c r="G274" t="s">
        <v>1195</v>
      </c>
      <c r="H274" t="s">
        <v>1558</v>
      </c>
      <c r="I274" t="s">
        <v>1930</v>
      </c>
      <c r="J274" t="s">
        <v>2205</v>
      </c>
      <c r="K274">
        <v>11221</v>
      </c>
      <c r="N274" t="s">
        <v>2233</v>
      </c>
      <c r="O274" t="s">
        <v>2448</v>
      </c>
      <c r="Q274" t="s">
        <v>3116</v>
      </c>
      <c r="R274">
        <v>1</v>
      </c>
      <c r="S274">
        <v>1</v>
      </c>
      <c r="T274">
        <v>85.05</v>
      </c>
      <c r="W274">
        <v>14000</v>
      </c>
      <c r="Y274">
        <v>0</v>
      </c>
      <c r="AA274" t="s">
        <v>90</v>
      </c>
      <c r="AC274" t="s">
        <v>3942</v>
      </c>
      <c r="AD274" t="s">
        <v>3981</v>
      </c>
      <c r="AF274" t="s">
        <v>4058</v>
      </c>
      <c r="AH274" t="s">
        <v>4076</v>
      </c>
      <c r="AJ274" t="s">
        <v>3942</v>
      </c>
      <c r="AL274" t="s">
        <v>4087</v>
      </c>
      <c r="AM274" t="s">
        <v>2230</v>
      </c>
      <c r="AO274">
        <v>336.58</v>
      </c>
      <c r="AQ274">
        <v>12</v>
      </c>
      <c r="AS274" t="s">
        <v>4113</v>
      </c>
      <c r="AU274" t="s">
        <v>4128</v>
      </c>
      <c r="AW274">
        <v>8</v>
      </c>
      <c r="AY274" t="s">
        <v>4140</v>
      </c>
      <c r="BA274" t="s">
        <v>4149</v>
      </c>
      <c r="BC274" t="s">
        <v>4155</v>
      </c>
      <c r="BD274" t="s">
        <v>4157</v>
      </c>
      <c r="BE274" t="s">
        <v>4209</v>
      </c>
      <c r="BG274" t="s">
        <v>4416</v>
      </c>
      <c r="BM274" t="s">
        <v>4627</v>
      </c>
    </row>
    <row r="275" spans="1:65">
      <c r="A275" s="1">
        <f>HYPERLINK("https://lsnyc.legalserver.org/matter/dynamic-profile/view/1905785","19-1905785")</f>
        <v>0</v>
      </c>
      <c r="B275" t="s">
        <v>75</v>
      </c>
      <c r="C275" t="s">
        <v>93</v>
      </c>
      <c r="D275" t="s">
        <v>154</v>
      </c>
      <c r="F275" t="s">
        <v>660</v>
      </c>
      <c r="G275" t="s">
        <v>1195</v>
      </c>
      <c r="H275" t="s">
        <v>1558</v>
      </c>
      <c r="I275" t="s">
        <v>1930</v>
      </c>
      <c r="J275" t="s">
        <v>2205</v>
      </c>
      <c r="K275">
        <v>11221</v>
      </c>
      <c r="N275" t="s">
        <v>2233</v>
      </c>
      <c r="O275" t="s">
        <v>2448</v>
      </c>
      <c r="Q275" t="s">
        <v>3116</v>
      </c>
      <c r="R275">
        <v>1</v>
      </c>
      <c r="S275">
        <v>1</v>
      </c>
      <c r="T275">
        <v>82.79000000000001</v>
      </c>
      <c r="W275">
        <v>14000</v>
      </c>
      <c r="X275" t="s">
        <v>3527</v>
      </c>
      <c r="Y275">
        <v>0</v>
      </c>
      <c r="AA275" t="s">
        <v>70</v>
      </c>
      <c r="AC275" t="s">
        <v>3942</v>
      </c>
      <c r="AD275" t="s">
        <v>404</v>
      </c>
      <c r="AF275" t="s">
        <v>4054</v>
      </c>
      <c r="AH275" t="s">
        <v>3510</v>
      </c>
      <c r="AJ275" t="s">
        <v>3942</v>
      </c>
      <c r="AL275" t="s">
        <v>4087</v>
      </c>
      <c r="AM275" t="s">
        <v>2230</v>
      </c>
      <c r="AO275">
        <v>336.58</v>
      </c>
      <c r="AQ275">
        <v>12</v>
      </c>
      <c r="AS275" t="s">
        <v>4113</v>
      </c>
      <c r="AU275" t="s">
        <v>4128</v>
      </c>
      <c r="AW275">
        <v>8</v>
      </c>
      <c r="AY275" t="s">
        <v>4140</v>
      </c>
      <c r="BA275" t="s">
        <v>4149</v>
      </c>
      <c r="BC275" t="s">
        <v>4155</v>
      </c>
      <c r="BD275" t="s">
        <v>4157</v>
      </c>
      <c r="BE275" t="s">
        <v>4210</v>
      </c>
      <c r="BF275" t="s">
        <v>4281</v>
      </c>
      <c r="BG275" t="s">
        <v>4303</v>
      </c>
      <c r="BM275" t="s">
        <v>4627</v>
      </c>
    </row>
    <row r="276" spans="1:65">
      <c r="A276" s="1">
        <f>HYPERLINK("https://lsnyc.legalserver.org/matter/dynamic-profile/view/1904262","19-1904262")</f>
        <v>0</v>
      </c>
      <c r="B276" t="s">
        <v>75</v>
      </c>
      <c r="C276" t="s">
        <v>93</v>
      </c>
      <c r="D276" t="s">
        <v>249</v>
      </c>
      <c r="F276" t="s">
        <v>660</v>
      </c>
      <c r="G276" t="s">
        <v>1195</v>
      </c>
      <c r="H276" t="s">
        <v>1558</v>
      </c>
      <c r="I276" t="s">
        <v>1930</v>
      </c>
      <c r="J276" t="s">
        <v>2205</v>
      </c>
      <c r="K276">
        <v>11221</v>
      </c>
      <c r="N276" t="s">
        <v>2236</v>
      </c>
      <c r="O276" t="s">
        <v>2448</v>
      </c>
      <c r="Q276" t="s">
        <v>3116</v>
      </c>
      <c r="R276">
        <v>1</v>
      </c>
      <c r="S276">
        <v>1</v>
      </c>
      <c r="T276">
        <v>82.79000000000001</v>
      </c>
      <c r="W276">
        <v>14000</v>
      </c>
      <c r="X276" t="s">
        <v>3528</v>
      </c>
      <c r="Y276">
        <v>0</v>
      </c>
      <c r="AA276" t="s">
        <v>90</v>
      </c>
      <c r="AC276" t="s">
        <v>3942</v>
      </c>
      <c r="AD276" t="s">
        <v>168</v>
      </c>
      <c r="AF276" t="s">
        <v>4061</v>
      </c>
      <c r="AH276" t="s">
        <v>3510</v>
      </c>
      <c r="AJ276" t="s">
        <v>3942</v>
      </c>
      <c r="AL276" t="s">
        <v>4087</v>
      </c>
      <c r="AM276" t="s">
        <v>2230</v>
      </c>
      <c r="AO276">
        <v>336.58</v>
      </c>
      <c r="AQ276">
        <v>12</v>
      </c>
      <c r="AS276" t="s">
        <v>4113</v>
      </c>
      <c r="AU276" t="s">
        <v>4128</v>
      </c>
      <c r="AW276">
        <v>8</v>
      </c>
      <c r="AY276" t="s">
        <v>4140</v>
      </c>
      <c r="BA276" t="s">
        <v>4149</v>
      </c>
      <c r="BC276" t="s">
        <v>4155</v>
      </c>
      <c r="BD276" t="s">
        <v>4157</v>
      </c>
      <c r="BE276" t="s">
        <v>4209</v>
      </c>
      <c r="BF276" t="s">
        <v>4281</v>
      </c>
      <c r="BG276" t="s">
        <v>4303</v>
      </c>
      <c r="BM276" t="s">
        <v>4627</v>
      </c>
    </row>
    <row r="277" spans="1:65">
      <c r="A277" s="1">
        <f>HYPERLINK("https://lsnyc.legalserver.org/matter/dynamic-profile/view/1878919","18-1878919")</f>
        <v>0</v>
      </c>
      <c r="B277" t="s">
        <v>75</v>
      </c>
      <c r="C277" t="s">
        <v>93</v>
      </c>
      <c r="D277" t="s">
        <v>248</v>
      </c>
      <c r="F277" t="s">
        <v>660</v>
      </c>
      <c r="G277" t="s">
        <v>1195</v>
      </c>
      <c r="H277" t="s">
        <v>1558</v>
      </c>
      <c r="I277" t="s">
        <v>1930</v>
      </c>
      <c r="J277" t="s">
        <v>2205</v>
      </c>
      <c r="K277">
        <v>11221</v>
      </c>
      <c r="N277" t="s">
        <v>2233</v>
      </c>
      <c r="O277" t="s">
        <v>2448</v>
      </c>
      <c r="Q277" t="s">
        <v>3116</v>
      </c>
      <c r="R277">
        <v>1</v>
      </c>
      <c r="S277">
        <v>1</v>
      </c>
      <c r="T277">
        <v>85.05</v>
      </c>
      <c r="W277">
        <v>14000</v>
      </c>
      <c r="Y277">
        <v>0</v>
      </c>
      <c r="AA277" t="s">
        <v>90</v>
      </c>
      <c r="AC277" t="s">
        <v>3942</v>
      </c>
      <c r="AD277" t="s">
        <v>3981</v>
      </c>
      <c r="AF277" t="s">
        <v>4059</v>
      </c>
      <c r="AH277" t="s">
        <v>4078</v>
      </c>
      <c r="AJ277" t="s">
        <v>3942</v>
      </c>
      <c r="AL277" t="s">
        <v>4087</v>
      </c>
      <c r="AM277" t="s">
        <v>2230</v>
      </c>
      <c r="AO277">
        <v>336.58</v>
      </c>
      <c r="AQ277">
        <v>12</v>
      </c>
      <c r="AS277" t="s">
        <v>4113</v>
      </c>
      <c r="AT277" t="s">
        <v>4127</v>
      </c>
      <c r="AW277">
        <v>8</v>
      </c>
      <c r="AY277" t="s">
        <v>4140</v>
      </c>
      <c r="BB277" t="s">
        <v>4154</v>
      </c>
      <c r="BD277" t="s">
        <v>4157</v>
      </c>
      <c r="BE277" t="s">
        <v>4209</v>
      </c>
      <c r="BF277" t="s">
        <v>4281</v>
      </c>
      <c r="BM277" t="s">
        <v>4627</v>
      </c>
    </row>
    <row r="278" spans="1:65">
      <c r="A278" s="1">
        <f>HYPERLINK("https://lsnyc.legalserver.org/matter/dynamic-profile/view/1905774","19-1905774")</f>
        <v>0</v>
      </c>
      <c r="B278" t="s">
        <v>75</v>
      </c>
      <c r="C278" t="s">
        <v>93</v>
      </c>
      <c r="D278" t="s">
        <v>154</v>
      </c>
      <c r="F278" t="s">
        <v>661</v>
      </c>
      <c r="G278" t="s">
        <v>1050</v>
      </c>
      <c r="H278" t="s">
        <v>1563</v>
      </c>
      <c r="I278" t="s">
        <v>1933</v>
      </c>
      <c r="J278" t="s">
        <v>2205</v>
      </c>
      <c r="K278">
        <v>11221</v>
      </c>
      <c r="N278" t="s">
        <v>2236</v>
      </c>
      <c r="O278" t="s">
        <v>2449</v>
      </c>
      <c r="Q278" t="s">
        <v>3117</v>
      </c>
      <c r="R278">
        <v>2</v>
      </c>
      <c r="S278">
        <v>0</v>
      </c>
      <c r="T278">
        <v>204.87</v>
      </c>
      <c r="W278">
        <v>34644</v>
      </c>
      <c r="X278" t="s">
        <v>3529</v>
      </c>
      <c r="Y278">
        <v>0</v>
      </c>
      <c r="AA278" t="s">
        <v>90</v>
      </c>
      <c r="AC278" t="s">
        <v>3942</v>
      </c>
      <c r="AD278" t="s">
        <v>404</v>
      </c>
      <c r="AF278" t="s">
        <v>4061</v>
      </c>
      <c r="AH278" t="s">
        <v>3510</v>
      </c>
      <c r="AJ278" t="s">
        <v>3942</v>
      </c>
      <c r="AL278" t="s">
        <v>4086</v>
      </c>
      <c r="AM278" t="s">
        <v>2230</v>
      </c>
      <c r="AO278">
        <v>891.1900000000001</v>
      </c>
      <c r="AQ278">
        <v>13</v>
      </c>
      <c r="AS278" t="s">
        <v>4113</v>
      </c>
      <c r="AU278" t="s">
        <v>4128</v>
      </c>
      <c r="AW278">
        <v>27</v>
      </c>
      <c r="AY278" t="s">
        <v>4140</v>
      </c>
      <c r="BA278" t="s">
        <v>4149</v>
      </c>
      <c r="BC278" t="s">
        <v>4155</v>
      </c>
      <c r="BE278" t="s">
        <v>4128</v>
      </c>
      <c r="BF278" t="s">
        <v>4281</v>
      </c>
      <c r="BG278" t="s">
        <v>4327</v>
      </c>
      <c r="BM278" t="s">
        <v>4627</v>
      </c>
    </row>
    <row r="279" spans="1:65">
      <c r="A279" s="1">
        <f>HYPERLINK("https://lsnyc.legalserver.org/matter/dynamic-profile/view/1887811","19-1887811")</f>
        <v>0</v>
      </c>
      <c r="B279" t="s">
        <v>75</v>
      </c>
      <c r="C279" t="s">
        <v>93</v>
      </c>
      <c r="D279" t="s">
        <v>208</v>
      </c>
      <c r="F279" t="s">
        <v>662</v>
      </c>
      <c r="G279" t="s">
        <v>1196</v>
      </c>
      <c r="H279" t="s">
        <v>1696</v>
      </c>
      <c r="I279" t="s">
        <v>2007</v>
      </c>
      <c r="J279" t="s">
        <v>2205</v>
      </c>
      <c r="K279">
        <v>11225</v>
      </c>
      <c r="N279" t="s">
        <v>2233</v>
      </c>
      <c r="O279" t="s">
        <v>2431</v>
      </c>
      <c r="Q279" t="s">
        <v>3118</v>
      </c>
      <c r="R279">
        <v>2</v>
      </c>
      <c r="S279">
        <v>2</v>
      </c>
      <c r="T279">
        <v>0</v>
      </c>
      <c r="W279">
        <v>0</v>
      </c>
      <c r="Y279">
        <v>0</v>
      </c>
      <c r="AA279" t="s">
        <v>70</v>
      </c>
      <c r="AC279" t="s">
        <v>3942</v>
      </c>
      <c r="AD279" t="s">
        <v>3982</v>
      </c>
      <c r="AF279" t="s">
        <v>4059</v>
      </c>
      <c r="AH279" t="s">
        <v>4078</v>
      </c>
      <c r="AJ279" t="s">
        <v>3942</v>
      </c>
      <c r="AK279" t="s">
        <v>4084</v>
      </c>
      <c r="AM279" t="s">
        <v>2230</v>
      </c>
      <c r="AO279">
        <v>757.21</v>
      </c>
      <c r="AQ279">
        <v>89</v>
      </c>
      <c r="AS279" t="s">
        <v>4113</v>
      </c>
      <c r="AU279" t="s">
        <v>4128</v>
      </c>
      <c r="AW279">
        <v>29</v>
      </c>
      <c r="AY279" t="s">
        <v>4140</v>
      </c>
      <c r="BB279" t="s">
        <v>4154</v>
      </c>
      <c r="BF279" t="s">
        <v>4281</v>
      </c>
      <c r="BM279" t="s">
        <v>4627</v>
      </c>
    </row>
    <row r="280" spans="1:65">
      <c r="A280" s="1">
        <f>HYPERLINK("https://lsnyc.legalserver.org/matter/dynamic-profile/view/1847205","17-1847205")</f>
        <v>0</v>
      </c>
      <c r="B280" t="s">
        <v>75</v>
      </c>
      <c r="C280" t="s">
        <v>93</v>
      </c>
      <c r="D280" t="s">
        <v>250</v>
      </c>
      <c r="F280" t="s">
        <v>484</v>
      </c>
      <c r="G280" t="s">
        <v>1194</v>
      </c>
      <c r="H280" t="s">
        <v>1695</v>
      </c>
      <c r="I280" t="s">
        <v>1948</v>
      </c>
      <c r="J280" t="s">
        <v>2205</v>
      </c>
      <c r="K280">
        <v>11206</v>
      </c>
      <c r="N280" t="s">
        <v>2233</v>
      </c>
      <c r="O280" t="s">
        <v>2447</v>
      </c>
      <c r="Q280" t="s">
        <v>3115</v>
      </c>
      <c r="R280">
        <v>1</v>
      </c>
      <c r="S280">
        <v>0</v>
      </c>
      <c r="T280">
        <v>199</v>
      </c>
      <c r="W280">
        <v>24000</v>
      </c>
      <c r="Y280">
        <v>235.55</v>
      </c>
      <c r="Z280" t="s">
        <v>463</v>
      </c>
      <c r="AA280" t="s">
        <v>90</v>
      </c>
      <c r="AC280" t="s">
        <v>3942</v>
      </c>
      <c r="AD280" t="s">
        <v>3983</v>
      </c>
      <c r="AF280" t="s">
        <v>4061</v>
      </c>
      <c r="AH280" t="s">
        <v>4078</v>
      </c>
      <c r="AJ280" t="s">
        <v>3942</v>
      </c>
      <c r="AL280" t="s">
        <v>4087</v>
      </c>
      <c r="AM280" t="s">
        <v>2230</v>
      </c>
      <c r="AO280">
        <v>1157.82</v>
      </c>
      <c r="AQ280">
        <v>25</v>
      </c>
      <c r="AS280" t="s">
        <v>4116</v>
      </c>
      <c r="AU280" t="s">
        <v>4128</v>
      </c>
      <c r="AW280">
        <v>25</v>
      </c>
      <c r="AY280" t="s">
        <v>4140</v>
      </c>
      <c r="BB280" t="s">
        <v>4154</v>
      </c>
      <c r="BE280" t="s">
        <v>4159</v>
      </c>
      <c r="BF280" t="s">
        <v>4281</v>
      </c>
      <c r="BM280" t="s">
        <v>4627</v>
      </c>
    </row>
    <row r="281" spans="1:65">
      <c r="A281" s="1">
        <f>HYPERLINK("https://lsnyc.legalserver.org/matter/dynamic-profile/view/1904276","19-1904276")</f>
        <v>0</v>
      </c>
      <c r="B281" t="s">
        <v>75</v>
      </c>
      <c r="C281" t="s">
        <v>93</v>
      </c>
      <c r="D281" t="s">
        <v>249</v>
      </c>
      <c r="F281" t="s">
        <v>653</v>
      </c>
      <c r="G281" t="s">
        <v>1187</v>
      </c>
      <c r="H281" t="s">
        <v>1558</v>
      </c>
      <c r="I281" t="s">
        <v>1931</v>
      </c>
      <c r="J281" t="s">
        <v>2205</v>
      </c>
      <c r="K281">
        <v>11221</v>
      </c>
      <c r="N281" t="s">
        <v>2236</v>
      </c>
      <c r="O281" t="s">
        <v>2437</v>
      </c>
      <c r="Q281" t="s">
        <v>3107</v>
      </c>
      <c r="R281">
        <v>1</v>
      </c>
      <c r="S281">
        <v>0</v>
      </c>
      <c r="T281">
        <v>147.93</v>
      </c>
      <c r="W281">
        <v>18476.9</v>
      </c>
      <c r="Y281">
        <v>0</v>
      </c>
      <c r="AA281" t="s">
        <v>90</v>
      </c>
      <c r="AC281" t="s">
        <v>3942</v>
      </c>
      <c r="AD281" t="s">
        <v>168</v>
      </c>
      <c r="AF281" t="s">
        <v>4061</v>
      </c>
      <c r="AH281" t="s">
        <v>3510</v>
      </c>
      <c r="AJ281" t="s">
        <v>3942</v>
      </c>
      <c r="AL281" t="s">
        <v>4087</v>
      </c>
      <c r="AM281" t="s">
        <v>2230</v>
      </c>
      <c r="AO281">
        <v>1091.82</v>
      </c>
      <c r="AQ281">
        <v>12</v>
      </c>
      <c r="AS281" t="s">
        <v>4113</v>
      </c>
      <c r="AU281" t="s">
        <v>4129</v>
      </c>
      <c r="AW281">
        <v>12</v>
      </c>
      <c r="AY281" t="s">
        <v>4140</v>
      </c>
      <c r="BA281" t="s">
        <v>4149</v>
      </c>
      <c r="BC281" t="s">
        <v>4155</v>
      </c>
      <c r="BE281" t="s">
        <v>4160</v>
      </c>
      <c r="BF281" t="s">
        <v>4281</v>
      </c>
      <c r="BG281" t="s">
        <v>4128</v>
      </c>
      <c r="BM281" t="s">
        <v>4627</v>
      </c>
    </row>
    <row r="282" spans="1:65">
      <c r="A282" s="1">
        <f>HYPERLINK("https://lsnyc.legalserver.org/matter/dynamic-profile/view/1855958","18-1855958")</f>
        <v>0</v>
      </c>
      <c r="B282" t="s">
        <v>75</v>
      </c>
      <c r="C282" t="s">
        <v>93</v>
      </c>
      <c r="D282" t="s">
        <v>251</v>
      </c>
      <c r="F282" t="s">
        <v>663</v>
      </c>
      <c r="G282" t="s">
        <v>1197</v>
      </c>
      <c r="H282" t="s">
        <v>1697</v>
      </c>
      <c r="I282" t="s">
        <v>1947</v>
      </c>
      <c r="J282" t="s">
        <v>2205</v>
      </c>
      <c r="K282">
        <v>11206</v>
      </c>
      <c r="N282" t="s">
        <v>2233</v>
      </c>
      <c r="O282" t="s">
        <v>2450</v>
      </c>
      <c r="P282" t="s">
        <v>2930</v>
      </c>
      <c r="R282">
        <v>1</v>
      </c>
      <c r="S282">
        <v>2</v>
      </c>
      <c r="T282">
        <v>200.78</v>
      </c>
      <c r="U282" t="s">
        <v>3447</v>
      </c>
      <c r="W282">
        <v>41000</v>
      </c>
      <c r="Y282">
        <v>5</v>
      </c>
      <c r="Z282" t="s">
        <v>418</v>
      </c>
      <c r="AA282" t="s">
        <v>90</v>
      </c>
      <c r="AC282" t="s">
        <v>3942</v>
      </c>
      <c r="AD282" t="s">
        <v>3860</v>
      </c>
      <c r="AF282" t="s">
        <v>4059</v>
      </c>
      <c r="AH282" t="s">
        <v>4078</v>
      </c>
      <c r="AJ282" t="s">
        <v>3942</v>
      </c>
      <c r="AK282" t="s">
        <v>4084</v>
      </c>
      <c r="AM282" t="s">
        <v>2230</v>
      </c>
      <c r="AO282">
        <v>811</v>
      </c>
      <c r="AQ282">
        <v>29</v>
      </c>
      <c r="AS282" t="s">
        <v>4113</v>
      </c>
      <c r="AU282" t="s">
        <v>4128</v>
      </c>
      <c r="AW282">
        <v>6</v>
      </c>
      <c r="AY282" t="s">
        <v>4140</v>
      </c>
      <c r="BB282" t="s">
        <v>4154</v>
      </c>
      <c r="BG282" t="s">
        <v>4417</v>
      </c>
      <c r="BM282" t="s">
        <v>4627</v>
      </c>
    </row>
    <row r="283" spans="1:65">
      <c r="A283" s="1">
        <f>HYPERLINK("https://lsnyc.legalserver.org/matter/dynamic-profile/view/1905068","19-1905068")</f>
        <v>0</v>
      </c>
      <c r="B283" t="s">
        <v>75</v>
      </c>
      <c r="C283" t="s">
        <v>93</v>
      </c>
      <c r="D283" t="s">
        <v>252</v>
      </c>
      <c r="F283" t="s">
        <v>661</v>
      </c>
      <c r="G283" t="s">
        <v>1050</v>
      </c>
      <c r="H283" t="s">
        <v>1563</v>
      </c>
      <c r="I283" t="s">
        <v>1933</v>
      </c>
      <c r="J283" t="s">
        <v>2205</v>
      </c>
      <c r="K283">
        <v>11221</v>
      </c>
      <c r="N283" t="s">
        <v>2236</v>
      </c>
      <c r="O283" t="s">
        <v>2449</v>
      </c>
      <c r="Q283" t="s">
        <v>3117</v>
      </c>
      <c r="R283">
        <v>2</v>
      </c>
      <c r="S283">
        <v>0</v>
      </c>
      <c r="T283">
        <v>204.87</v>
      </c>
      <c r="W283">
        <v>34644</v>
      </c>
      <c r="Y283">
        <v>0</v>
      </c>
      <c r="AA283" t="s">
        <v>90</v>
      </c>
      <c r="AC283" t="s">
        <v>3942</v>
      </c>
      <c r="AD283" t="s">
        <v>168</v>
      </c>
      <c r="AF283" t="s">
        <v>4061</v>
      </c>
      <c r="AH283" t="s">
        <v>3510</v>
      </c>
      <c r="AJ283" t="s">
        <v>3942</v>
      </c>
      <c r="AL283" t="s">
        <v>4087</v>
      </c>
      <c r="AM283" t="s">
        <v>2230</v>
      </c>
      <c r="AO283">
        <v>891.1900000000001</v>
      </c>
      <c r="AQ283">
        <v>13</v>
      </c>
      <c r="AS283" t="s">
        <v>4113</v>
      </c>
      <c r="AU283" t="s">
        <v>4128</v>
      </c>
      <c r="AW283">
        <v>27</v>
      </c>
      <c r="AY283" t="s">
        <v>4140</v>
      </c>
      <c r="BA283" t="s">
        <v>4149</v>
      </c>
      <c r="BC283" t="s">
        <v>4155</v>
      </c>
      <c r="BE283" t="s">
        <v>4128</v>
      </c>
      <c r="BF283" t="s">
        <v>4281</v>
      </c>
      <c r="BG283" t="s">
        <v>4418</v>
      </c>
      <c r="BM283" t="s">
        <v>4627</v>
      </c>
    </row>
    <row r="284" spans="1:65">
      <c r="A284" s="1">
        <f>HYPERLINK("https://lsnyc.legalserver.org/matter/dynamic-profile/view/1885027","18-1885027")</f>
        <v>0</v>
      </c>
      <c r="B284" t="s">
        <v>75</v>
      </c>
      <c r="C284" t="s">
        <v>93</v>
      </c>
      <c r="D284" t="s">
        <v>253</v>
      </c>
      <c r="F284" t="s">
        <v>664</v>
      </c>
      <c r="G284" t="s">
        <v>1198</v>
      </c>
      <c r="H284" t="s">
        <v>1698</v>
      </c>
      <c r="I284" t="s">
        <v>1975</v>
      </c>
      <c r="J284" t="s">
        <v>2205</v>
      </c>
      <c r="K284">
        <v>11213</v>
      </c>
      <c r="N284" t="s">
        <v>2233</v>
      </c>
      <c r="O284" t="s">
        <v>2451</v>
      </c>
      <c r="Q284" t="s">
        <v>3119</v>
      </c>
      <c r="R284">
        <v>4</v>
      </c>
      <c r="S284">
        <v>0</v>
      </c>
      <c r="T284">
        <v>190.88</v>
      </c>
      <c r="W284">
        <v>47909.8</v>
      </c>
      <c r="Y284">
        <v>13.15</v>
      </c>
      <c r="Z284" t="s">
        <v>195</v>
      </c>
      <c r="AA284" t="s">
        <v>90</v>
      </c>
      <c r="AC284" t="s">
        <v>3942</v>
      </c>
      <c r="AD284" t="s">
        <v>3981</v>
      </c>
      <c r="AF284" t="s">
        <v>4059</v>
      </c>
      <c r="AH284" t="s">
        <v>4078</v>
      </c>
      <c r="AJ284" t="s">
        <v>3942</v>
      </c>
      <c r="AL284" t="s">
        <v>4100</v>
      </c>
      <c r="AM284" t="s">
        <v>2230</v>
      </c>
      <c r="AO284">
        <v>1507.16</v>
      </c>
      <c r="AQ284">
        <v>19</v>
      </c>
      <c r="AS284" t="s">
        <v>4113</v>
      </c>
      <c r="AU284" t="s">
        <v>4129</v>
      </c>
      <c r="AW284">
        <v>22</v>
      </c>
      <c r="AY284" t="s">
        <v>4140</v>
      </c>
      <c r="BA284" t="s">
        <v>4149</v>
      </c>
      <c r="BB284" t="s">
        <v>4154</v>
      </c>
      <c r="BE284" t="s">
        <v>4162</v>
      </c>
      <c r="BF284" t="s">
        <v>4281</v>
      </c>
      <c r="BG284" t="s">
        <v>4054</v>
      </c>
      <c r="BM284" t="s">
        <v>4627</v>
      </c>
    </row>
    <row r="285" spans="1:65">
      <c r="A285" s="1">
        <f>HYPERLINK("https://lsnyc.legalserver.org/matter/dynamic-profile/view/1913059","19-1913059")</f>
        <v>0</v>
      </c>
      <c r="B285" t="s">
        <v>75</v>
      </c>
      <c r="C285" t="s">
        <v>93</v>
      </c>
      <c r="D285" t="s">
        <v>254</v>
      </c>
      <c r="F285" t="s">
        <v>524</v>
      </c>
      <c r="G285" t="s">
        <v>1199</v>
      </c>
      <c r="H285" t="s">
        <v>1699</v>
      </c>
      <c r="I285" t="s">
        <v>1947</v>
      </c>
      <c r="J285" t="s">
        <v>2205</v>
      </c>
      <c r="K285">
        <v>11206</v>
      </c>
      <c r="N285" t="s">
        <v>2233</v>
      </c>
      <c r="O285" t="s">
        <v>2452</v>
      </c>
      <c r="Q285" t="s">
        <v>3120</v>
      </c>
      <c r="R285">
        <v>1</v>
      </c>
      <c r="S285">
        <v>0</v>
      </c>
      <c r="T285">
        <v>199.84</v>
      </c>
      <c r="W285">
        <v>24960</v>
      </c>
      <c r="Y285">
        <v>0</v>
      </c>
      <c r="AA285" t="s">
        <v>90</v>
      </c>
      <c r="AC285" t="s">
        <v>3942</v>
      </c>
      <c r="AD285" t="s">
        <v>125</v>
      </c>
      <c r="AF285" t="s">
        <v>4061</v>
      </c>
      <c r="AH285" t="s">
        <v>3510</v>
      </c>
      <c r="AJ285" t="s">
        <v>3942</v>
      </c>
      <c r="AL285" t="s">
        <v>4087</v>
      </c>
      <c r="AM285" t="s">
        <v>2230</v>
      </c>
      <c r="AO285">
        <v>1200</v>
      </c>
      <c r="AQ285">
        <v>16</v>
      </c>
      <c r="AS285" t="s">
        <v>4113</v>
      </c>
      <c r="AU285" t="s">
        <v>4128</v>
      </c>
      <c r="AW285">
        <v>8</v>
      </c>
      <c r="AY285" t="s">
        <v>4140</v>
      </c>
      <c r="BA285" t="s">
        <v>4149</v>
      </c>
      <c r="BC285" t="s">
        <v>4155</v>
      </c>
      <c r="BE285" t="s">
        <v>4159</v>
      </c>
      <c r="BF285" t="s">
        <v>4281</v>
      </c>
      <c r="BG285" t="s">
        <v>4159</v>
      </c>
      <c r="BM285" t="s">
        <v>4627</v>
      </c>
    </row>
    <row r="286" spans="1:65">
      <c r="A286" s="1">
        <f>HYPERLINK("https://lsnyc.legalserver.org/matter/dynamic-profile/view/0828727","17-0828727")</f>
        <v>0</v>
      </c>
      <c r="B286" t="s">
        <v>75</v>
      </c>
      <c r="C286" t="s">
        <v>93</v>
      </c>
      <c r="D286" t="s">
        <v>255</v>
      </c>
      <c r="F286" t="s">
        <v>665</v>
      </c>
      <c r="G286" t="s">
        <v>1200</v>
      </c>
      <c r="H286" t="s">
        <v>1700</v>
      </c>
      <c r="I286" t="s">
        <v>2008</v>
      </c>
      <c r="J286" t="s">
        <v>2205</v>
      </c>
      <c r="K286">
        <v>11212</v>
      </c>
      <c r="N286" t="s">
        <v>2233</v>
      </c>
      <c r="O286" t="s">
        <v>2453</v>
      </c>
      <c r="Q286" t="s">
        <v>3121</v>
      </c>
      <c r="R286">
        <v>1</v>
      </c>
      <c r="S286">
        <v>0</v>
      </c>
      <c r="T286">
        <v>199</v>
      </c>
      <c r="W286">
        <v>24000</v>
      </c>
      <c r="X286" t="s">
        <v>3473</v>
      </c>
      <c r="Y286">
        <v>0.25</v>
      </c>
      <c r="Z286" t="s">
        <v>330</v>
      </c>
      <c r="AA286" t="s">
        <v>75</v>
      </c>
      <c r="AC286" t="s">
        <v>3942</v>
      </c>
      <c r="AD286" t="s">
        <v>260</v>
      </c>
      <c r="AF286" t="s">
        <v>4054</v>
      </c>
      <c r="AH286" t="s">
        <v>3510</v>
      </c>
      <c r="AJ286" t="s">
        <v>3942</v>
      </c>
      <c r="AL286" t="s">
        <v>4070</v>
      </c>
      <c r="AM286" t="s">
        <v>2230</v>
      </c>
      <c r="AO286">
        <v>920.21</v>
      </c>
      <c r="AQ286">
        <v>32</v>
      </c>
      <c r="AS286" t="s">
        <v>4113</v>
      </c>
      <c r="AU286" t="s">
        <v>4128</v>
      </c>
      <c r="AW286">
        <v>18</v>
      </c>
      <c r="AY286" t="s">
        <v>4140</v>
      </c>
      <c r="BB286" t="s">
        <v>4154</v>
      </c>
      <c r="BG286" t="s">
        <v>4419</v>
      </c>
      <c r="BM286" t="s">
        <v>4627</v>
      </c>
    </row>
    <row r="287" spans="1:65">
      <c r="A287" s="1">
        <f>HYPERLINK("https://lsnyc.legalserver.org/matter/dynamic-profile/view/1887838","19-1887838")</f>
        <v>0</v>
      </c>
      <c r="B287" t="s">
        <v>75</v>
      </c>
      <c r="C287" t="s">
        <v>93</v>
      </c>
      <c r="D287" t="s">
        <v>208</v>
      </c>
      <c r="F287" t="s">
        <v>666</v>
      </c>
      <c r="G287" t="s">
        <v>1083</v>
      </c>
      <c r="H287" t="s">
        <v>1696</v>
      </c>
      <c r="I287" t="s">
        <v>2009</v>
      </c>
      <c r="J287" t="s">
        <v>2205</v>
      </c>
      <c r="K287">
        <v>11225</v>
      </c>
      <c r="N287" t="s">
        <v>2233</v>
      </c>
      <c r="O287" t="s">
        <v>2454</v>
      </c>
      <c r="Q287" t="s">
        <v>3122</v>
      </c>
      <c r="R287">
        <v>1</v>
      </c>
      <c r="S287">
        <v>0</v>
      </c>
      <c r="T287">
        <v>0</v>
      </c>
      <c r="W287">
        <v>0</v>
      </c>
      <c r="Y287">
        <v>2</v>
      </c>
      <c r="Z287" t="s">
        <v>3834</v>
      </c>
      <c r="AA287" t="s">
        <v>70</v>
      </c>
      <c r="AC287" t="s">
        <v>3942</v>
      </c>
      <c r="AD287" t="s">
        <v>3984</v>
      </c>
      <c r="AF287" t="s">
        <v>4059</v>
      </c>
      <c r="AH287" t="s">
        <v>4078</v>
      </c>
      <c r="AJ287" t="s">
        <v>3942</v>
      </c>
      <c r="AK287" t="s">
        <v>4084</v>
      </c>
      <c r="AM287" t="s">
        <v>2230</v>
      </c>
      <c r="AO287">
        <v>978.0700000000001</v>
      </c>
      <c r="AQ287">
        <v>89</v>
      </c>
      <c r="AS287" t="s">
        <v>4113</v>
      </c>
      <c r="AU287" t="s">
        <v>4128</v>
      </c>
      <c r="AW287">
        <v>28</v>
      </c>
      <c r="AY287" t="s">
        <v>4140</v>
      </c>
      <c r="BB287" t="s">
        <v>4154</v>
      </c>
      <c r="BG287" t="s">
        <v>4420</v>
      </c>
      <c r="BM287" t="s">
        <v>4627</v>
      </c>
    </row>
    <row r="288" spans="1:65">
      <c r="A288" s="1">
        <f>HYPERLINK("https://lsnyc.legalserver.org/matter/dynamic-profile/view/1879082","18-1879082")</f>
        <v>0</v>
      </c>
      <c r="B288" t="s">
        <v>75</v>
      </c>
      <c r="C288" t="s">
        <v>93</v>
      </c>
      <c r="D288" t="s">
        <v>256</v>
      </c>
      <c r="F288" t="s">
        <v>480</v>
      </c>
      <c r="G288" t="s">
        <v>1015</v>
      </c>
      <c r="H288" t="s">
        <v>1558</v>
      </c>
      <c r="I288" t="s">
        <v>1920</v>
      </c>
      <c r="J288" t="s">
        <v>2205</v>
      </c>
      <c r="K288">
        <v>11221</v>
      </c>
      <c r="N288" t="s">
        <v>2233</v>
      </c>
      <c r="O288" t="s">
        <v>2245</v>
      </c>
      <c r="Q288" t="s">
        <v>2933</v>
      </c>
      <c r="R288">
        <v>5</v>
      </c>
      <c r="S288">
        <v>2</v>
      </c>
      <c r="T288">
        <v>136.63</v>
      </c>
      <c r="W288">
        <v>52000</v>
      </c>
      <c r="X288" t="s">
        <v>3530</v>
      </c>
      <c r="Y288">
        <v>0.08</v>
      </c>
      <c r="Z288" t="s">
        <v>221</v>
      </c>
      <c r="AA288" t="s">
        <v>90</v>
      </c>
      <c r="AC288" t="s">
        <v>3942</v>
      </c>
      <c r="AD288" t="s">
        <v>155</v>
      </c>
      <c r="AF288" t="s">
        <v>4059</v>
      </c>
      <c r="AH288" t="s">
        <v>4078</v>
      </c>
      <c r="AJ288" t="s">
        <v>3942</v>
      </c>
      <c r="AL288" t="s">
        <v>4087</v>
      </c>
      <c r="AM288" t="s">
        <v>2230</v>
      </c>
      <c r="AO288">
        <v>834</v>
      </c>
      <c r="AQ288">
        <v>12</v>
      </c>
      <c r="AS288" t="s">
        <v>4113</v>
      </c>
      <c r="AU288" t="s">
        <v>4128</v>
      </c>
      <c r="AW288">
        <v>26</v>
      </c>
      <c r="AY288" t="s">
        <v>4140</v>
      </c>
      <c r="BB288" t="s">
        <v>4154</v>
      </c>
      <c r="BF288" t="s">
        <v>4281</v>
      </c>
      <c r="BM288" t="s">
        <v>4627</v>
      </c>
    </row>
    <row r="289" spans="1:65">
      <c r="A289" s="1">
        <f>HYPERLINK("https://lsnyc.legalserver.org/matter/dynamic-profile/view/1867098","18-1867098")</f>
        <v>0</v>
      </c>
      <c r="B289" t="s">
        <v>75</v>
      </c>
      <c r="C289" t="s">
        <v>93</v>
      </c>
      <c r="D289" t="s">
        <v>257</v>
      </c>
      <c r="F289" t="s">
        <v>667</v>
      </c>
      <c r="G289" t="s">
        <v>1201</v>
      </c>
      <c r="H289" t="s">
        <v>1700</v>
      </c>
      <c r="I289" t="s">
        <v>2010</v>
      </c>
      <c r="J289" t="s">
        <v>2205</v>
      </c>
      <c r="K289">
        <v>11212</v>
      </c>
      <c r="N289" t="s">
        <v>2233</v>
      </c>
      <c r="O289" t="s">
        <v>2455</v>
      </c>
      <c r="P289" t="s">
        <v>2930</v>
      </c>
      <c r="R289">
        <v>2</v>
      </c>
      <c r="S289">
        <v>0</v>
      </c>
      <c r="T289">
        <v>194.41</v>
      </c>
      <c r="W289">
        <v>32000</v>
      </c>
      <c r="Y289">
        <v>1</v>
      </c>
      <c r="Z289" t="s">
        <v>240</v>
      </c>
      <c r="AA289" t="s">
        <v>90</v>
      </c>
      <c r="AC289" t="s">
        <v>3942</v>
      </c>
      <c r="AD289" t="s">
        <v>3947</v>
      </c>
      <c r="AF289" t="s">
        <v>4061</v>
      </c>
      <c r="AH289" t="s">
        <v>4078</v>
      </c>
      <c r="AJ289" t="s">
        <v>3942</v>
      </c>
      <c r="AL289" t="s">
        <v>4070</v>
      </c>
      <c r="AM289" t="s">
        <v>2230</v>
      </c>
      <c r="AO289">
        <v>1375</v>
      </c>
      <c r="AQ289">
        <v>32</v>
      </c>
      <c r="AS289" t="s">
        <v>4113</v>
      </c>
      <c r="AT289" t="s">
        <v>4127</v>
      </c>
      <c r="AW289">
        <v>2</v>
      </c>
      <c r="AY289" t="s">
        <v>4140</v>
      </c>
      <c r="BB289" t="s">
        <v>4154</v>
      </c>
      <c r="BF289" t="s">
        <v>4281</v>
      </c>
      <c r="BM289" t="s">
        <v>4627</v>
      </c>
    </row>
    <row r="290" spans="1:65">
      <c r="A290" s="1">
        <f>HYPERLINK("https://lsnyc.legalserver.org/matter/dynamic-profile/view/1879085","18-1879085")</f>
        <v>0</v>
      </c>
      <c r="B290" t="s">
        <v>75</v>
      </c>
      <c r="C290" t="s">
        <v>93</v>
      </c>
      <c r="D290" t="s">
        <v>256</v>
      </c>
      <c r="F290" t="s">
        <v>480</v>
      </c>
      <c r="G290" t="s">
        <v>1015</v>
      </c>
      <c r="H290" t="s">
        <v>1558</v>
      </c>
      <c r="I290" t="s">
        <v>1920</v>
      </c>
      <c r="J290" t="s">
        <v>2205</v>
      </c>
      <c r="K290">
        <v>11221</v>
      </c>
      <c r="N290" t="s">
        <v>2233</v>
      </c>
      <c r="O290" t="s">
        <v>2245</v>
      </c>
      <c r="Q290" t="s">
        <v>2933</v>
      </c>
      <c r="R290">
        <v>5</v>
      </c>
      <c r="S290">
        <v>2</v>
      </c>
      <c r="T290">
        <v>136.63</v>
      </c>
      <c r="W290">
        <v>52000</v>
      </c>
      <c r="X290" t="s">
        <v>3531</v>
      </c>
      <c r="Y290">
        <v>1</v>
      </c>
      <c r="Z290" t="s">
        <v>3835</v>
      </c>
      <c r="AA290" t="s">
        <v>90</v>
      </c>
      <c r="AC290" t="s">
        <v>3942</v>
      </c>
      <c r="AD290" t="s">
        <v>3985</v>
      </c>
      <c r="AF290" t="s">
        <v>4058</v>
      </c>
      <c r="AH290" t="s">
        <v>4076</v>
      </c>
      <c r="AJ290" t="s">
        <v>3942</v>
      </c>
      <c r="AL290" t="s">
        <v>4087</v>
      </c>
      <c r="AM290" t="s">
        <v>2230</v>
      </c>
      <c r="AO290">
        <v>834</v>
      </c>
      <c r="AQ290">
        <v>12</v>
      </c>
      <c r="AS290" t="s">
        <v>4113</v>
      </c>
      <c r="AU290" t="s">
        <v>4128</v>
      </c>
      <c r="AW290">
        <v>26</v>
      </c>
      <c r="AY290" t="s">
        <v>4140</v>
      </c>
      <c r="BB290" t="s">
        <v>4154</v>
      </c>
      <c r="BF290" t="s">
        <v>4281</v>
      </c>
      <c r="BG290" t="s">
        <v>4421</v>
      </c>
      <c r="BM290" t="s">
        <v>4627</v>
      </c>
    </row>
    <row r="291" spans="1:65">
      <c r="A291" s="1">
        <f>HYPERLINK("https://lsnyc.legalserver.org/matter/dynamic-profile/view/1876016","18-1876016")</f>
        <v>0</v>
      </c>
      <c r="B291" t="s">
        <v>75</v>
      </c>
      <c r="C291" t="s">
        <v>93</v>
      </c>
      <c r="D291" t="s">
        <v>126</v>
      </c>
      <c r="F291" t="s">
        <v>666</v>
      </c>
      <c r="G291" t="s">
        <v>1083</v>
      </c>
      <c r="H291" t="s">
        <v>1696</v>
      </c>
      <c r="I291" t="s">
        <v>2009</v>
      </c>
      <c r="J291" t="s">
        <v>2205</v>
      </c>
      <c r="K291">
        <v>11225</v>
      </c>
      <c r="N291" t="s">
        <v>2233</v>
      </c>
      <c r="O291" t="s">
        <v>2454</v>
      </c>
      <c r="Q291" t="s">
        <v>3122</v>
      </c>
      <c r="R291">
        <v>1</v>
      </c>
      <c r="S291">
        <v>0</v>
      </c>
      <c r="T291">
        <v>0</v>
      </c>
      <c r="W291">
        <v>0</v>
      </c>
      <c r="X291" t="s">
        <v>3473</v>
      </c>
      <c r="Y291">
        <v>0</v>
      </c>
      <c r="AA291" t="s">
        <v>90</v>
      </c>
      <c r="AC291" t="s">
        <v>3942</v>
      </c>
      <c r="AF291" t="s">
        <v>4054</v>
      </c>
      <c r="AH291" t="s">
        <v>3510</v>
      </c>
      <c r="AJ291" t="s">
        <v>3943</v>
      </c>
      <c r="AK291" t="s">
        <v>4084</v>
      </c>
      <c r="AM291" t="s">
        <v>2230</v>
      </c>
      <c r="AO291">
        <v>978.0700000000001</v>
      </c>
      <c r="AQ291">
        <v>89</v>
      </c>
      <c r="AS291" t="s">
        <v>4113</v>
      </c>
      <c r="AU291" t="s">
        <v>4128</v>
      </c>
      <c r="AW291">
        <v>28</v>
      </c>
      <c r="AY291" t="s">
        <v>4140</v>
      </c>
      <c r="AZ291" t="s">
        <v>4148</v>
      </c>
      <c r="BB291" t="s">
        <v>4154</v>
      </c>
      <c r="BF291" t="s">
        <v>4281</v>
      </c>
      <c r="BG291" t="s">
        <v>4054</v>
      </c>
      <c r="BM291" t="s">
        <v>4627</v>
      </c>
    </row>
    <row r="292" spans="1:65">
      <c r="A292" s="1">
        <f>HYPERLINK("https://lsnyc.legalserver.org/matter/dynamic-profile/view/1896653","19-1896653")</f>
        <v>0</v>
      </c>
      <c r="B292" t="s">
        <v>75</v>
      </c>
      <c r="C292" t="s">
        <v>93</v>
      </c>
      <c r="D292" t="s">
        <v>258</v>
      </c>
      <c r="F292" t="s">
        <v>668</v>
      </c>
      <c r="G292" t="s">
        <v>1202</v>
      </c>
      <c r="H292" t="s">
        <v>1663</v>
      </c>
      <c r="I292" t="s">
        <v>2011</v>
      </c>
      <c r="J292" t="s">
        <v>2205</v>
      </c>
      <c r="K292">
        <v>11213</v>
      </c>
      <c r="N292" t="s">
        <v>2233</v>
      </c>
      <c r="O292" t="s">
        <v>2456</v>
      </c>
      <c r="Q292" t="s">
        <v>3123</v>
      </c>
      <c r="R292">
        <v>1</v>
      </c>
      <c r="S292">
        <v>0</v>
      </c>
      <c r="T292">
        <v>512.41</v>
      </c>
      <c r="W292">
        <v>64000</v>
      </c>
      <c r="X292" t="s">
        <v>3532</v>
      </c>
      <c r="Y292">
        <v>0</v>
      </c>
      <c r="AA292" t="s">
        <v>70</v>
      </c>
      <c r="AC292" t="s">
        <v>3942</v>
      </c>
      <c r="AD292" t="s">
        <v>446</v>
      </c>
      <c r="AF292" t="s">
        <v>4059</v>
      </c>
      <c r="AH292" t="s">
        <v>4078</v>
      </c>
      <c r="AJ292" t="s">
        <v>3942</v>
      </c>
      <c r="AL292" t="s">
        <v>4087</v>
      </c>
      <c r="AM292" t="s">
        <v>2230</v>
      </c>
      <c r="AO292">
        <v>540</v>
      </c>
      <c r="AQ292">
        <v>6</v>
      </c>
      <c r="AS292" t="s">
        <v>4113</v>
      </c>
      <c r="AU292" t="s">
        <v>4128</v>
      </c>
      <c r="AW292">
        <v>18</v>
      </c>
      <c r="AY292" t="s">
        <v>4140</v>
      </c>
      <c r="BC292" t="s">
        <v>4155</v>
      </c>
      <c r="BF292" t="s">
        <v>4281</v>
      </c>
      <c r="BG292" t="s">
        <v>4422</v>
      </c>
      <c r="BM292" t="s">
        <v>4627</v>
      </c>
    </row>
    <row r="293" spans="1:65">
      <c r="A293" s="1">
        <f>HYPERLINK("https://lsnyc.legalserver.org/matter/dynamic-profile/view/1865606","18-1865606")</f>
        <v>0</v>
      </c>
      <c r="B293" t="s">
        <v>75</v>
      </c>
      <c r="C293" t="s">
        <v>93</v>
      </c>
      <c r="D293" t="s">
        <v>259</v>
      </c>
      <c r="F293" t="s">
        <v>669</v>
      </c>
      <c r="G293" t="s">
        <v>1203</v>
      </c>
      <c r="H293" t="s">
        <v>1701</v>
      </c>
      <c r="I293" t="s">
        <v>1924</v>
      </c>
      <c r="J293" t="s">
        <v>2205</v>
      </c>
      <c r="K293">
        <v>11233</v>
      </c>
      <c r="N293" t="s">
        <v>2233</v>
      </c>
      <c r="O293" t="s">
        <v>2457</v>
      </c>
      <c r="Q293" t="s">
        <v>3124</v>
      </c>
      <c r="R293">
        <v>5</v>
      </c>
      <c r="S293">
        <v>1</v>
      </c>
      <c r="T293">
        <v>141.79</v>
      </c>
      <c r="W293">
        <v>47840</v>
      </c>
      <c r="Y293">
        <v>30.33</v>
      </c>
      <c r="Z293" t="s">
        <v>3836</v>
      </c>
      <c r="AA293" t="s">
        <v>90</v>
      </c>
      <c r="AC293" t="s">
        <v>3942</v>
      </c>
      <c r="AD293" t="s">
        <v>259</v>
      </c>
      <c r="AE293" t="s">
        <v>4049</v>
      </c>
      <c r="AH293" t="s">
        <v>3510</v>
      </c>
      <c r="AJ293" t="s">
        <v>3942</v>
      </c>
      <c r="AL293" t="s">
        <v>4090</v>
      </c>
      <c r="AM293" t="s">
        <v>2230</v>
      </c>
      <c r="AO293">
        <v>1023.63</v>
      </c>
      <c r="AQ293">
        <v>8</v>
      </c>
      <c r="AR293" t="s">
        <v>4112</v>
      </c>
      <c r="AT293" t="s">
        <v>4127</v>
      </c>
      <c r="AW293">
        <v>28</v>
      </c>
      <c r="AY293" t="s">
        <v>4140</v>
      </c>
      <c r="BB293" t="s">
        <v>4154</v>
      </c>
      <c r="BF293" t="s">
        <v>4281</v>
      </c>
      <c r="BG293" t="s">
        <v>4054</v>
      </c>
      <c r="BM293" t="s">
        <v>4627</v>
      </c>
    </row>
    <row r="294" spans="1:65">
      <c r="A294" s="1">
        <f>HYPERLINK("https://lsnyc.legalserver.org/matter/dynamic-profile/view/0831602","17-0831602")</f>
        <v>0</v>
      </c>
      <c r="B294" t="s">
        <v>75</v>
      </c>
      <c r="C294" t="s">
        <v>93</v>
      </c>
      <c r="D294" t="s">
        <v>260</v>
      </c>
      <c r="F294" t="s">
        <v>667</v>
      </c>
      <c r="G294" t="s">
        <v>1201</v>
      </c>
      <c r="H294" t="s">
        <v>1700</v>
      </c>
      <c r="I294" t="s">
        <v>2010</v>
      </c>
      <c r="J294" t="s">
        <v>2205</v>
      </c>
      <c r="K294">
        <v>11212</v>
      </c>
      <c r="N294" t="s">
        <v>2233</v>
      </c>
      <c r="O294" t="s">
        <v>2455</v>
      </c>
      <c r="P294" t="s">
        <v>2930</v>
      </c>
      <c r="R294">
        <v>2</v>
      </c>
      <c r="S294">
        <v>0</v>
      </c>
      <c r="T294">
        <v>197.04</v>
      </c>
      <c r="W294">
        <v>32000</v>
      </c>
      <c r="Y294">
        <v>0.5</v>
      </c>
      <c r="Z294" t="s">
        <v>3837</v>
      </c>
      <c r="AA294" t="s">
        <v>75</v>
      </c>
      <c r="AC294" t="s">
        <v>3942</v>
      </c>
      <c r="AD294" t="s">
        <v>260</v>
      </c>
      <c r="AF294" t="s">
        <v>4054</v>
      </c>
      <c r="AH294" t="s">
        <v>3510</v>
      </c>
      <c r="AJ294" t="s">
        <v>3942</v>
      </c>
      <c r="AL294" t="s">
        <v>4070</v>
      </c>
      <c r="AM294" t="s">
        <v>2230</v>
      </c>
      <c r="AO294">
        <v>1375</v>
      </c>
      <c r="AQ294">
        <v>32</v>
      </c>
      <c r="AS294" t="s">
        <v>4113</v>
      </c>
      <c r="AT294" t="s">
        <v>4127</v>
      </c>
      <c r="AW294">
        <v>2</v>
      </c>
      <c r="AY294" t="s">
        <v>4140</v>
      </c>
      <c r="BB294" t="s">
        <v>4154</v>
      </c>
      <c r="BG294" t="s">
        <v>4423</v>
      </c>
      <c r="BM294" t="s">
        <v>4627</v>
      </c>
    </row>
    <row r="295" spans="1:65">
      <c r="A295" s="1">
        <f>HYPERLINK("https://lsnyc.legalserver.org/matter/dynamic-profile/view/1872081","18-1872081")</f>
        <v>0</v>
      </c>
      <c r="B295" t="s">
        <v>75</v>
      </c>
      <c r="C295" t="s">
        <v>93</v>
      </c>
      <c r="D295" t="s">
        <v>197</v>
      </c>
      <c r="F295" t="s">
        <v>662</v>
      </c>
      <c r="G295" t="s">
        <v>1196</v>
      </c>
      <c r="H295" t="s">
        <v>1696</v>
      </c>
      <c r="I295" t="s">
        <v>2007</v>
      </c>
      <c r="J295" t="s">
        <v>2205</v>
      </c>
      <c r="K295">
        <v>11225</v>
      </c>
      <c r="N295" t="s">
        <v>2233</v>
      </c>
      <c r="O295" t="s">
        <v>2431</v>
      </c>
      <c r="Q295" t="s">
        <v>3118</v>
      </c>
      <c r="R295">
        <v>2</v>
      </c>
      <c r="S295">
        <v>2</v>
      </c>
      <c r="T295">
        <v>0</v>
      </c>
      <c r="W295">
        <v>0</v>
      </c>
      <c r="Y295">
        <v>0</v>
      </c>
      <c r="AA295" t="s">
        <v>90</v>
      </c>
      <c r="AC295" t="s">
        <v>3942</v>
      </c>
      <c r="AD295" t="s">
        <v>3982</v>
      </c>
      <c r="AF295" t="s">
        <v>4061</v>
      </c>
      <c r="AH295" t="s">
        <v>3510</v>
      </c>
      <c r="AJ295" t="s">
        <v>3942</v>
      </c>
      <c r="AL295" t="s">
        <v>4089</v>
      </c>
      <c r="AM295" t="s">
        <v>2230</v>
      </c>
      <c r="AO295">
        <v>757.21</v>
      </c>
      <c r="AQ295">
        <v>89</v>
      </c>
      <c r="AS295" t="s">
        <v>4113</v>
      </c>
      <c r="AU295" t="s">
        <v>4128</v>
      </c>
      <c r="AW295">
        <v>29</v>
      </c>
      <c r="AY295" t="s">
        <v>4140</v>
      </c>
      <c r="BB295" t="s">
        <v>4154</v>
      </c>
      <c r="BF295" t="s">
        <v>4281</v>
      </c>
      <c r="BM295" t="s">
        <v>4627</v>
      </c>
    </row>
    <row r="296" spans="1:65">
      <c r="A296" s="1">
        <f>HYPERLINK("https://lsnyc.legalserver.org/matter/dynamic-profile/view/1871628","18-1871628")</f>
        <v>0</v>
      </c>
      <c r="B296" t="s">
        <v>75</v>
      </c>
      <c r="C296" t="s">
        <v>93</v>
      </c>
      <c r="D296" t="s">
        <v>261</v>
      </c>
      <c r="F296" t="s">
        <v>670</v>
      </c>
      <c r="G296" t="s">
        <v>1021</v>
      </c>
      <c r="H296" t="s">
        <v>1700</v>
      </c>
      <c r="I296" t="s">
        <v>1942</v>
      </c>
      <c r="J296" t="s">
        <v>2205</v>
      </c>
      <c r="K296">
        <v>11212</v>
      </c>
      <c r="N296" t="s">
        <v>2233</v>
      </c>
      <c r="O296" t="s">
        <v>2458</v>
      </c>
      <c r="Q296" t="s">
        <v>3125</v>
      </c>
      <c r="R296">
        <v>2</v>
      </c>
      <c r="S296">
        <v>0</v>
      </c>
      <c r="T296">
        <v>131.66</v>
      </c>
      <c r="W296">
        <v>21672</v>
      </c>
      <c r="Y296">
        <v>0</v>
      </c>
      <c r="AA296" t="s">
        <v>3913</v>
      </c>
      <c r="AC296" t="s">
        <v>3942</v>
      </c>
      <c r="AD296" t="s">
        <v>3986</v>
      </c>
      <c r="AF296" t="s">
        <v>4054</v>
      </c>
      <c r="AH296" t="s">
        <v>3510</v>
      </c>
      <c r="AJ296" t="s">
        <v>3942</v>
      </c>
      <c r="AL296" t="s">
        <v>4070</v>
      </c>
      <c r="AM296" t="s">
        <v>2230</v>
      </c>
      <c r="AO296">
        <v>755</v>
      </c>
      <c r="AQ296">
        <v>32</v>
      </c>
      <c r="AS296" t="s">
        <v>4113</v>
      </c>
      <c r="AU296" t="s">
        <v>4128</v>
      </c>
      <c r="AW296">
        <v>30</v>
      </c>
      <c r="AY296" t="s">
        <v>4140</v>
      </c>
      <c r="BB296" t="s">
        <v>4154</v>
      </c>
      <c r="BF296" t="s">
        <v>4281</v>
      </c>
      <c r="BM296" t="s">
        <v>4627</v>
      </c>
    </row>
    <row r="297" spans="1:65">
      <c r="A297" s="1">
        <f>HYPERLINK("https://lsnyc.legalserver.org/matter/dynamic-profile/view/1907796","19-1907796")</f>
        <v>0</v>
      </c>
      <c r="B297" t="s">
        <v>75</v>
      </c>
      <c r="C297" t="s">
        <v>93</v>
      </c>
      <c r="D297" t="s">
        <v>157</v>
      </c>
      <c r="F297" t="s">
        <v>544</v>
      </c>
      <c r="G297" t="s">
        <v>1117</v>
      </c>
      <c r="H297" t="s">
        <v>1605</v>
      </c>
      <c r="I297" t="s">
        <v>2012</v>
      </c>
      <c r="J297" t="s">
        <v>2205</v>
      </c>
      <c r="K297">
        <v>11212</v>
      </c>
      <c r="N297" t="s">
        <v>2233</v>
      </c>
      <c r="O297" t="s">
        <v>2459</v>
      </c>
      <c r="Q297" t="s">
        <v>3126</v>
      </c>
      <c r="R297">
        <v>1</v>
      </c>
      <c r="S297">
        <v>0</v>
      </c>
      <c r="T297">
        <v>137.97</v>
      </c>
      <c r="W297">
        <v>17232</v>
      </c>
      <c r="Y297">
        <v>0.08</v>
      </c>
      <c r="Z297" t="s">
        <v>3838</v>
      </c>
      <c r="AA297" t="s">
        <v>70</v>
      </c>
      <c r="AC297" t="s">
        <v>3942</v>
      </c>
      <c r="AD297" t="s">
        <v>163</v>
      </c>
      <c r="AF297" t="s">
        <v>4061</v>
      </c>
      <c r="AH297" t="s">
        <v>3510</v>
      </c>
      <c r="AJ297" t="s">
        <v>3942</v>
      </c>
      <c r="AL297" t="s">
        <v>4087</v>
      </c>
      <c r="AM297" t="s">
        <v>2230</v>
      </c>
      <c r="AO297">
        <v>430.8</v>
      </c>
      <c r="AQ297">
        <v>96</v>
      </c>
      <c r="AS297" t="s">
        <v>4113</v>
      </c>
      <c r="AU297" t="s">
        <v>4070</v>
      </c>
      <c r="AW297">
        <v>4</v>
      </c>
      <c r="AY297" t="s">
        <v>4140</v>
      </c>
      <c r="BA297" t="s">
        <v>4149</v>
      </c>
      <c r="BC297" t="s">
        <v>4155</v>
      </c>
      <c r="BE297" t="s">
        <v>4211</v>
      </c>
      <c r="BF297" t="s">
        <v>4281</v>
      </c>
      <c r="BG297" t="s">
        <v>4128</v>
      </c>
      <c r="BM297" t="s">
        <v>4627</v>
      </c>
    </row>
    <row r="298" spans="1:65">
      <c r="A298" s="1">
        <f>HYPERLINK("https://lsnyc.legalserver.org/matter/dynamic-profile/view/1867103","18-1867103")</f>
        <v>0</v>
      </c>
      <c r="B298" t="s">
        <v>75</v>
      </c>
      <c r="C298" t="s">
        <v>93</v>
      </c>
      <c r="D298" t="s">
        <v>257</v>
      </c>
      <c r="F298" t="s">
        <v>665</v>
      </c>
      <c r="G298" t="s">
        <v>1200</v>
      </c>
      <c r="H298" t="s">
        <v>1700</v>
      </c>
      <c r="I298" t="s">
        <v>2008</v>
      </c>
      <c r="J298" t="s">
        <v>2205</v>
      </c>
      <c r="K298">
        <v>11212</v>
      </c>
      <c r="N298" t="s">
        <v>2233</v>
      </c>
      <c r="O298" t="s">
        <v>2453</v>
      </c>
      <c r="Q298" t="s">
        <v>3121</v>
      </c>
      <c r="R298">
        <v>1</v>
      </c>
      <c r="S298">
        <v>0</v>
      </c>
      <c r="T298">
        <v>197.69</v>
      </c>
      <c r="W298">
        <v>24000</v>
      </c>
      <c r="Y298">
        <v>0</v>
      </c>
      <c r="AA298" t="s">
        <v>90</v>
      </c>
      <c r="AC298" t="s">
        <v>3942</v>
      </c>
      <c r="AD298" t="s">
        <v>3947</v>
      </c>
      <c r="AF298" t="s">
        <v>4061</v>
      </c>
      <c r="AH298" t="s">
        <v>4078</v>
      </c>
      <c r="AJ298" t="s">
        <v>3942</v>
      </c>
      <c r="AL298" t="s">
        <v>4070</v>
      </c>
      <c r="AM298" t="s">
        <v>2230</v>
      </c>
      <c r="AO298">
        <v>920.21</v>
      </c>
      <c r="AQ298">
        <v>32</v>
      </c>
      <c r="AS298" t="s">
        <v>4113</v>
      </c>
      <c r="AU298" t="s">
        <v>4128</v>
      </c>
      <c r="AW298">
        <v>18</v>
      </c>
      <c r="AY298" t="s">
        <v>4140</v>
      </c>
      <c r="BB298" t="s">
        <v>4154</v>
      </c>
      <c r="BF298" t="s">
        <v>4281</v>
      </c>
      <c r="BM298" t="s">
        <v>4627</v>
      </c>
    </row>
    <row r="299" spans="1:65">
      <c r="A299" s="1">
        <f>HYPERLINK("https://lsnyc.legalserver.org/matter/dynamic-profile/view/1896646","19-1896646")</f>
        <v>0</v>
      </c>
      <c r="B299" t="s">
        <v>75</v>
      </c>
      <c r="C299" t="s">
        <v>93</v>
      </c>
      <c r="D299" t="s">
        <v>258</v>
      </c>
      <c r="F299" t="s">
        <v>668</v>
      </c>
      <c r="G299" t="s">
        <v>1202</v>
      </c>
      <c r="H299" t="s">
        <v>1663</v>
      </c>
      <c r="I299" t="s">
        <v>2011</v>
      </c>
      <c r="J299" t="s">
        <v>2205</v>
      </c>
      <c r="K299">
        <v>11213</v>
      </c>
      <c r="N299" t="s">
        <v>2233</v>
      </c>
      <c r="O299" t="s">
        <v>2456</v>
      </c>
      <c r="Q299" t="s">
        <v>3123</v>
      </c>
      <c r="R299">
        <v>1</v>
      </c>
      <c r="S299">
        <v>0</v>
      </c>
      <c r="T299">
        <v>512.41</v>
      </c>
      <c r="W299">
        <v>64000</v>
      </c>
      <c r="Y299">
        <v>0</v>
      </c>
      <c r="AA299" t="s">
        <v>70</v>
      </c>
      <c r="AC299" t="s">
        <v>3942</v>
      </c>
      <c r="AD299" t="s">
        <v>385</v>
      </c>
      <c r="AF299" t="s">
        <v>4061</v>
      </c>
      <c r="AH299" t="s">
        <v>3510</v>
      </c>
      <c r="AJ299" t="s">
        <v>3942</v>
      </c>
      <c r="AL299" t="s">
        <v>4087</v>
      </c>
      <c r="AM299" t="s">
        <v>2230</v>
      </c>
      <c r="AO299">
        <v>540</v>
      </c>
      <c r="AQ299">
        <v>6</v>
      </c>
      <c r="AS299" t="s">
        <v>4113</v>
      </c>
      <c r="AU299" t="s">
        <v>4128</v>
      </c>
      <c r="AW299">
        <v>18</v>
      </c>
      <c r="AY299" t="s">
        <v>4140</v>
      </c>
      <c r="BC299" t="s">
        <v>4155</v>
      </c>
      <c r="BE299" t="s">
        <v>4128</v>
      </c>
      <c r="BF299" t="s">
        <v>4281</v>
      </c>
      <c r="BG299" t="s">
        <v>4054</v>
      </c>
      <c r="BM299" t="s">
        <v>4627</v>
      </c>
    </row>
    <row r="300" spans="1:65">
      <c r="A300" s="1">
        <f>HYPERLINK("https://lsnyc.legalserver.org/matter/dynamic-profile/view/1872376","18-1872376")</f>
        <v>0</v>
      </c>
      <c r="B300" t="s">
        <v>75</v>
      </c>
      <c r="C300" t="s">
        <v>93</v>
      </c>
      <c r="D300" t="s">
        <v>262</v>
      </c>
      <c r="F300" t="s">
        <v>484</v>
      </c>
      <c r="G300" t="s">
        <v>1194</v>
      </c>
      <c r="H300" t="s">
        <v>1695</v>
      </c>
      <c r="I300" t="s">
        <v>1948</v>
      </c>
      <c r="J300" t="s">
        <v>2205</v>
      </c>
      <c r="K300">
        <v>11206</v>
      </c>
      <c r="N300" t="s">
        <v>2233</v>
      </c>
      <c r="O300" t="s">
        <v>2447</v>
      </c>
      <c r="Q300" t="s">
        <v>3115</v>
      </c>
      <c r="R300">
        <v>1</v>
      </c>
      <c r="S300">
        <v>0</v>
      </c>
      <c r="T300">
        <v>197.69</v>
      </c>
      <c r="W300">
        <v>24000</v>
      </c>
      <c r="Y300">
        <v>7.5</v>
      </c>
      <c r="Z300" t="s">
        <v>446</v>
      </c>
      <c r="AA300" t="s">
        <v>3913</v>
      </c>
      <c r="AC300" t="s">
        <v>3942</v>
      </c>
      <c r="AD300" t="s">
        <v>3987</v>
      </c>
      <c r="AF300" t="s">
        <v>4059</v>
      </c>
      <c r="AH300" t="s">
        <v>4078</v>
      </c>
      <c r="AJ300" t="s">
        <v>3942</v>
      </c>
      <c r="AL300" t="s">
        <v>4087</v>
      </c>
      <c r="AM300" t="s">
        <v>2230</v>
      </c>
      <c r="AO300">
        <v>1157.82</v>
      </c>
      <c r="AQ300">
        <v>25</v>
      </c>
      <c r="AS300" t="s">
        <v>4116</v>
      </c>
      <c r="AU300" t="s">
        <v>4128</v>
      </c>
      <c r="AW300">
        <v>25</v>
      </c>
      <c r="AY300" t="s">
        <v>4140</v>
      </c>
      <c r="BB300" t="s">
        <v>4154</v>
      </c>
      <c r="BG300" t="s">
        <v>4424</v>
      </c>
      <c r="BM300" t="s">
        <v>4627</v>
      </c>
    </row>
    <row r="301" spans="1:65">
      <c r="A301" s="1">
        <f>HYPERLINK("https://lsnyc.legalserver.org/matter/dynamic-profile/view/1896648","19-1896648")</f>
        <v>0</v>
      </c>
      <c r="B301" t="s">
        <v>75</v>
      </c>
      <c r="C301" t="s">
        <v>93</v>
      </c>
      <c r="D301" t="s">
        <v>258</v>
      </c>
      <c r="F301" t="s">
        <v>668</v>
      </c>
      <c r="G301" t="s">
        <v>1202</v>
      </c>
      <c r="H301" t="s">
        <v>1663</v>
      </c>
      <c r="I301" t="s">
        <v>2011</v>
      </c>
      <c r="J301" t="s">
        <v>2205</v>
      </c>
      <c r="K301">
        <v>11213</v>
      </c>
      <c r="N301" t="s">
        <v>2233</v>
      </c>
      <c r="O301" t="s">
        <v>2456</v>
      </c>
      <c r="Q301" t="s">
        <v>3123</v>
      </c>
      <c r="R301">
        <v>1</v>
      </c>
      <c r="S301">
        <v>0</v>
      </c>
      <c r="T301">
        <v>512.41</v>
      </c>
      <c r="W301">
        <v>64000</v>
      </c>
      <c r="X301" t="s">
        <v>3533</v>
      </c>
      <c r="Y301">
        <v>0</v>
      </c>
      <c r="AA301" t="s">
        <v>70</v>
      </c>
      <c r="AC301" t="s">
        <v>3942</v>
      </c>
      <c r="AD301" t="s">
        <v>158</v>
      </c>
      <c r="AF301" t="s">
        <v>4061</v>
      </c>
      <c r="AH301" t="s">
        <v>3510</v>
      </c>
      <c r="AJ301" t="s">
        <v>3942</v>
      </c>
      <c r="AL301" t="s">
        <v>4087</v>
      </c>
      <c r="AM301" t="s">
        <v>2230</v>
      </c>
      <c r="AO301">
        <v>540</v>
      </c>
      <c r="AQ301">
        <v>6</v>
      </c>
      <c r="AS301" t="s">
        <v>4113</v>
      </c>
      <c r="AU301" t="s">
        <v>4128</v>
      </c>
      <c r="AW301">
        <v>18</v>
      </c>
      <c r="AY301" t="s">
        <v>4140</v>
      </c>
      <c r="BC301" t="s">
        <v>4155</v>
      </c>
      <c r="BF301" t="s">
        <v>4281</v>
      </c>
      <c r="BG301" t="s">
        <v>4054</v>
      </c>
      <c r="BM301" t="s">
        <v>4627</v>
      </c>
    </row>
    <row r="302" spans="1:65">
      <c r="A302" s="1">
        <f>HYPERLINK("https://lsnyc.legalserver.org/matter/dynamic-profile/view/1872110","18-1872110")</f>
        <v>0</v>
      </c>
      <c r="B302" t="s">
        <v>75</v>
      </c>
      <c r="C302" t="s">
        <v>93</v>
      </c>
      <c r="D302" t="s">
        <v>197</v>
      </c>
      <c r="F302" t="s">
        <v>671</v>
      </c>
      <c r="G302" t="s">
        <v>1204</v>
      </c>
      <c r="H302" t="s">
        <v>1696</v>
      </c>
      <c r="I302" t="s">
        <v>2013</v>
      </c>
      <c r="J302" t="s">
        <v>2205</v>
      </c>
      <c r="K302">
        <v>11225</v>
      </c>
      <c r="N302" t="s">
        <v>2233</v>
      </c>
      <c r="O302" t="s">
        <v>2460</v>
      </c>
      <c r="Q302" t="s">
        <v>3127</v>
      </c>
      <c r="R302">
        <v>1</v>
      </c>
      <c r="S302">
        <v>0</v>
      </c>
      <c r="T302">
        <v>0</v>
      </c>
      <c r="W302">
        <v>0</v>
      </c>
      <c r="Y302">
        <v>0</v>
      </c>
      <c r="AA302" t="s">
        <v>90</v>
      </c>
      <c r="AC302" t="s">
        <v>3942</v>
      </c>
      <c r="AD302" t="s">
        <v>3982</v>
      </c>
      <c r="AF302" t="s">
        <v>4061</v>
      </c>
      <c r="AH302" t="s">
        <v>3510</v>
      </c>
      <c r="AJ302" t="s">
        <v>3942</v>
      </c>
      <c r="AL302" t="s">
        <v>4089</v>
      </c>
      <c r="AM302" t="s">
        <v>2230</v>
      </c>
      <c r="AO302">
        <v>1021</v>
      </c>
      <c r="AQ302">
        <v>89</v>
      </c>
      <c r="AS302" t="s">
        <v>4113</v>
      </c>
      <c r="AU302" t="s">
        <v>4128</v>
      </c>
      <c r="AW302">
        <v>17</v>
      </c>
      <c r="AY302" t="s">
        <v>4140</v>
      </c>
      <c r="BB302" t="s">
        <v>4154</v>
      </c>
      <c r="BF302" t="s">
        <v>4281</v>
      </c>
      <c r="BM302" t="s">
        <v>4627</v>
      </c>
    </row>
    <row r="303" spans="1:65">
      <c r="A303" s="1">
        <f>HYPERLINK("https://lsnyc.legalserver.org/matter/dynamic-profile/view/1869417","18-1869417")</f>
        <v>0</v>
      </c>
      <c r="B303" t="s">
        <v>75</v>
      </c>
      <c r="C303" t="s">
        <v>93</v>
      </c>
      <c r="D303" t="s">
        <v>263</v>
      </c>
      <c r="F303" t="s">
        <v>502</v>
      </c>
      <c r="G303" t="s">
        <v>1205</v>
      </c>
      <c r="H303" t="s">
        <v>1701</v>
      </c>
      <c r="I303" t="s">
        <v>1927</v>
      </c>
      <c r="J303" t="s">
        <v>2205</v>
      </c>
      <c r="K303">
        <v>11233</v>
      </c>
      <c r="N303" t="s">
        <v>2233</v>
      </c>
      <c r="O303" t="s">
        <v>2461</v>
      </c>
      <c r="Q303" t="s">
        <v>3128</v>
      </c>
      <c r="R303">
        <v>4</v>
      </c>
      <c r="S303">
        <v>1</v>
      </c>
      <c r="T303">
        <v>0</v>
      </c>
      <c r="W303">
        <v>0</v>
      </c>
      <c r="Y303">
        <v>0</v>
      </c>
      <c r="AA303" t="s">
        <v>90</v>
      </c>
      <c r="AC303" t="s">
        <v>3942</v>
      </c>
      <c r="AD303" t="s">
        <v>259</v>
      </c>
      <c r="AF303" t="s">
        <v>4061</v>
      </c>
      <c r="AH303" t="s">
        <v>3510</v>
      </c>
      <c r="AJ303" t="s">
        <v>3942</v>
      </c>
      <c r="AK303" t="s">
        <v>4084</v>
      </c>
      <c r="AM303" t="s">
        <v>2230</v>
      </c>
      <c r="AO303">
        <v>900</v>
      </c>
      <c r="AQ303">
        <v>8</v>
      </c>
      <c r="AS303" t="s">
        <v>4113</v>
      </c>
      <c r="AU303" t="s">
        <v>4128</v>
      </c>
      <c r="AW303">
        <v>27</v>
      </c>
      <c r="AY303" t="s">
        <v>4140</v>
      </c>
      <c r="BB303" t="s">
        <v>4154</v>
      </c>
      <c r="BF303" t="s">
        <v>4281</v>
      </c>
      <c r="BM303" t="s">
        <v>4627</v>
      </c>
    </row>
    <row r="304" spans="1:65">
      <c r="A304" s="1">
        <f>HYPERLINK("https://lsnyc.legalserver.org/matter/dynamic-profile/view/0830085","17-0830085")</f>
        <v>0</v>
      </c>
      <c r="B304" t="s">
        <v>75</v>
      </c>
      <c r="C304" t="s">
        <v>93</v>
      </c>
      <c r="D304" t="s">
        <v>264</v>
      </c>
      <c r="F304" t="s">
        <v>585</v>
      </c>
      <c r="G304" t="s">
        <v>1206</v>
      </c>
      <c r="H304" t="s">
        <v>1700</v>
      </c>
      <c r="I304" t="s">
        <v>2002</v>
      </c>
      <c r="J304" t="s">
        <v>2205</v>
      </c>
      <c r="K304">
        <v>11212</v>
      </c>
      <c r="N304" t="s">
        <v>2233</v>
      </c>
      <c r="O304" t="s">
        <v>2462</v>
      </c>
      <c r="Q304" t="s">
        <v>3129</v>
      </c>
      <c r="R304">
        <v>3</v>
      </c>
      <c r="S304">
        <v>0</v>
      </c>
      <c r="T304">
        <v>190.99</v>
      </c>
      <c r="W304">
        <v>39000</v>
      </c>
      <c r="Y304">
        <v>0.25</v>
      </c>
      <c r="Z304" t="s">
        <v>330</v>
      </c>
      <c r="AA304" t="s">
        <v>75</v>
      </c>
      <c r="AC304" t="s">
        <v>3942</v>
      </c>
      <c r="AD304" t="s">
        <v>264</v>
      </c>
      <c r="AF304" t="s">
        <v>4055</v>
      </c>
      <c r="AH304" t="s">
        <v>3510</v>
      </c>
      <c r="AJ304" t="s">
        <v>3942</v>
      </c>
      <c r="AL304" t="s">
        <v>4070</v>
      </c>
      <c r="AM304" t="s">
        <v>2230</v>
      </c>
      <c r="AO304">
        <v>893.61</v>
      </c>
      <c r="AQ304">
        <v>32</v>
      </c>
      <c r="AS304" t="s">
        <v>4113</v>
      </c>
      <c r="AT304" t="s">
        <v>4127</v>
      </c>
      <c r="AW304">
        <v>8</v>
      </c>
      <c r="AY304" t="s">
        <v>4140</v>
      </c>
      <c r="BB304" t="s">
        <v>4154</v>
      </c>
      <c r="BG304" t="s">
        <v>4423</v>
      </c>
      <c r="BM304" t="s">
        <v>4627</v>
      </c>
    </row>
    <row r="305" spans="1:65">
      <c r="A305" s="1">
        <f>HYPERLINK("https://lsnyc.legalserver.org/matter/dynamic-profile/view/1857200","18-1857200")</f>
        <v>0</v>
      </c>
      <c r="B305" t="s">
        <v>75</v>
      </c>
      <c r="C305" t="s">
        <v>93</v>
      </c>
      <c r="D305" t="s">
        <v>265</v>
      </c>
      <c r="F305" t="s">
        <v>672</v>
      </c>
      <c r="G305" t="s">
        <v>797</v>
      </c>
      <c r="H305" t="s">
        <v>1702</v>
      </c>
      <c r="I305" t="s">
        <v>1925</v>
      </c>
      <c r="J305" t="s">
        <v>2205</v>
      </c>
      <c r="K305">
        <v>11206</v>
      </c>
      <c r="N305" t="s">
        <v>2233</v>
      </c>
      <c r="O305" t="s">
        <v>2463</v>
      </c>
      <c r="Q305" t="s">
        <v>3130</v>
      </c>
      <c r="R305">
        <v>1</v>
      </c>
      <c r="S305">
        <v>6</v>
      </c>
      <c r="T305">
        <v>182.87</v>
      </c>
      <c r="W305">
        <v>69600</v>
      </c>
      <c r="Y305">
        <v>4</v>
      </c>
      <c r="Z305" t="s">
        <v>3839</v>
      </c>
      <c r="AA305" t="s">
        <v>90</v>
      </c>
      <c r="AC305" t="s">
        <v>3942</v>
      </c>
      <c r="AD305" t="s">
        <v>103</v>
      </c>
      <c r="AF305" t="s">
        <v>4058</v>
      </c>
      <c r="AH305" t="s">
        <v>4076</v>
      </c>
      <c r="AJ305" t="s">
        <v>3942</v>
      </c>
      <c r="AK305" t="s">
        <v>4084</v>
      </c>
      <c r="AM305" t="s">
        <v>2230</v>
      </c>
      <c r="AO305">
        <v>1155.44</v>
      </c>
      <c r="AQ305">
        <v>25</v>
      </c>
      <c r="AS305" t="s">
        <v>4113</v>
      </c>
      <c r="AT305" t="s">
        <v>4127</v>
      </c>
      <c r="AW305">
        <v>8</v>
      </c>
      <c r="AY305" t="s">
        <v>4140</v>
      </c>
      <c r="BB305" t="s">
        <v>4154</v>
      </c>
      <c r="BF305" t="s">
        <v>4281</v>
      </c>
      <c r="BM305" t="s">
        <v>4627</v>
      </c>
    </row>
    <row r="306" spans="1:65">
      <c r="A306" s="1">
        <f>HYPERLINK("https://lsnyc.legalserver.org/matter/dynamic-profile/view/1905830","19-1905830")</f>
        <v>0</v>
      </c>
      <c r="B306" t="s">
        <v>75</v>
      </c>
      <c r="C306" t="s">
        <v>93</v>
      </c>
      <c r="D306" t="s">
        <v>142</v>
      </c>
      <c r="F306" t="s">
        <v>481</v>
      </c>
      <c r="G306" t="s">
        <v>1027</v>
      </c>
      <c r="H306" t="s">
        <v>1559</v>
      </c>
      <c r="I306" t="s">
        <v>1921</v>
      </c>
      <c r="J306" t="s">
        <v>2205</v>
      </c>
      <c r="K306">
        <v>11221</v>
      </c>
      <c r="N306" t="s">
        <v>2236</v>
      </c>
      <c r="O306" t="s">
        <v>2246</v>
      </c>
      <c r="Q306" t="s">
        <v>2943</v>
      </c>
      <c r="R306">
        <v>2</v>
      </c>
      <c r="S306">
        <v>0</v>
      </c>
      <c r="T306">
        <v>184.51</v>
      </c>
      <c r="W306">
        <v>31200</v>
      </c>
      <c r="X306" t="s">
        <v>3534</v>
      </c>
      <c r="Y306">
        <v>3</v>
      </c>
      <c r="Z306" t="s">
        <v>247</v>
      </c>
      <c r="AA306" t="s">
        <v>70</v>
      </c>
      <c r="AC306" t="s">
        <v>3942</v>
      </c>
      <c r="AD306" t="s">
        <v>404</v>
      </c>
      <c r="AF306" t="s">
        <v>4062</v>
      </c>
      <c r="AH306" t="s">
        <v>3510</v>
      </c>
      <c r="AJ306" t="s">
        <v>3942</v>
      </c>
      <c r="AK306" t="s">
        <v>4084</v>
      </c>
      <c r="AM306" t="s">
        <v>2230</v>
      </c>
      <c r="AO306">
        <v>1292.5</v>
      </c>
      <c r="AQ306">
        <v>32</v>
      </c>
      <c r="AS306" t="s">
        <v>4113</v>
      </c>
      <c r="AU306" t="s">
        <v>4128</v>
      </c>
      <c r="AW306">
        <v>10</v>
      </c>
      <c r="AY306" t="s">
        <v>4140</v>
      </c>
      <c r="BA306" t="s">
        <v>4149</v>
      </c>
      <c r="BC306" t="s">
        <v>4155</v>
      </c>
      <c r="BE306" t="s">
        <v>4128</v>
      </c>
      <c r="BG306" t="s">
        <v>4321</v>
      </c>
      <c r="BM306" t="s">
        <v>4627</v>
      </c>
    </row>
    <row r="307" spans="1:65">
      <c r="A307" s="1">
        <f>HYPERLINK("https://lsnyc.legalserver.org/matter/dynamic-profile/view/1857530","18-1857530")</f>
        <v>0</v>
      </c>
      <c r="B307" t="s">
        <v>75</v>
      </c>
      <c r="C307" t="s">
        <v>93</v>
      </c>
      <c r="D307" t="s">
        <v>266</v>
      </c>
      <c r="F307" t="s">
        <v>673</v>
      </c>
      <c r="G307" t="s">
        <v>1207</v>
      </c>
      <c r="H307" t="s">
        <v>1695</v>
      </c>
      <c r="I307" t="s">
        <v>1942</v>
      </c>
      <c r="J307" t="s">
        <v>2205</v>
      </c>
      <c r="K307">
        <v>11206</v>
      </c>
      <c r="N307" t="s">
        <v>2233</v>
      </c>
      <c r="O307" t="s">
        <v>2464</v>
      </c>
      <c r="Q307" t="s">
        <v>3131</v>
      </c>
      <c r="R307">
        <v>1</v>
      </c>
      <c r="S307">
        <v>1</v>
      </c>
      <c r="T307">
        <v>93.45999999999999</v>
      </c>
      <c r="W307">
        <v>15384</v>
      </c>
      <c r="X307" t="s">
        <v>3535</v>
      </c>
      <c r="Y307">
        <v>0</v>
      </c>
      <c r="AA307" t="s">
        <v>90</v>
      </c>
      <c r="AC307" t="s">
        <v>3942</v>
      </c>
      <c r="AD307" t="s">
        <v>3988</v>
      </c>
      <c r="AF307" t="s">
        <v>4058</v>
      </c>
      <c r="AH307" t="s">
        <v>4076</v>
      </c>
      <c r="AJ307" t="s">
        <v>3942</v>
      </c>
      <c r="AL307" t="s">
        <v>4070</v>
      </c>
      <c r="AM307" t="s">
        <v>2230</v>
      </c>
      <c r="AO307">
        <v>678</v>
      </c>
      <c r="AQ307">
        <v>25</v>
      </c>
      <c r="AS307" t="s">
        <v>4113</v>
      </c>
      <c r="AT307" t="s">
        <v>4127</v>
      </c>
      <c r="AW307">
        <v>23</v>
      </c>
      <c r="AY307" t="s">
        <v>4140</v>
      </c>
      <c r="BB307" t="s">
        <v>4154</v>
      </c>
      <c r="BF307" t="s">
        <v>4281</v>
      </c>
      <c r="BM307" t="s">
        <v>4627</v>
      </c>
    </row>
    <row r="308" spans="1:65">
      <c r="A308" s="1">
        <f>HYPERLINK("https://lsnyc.legalserver.org/matter/dynamic-profile/view/1867079","18-1867079")</f>
        <v>0</v>
      </c>
      <c r="B308" t="s">
        <v>75</v>
      </c>
      <c r="C308" t="s">
        <v>93</v>
      </c>
      <c r="D308" t="s">
        <v>267</v>
      </c>
      <c r="F308" t="s">
        <v>674</v>
      </c>
      <c r="G308" t="s">
        <v>1208</v>
      </c>
      <c r="H308" t="s">
        <v>1700</v>
      </c>
      <c r="I308" t="s">
        <v>1948</v>
      </c>
      <c r="J308" t="s">
        <v>2205</v>
      </c>
      <c r="K308">
        <v>11212</v>
      </c>
      <c r="N308" t="s">
        <v>2233</v>
      </c>
      <c r="O308" t="s">
        <v>2465</v>
      </c>
      <c r="Q308" t="s">
        <v>3132</v>
      </c>
      <c r="R308">
        <v>2</v>
      </c>
      <c r="S308">
        <v>0</v>
      </c>
      <c r="T308">
        <v>174.54</v>
      </c>
      <c r="W308">
        <v>28729</v>
      </c>
      <c r="Y308">
        <v>0</v>
      </c>
      <c r="AA308" t="s">
        <v>90</v>
      </c>
      <c r="AC308" t="s">
        <v>3942</v>
      </c>
      <c r="AD308" t="s">
        <v>417</v>
      </c>
      <c r="AF308" t="s">
        <v>4061</v>
      </c>
      <c r="AH308" t="s">
        <v>4078</v>
      </c>
      <c r="AJ308" t="s">
        <v>3942</v>
      </c>
      <c r="AL308" t="s">
        <v>4070</v>
      </c>
      <c r="AM308" t="s">
        <v>2230</v>
      </c>
      <c r="AO308">
        <v>1120</v>
      </c>
      <c r="AQ308">
        <v>32</v>
      </c>
      <c r="AS308" t="s">
        <v>4113</v>
      </c>
      <c r="AT308" t="s">
        <v>4127</v>
      </c>
      <c r="AW308">
        <v>12</v>
      </c>
      <c r="AY308" t="s">
        <v>4140</v>
      </c>
      <c r="BB308" t="s">
        <v>4154</v>
      </c>
      <c r="BF308" t="s">
        <v>4281</v>
      </c>
      <c r="BM308" t="s">
        <v>4627</v>
      </c>
    </row>
    <row r="309" spans="1:65">
      <c r="A309" s="1">
        <f>HYPERLINK("https://lsnyc.legalserver.org/matter/dynamic-profile/view/1905907","19-1905907")</f>
        <v>0</v>
      </c>
      <c r="B309" t="s">
        <v>75</v>
      </c>
      <c r="C309" t="s">
        <v>93</v>
      </c>
      <c r="D309" t="s">
        <v>142</v>
      </c>
      <c r="F309" t="s">
        <v>563</v>
      </c>
      <c r="G309" t="s">
        <v>1209</v>
      </c>
      <c r="H309" t="s">
        <v>1663</v>
      </c>
      <c r="I309" t="s">
        <v>1924</v>
      </c>
      <c r="J309" t="s">
        <v>2205</v>
      </c>
      <c r="K309">
        <v>11213</v>
      </c>
      <c r="N309" t="s">
        <v>2233</v>
      </c>
      <c r="O309" t="s">
        <v>2466</v>
      </c>
      <c r="Q309" t="s">
        <v>3133</v>
      </c>
      <c r="R309">
        <v>5</v>
      </c>
      <c r="S309">
        <v>1</v>
      </c>
      <c r="T309">
        <v>112.94</v>
      </c>
      <c r="W309">
        <v>39066</v>
      </c>
      <c r="X309" t="s">
        <v>3536</v>
      </c>
      <c r="Y309">
        <v>0</v>
      </c>
      <c r="AA309" t="s">
        <v>90</v>
      </c>
      <c r="AC309" t="s">
        <v>3942</v>
      </c>
      <c r="AD309" t="s">
        <v>404</v>
      </c>
      <c r="AF309" t="s">
        <v>4061</v>
      </c>
      <c r="AH309" t="s">
        <v>3510</v>
      </c>
      <c r="AJ309" t="s">
        <v>3942</v>
      </c>
      <c r="AL309" t="s">
        <v>4086</v>
      </c>
      <c r="AM309" t="s">
        <v>2230</v>
      </c>
      <c r="AO309">
        <v>719</v>
      </c>
      <c r="AQ309">
        <v>6</v>
      </c>
      <c r="AS309" t="s">
        <v>4113</v>
      </c>
      <c r="AU309" t="s">
        <v>4131</v>
      </c>
      <c r="AW309">
        <v>22</v>
      </c>
      <c r="AY309" t="s">
        <v>4140</v>
      </c>
      <c r="BA309" t="s">
        <v>4149</v>
      </c>
      <c r="BC309" t="s">
        <v>4155</v>
      </c>
      <c r="BE309" t="s">
        <v>4160</v>
      </c>
      <c r="BF309" t="s">
        <v>4281</v>
      </c>
      <c r="BG309" t="s">
        <v>4303</v>
      </c>
      <c r="BM309" t="s">
        <v>4627</v>
      </c>
    </row>
    <row r="310" spans="1:65">
      <c r="A310" s="1">
        <f>HYPERLINK("https://lsnyc.legalserver.org/matter/dynamic-profile/view/1871549","18-1871549")</f>
        <v>0</v>
      </c>
      <c r="B310" t="s">
        <v>75</v>
      </c>
      <c r="C310" t="s">
        <v>93</v>
      </c>
      <c r="D310" t="s">
        <v>268</v>
      </c>
      <c r="F310" t="s">
        <v>674</v>
      </c>
      <c r="G310" t="s">
        <v>1208</v>
      </c>
      <c r="H310" t="s">
        <v>1700</v>
      </c>
      <c r="I310" t="s">
        <v>1948</v>
      </c>
      <c r="J310" t="s">
        <v>2205</v>
      </c>
      <c r="K310">
        <v>11212</v>
      </c>
      <c r="N310" t="s">
        <v>2233</v>
      </c>
      <c r="O310" t="s">
        <v>2465</v>
      </c>
      <c r="Q310" t="s">
        <v>3132</v>
      </c>
      <c r="R310">
        <v>2</v>
      </c>
      <c r="S310">
        <v>0</v>
      </c>
      <c r="T310">
        <v>174.54</v>
      </c>
      <c r="W310">
        <v>28728.96</v>
      </c>
      <c r="X310" t="s">
        <v>3537</v>
      </c>
      <c r="Y310">
        <v>0</v>
      </c>
      <c r="AA310" t="s">
        <v>3913</v>
      </c>
      <c r="AC310" t="s">
        <v>3942</v>
      </c>
      <c r="AD310" t="s">
        <v>3986</v>
      </c>
      <c r="AF310" t="s">
        <v>4054</v>
      </c>
      <c r="AH310" t="s">
        <v>3510</v>
      </c>
      <c r="AJ310" t="s">
        <v>3942</v>
      </c>
      <c r="AL310" t="s">
        <v>4070</v>
      </c>
      <c r="AM310" t="s">
        <v>2230</v>
      </c>
      <c r="AO310">
        <v>1120</v>
      </c>
      <c r="AQ310">
        <v>32</v>
      </c>
      <c r="AS310" t="s">
        <v>4113</v>
      </c>
      <c r="AT310" t="s">
        <v>4127</v>
      </c>
      <c r="AW310">
        <v>12</v>
      </c>
      <c r="AY310" t="s">
        <v>4140</v>
      </c>
      <c r="BB310" t="s">
        <v>4154</v>
      </c>
      <c r="BF310" t="s">
        <v>4281</v>
      </c>
      <c r="BM310" t="s">
        <v>4627</v>
      </c>
    </row>
    <row r="311" spans="1:65">
      <c r="A311" s="1">
        <f>HYPERLINK("https://lsnyc.legalserver.org/matter/dynamic-profile/view/1887827","19-1887827")</f>
        <v>0</v>
      </c>
      <c r="B311" t="s">
        <v>75</v>
      </c>
      <c r="C311" t="s">
        <v>93</v>
      </c>
      <c r="D311" t="s">
        <v>208</v>
      </c>
      <c r="F311" t="s">
        <v>541</v>
      </c>
      <c r="G311" t="s">
        <v>1210</v>
      </c>
      <c r="H311" t="s">
        <v>1696</v>
      </c>
      <c r="I311" t="s">
        <v>2014</v>
      </c>
      <c r="J311" t="s">
        <v>2205</v>
      </c>
      <c r="K311">
        <v>11225</v>
      </c>
      <c r="N311" t="s">
        <v>2233</v>
      </c>
      <c r="O311" t="s">
        <v>2467</v>
      </c>
      <c r="Q311" t="s">
        <v>3134</v>
      </c>
      <c r="R311">
        <v>3</v>
      </c>
      <c r="S311">
        <v>0</v>
      </c>
      <c r="T311">
        <v>529.36</v>
      </c>
      <c r="W311">
        <v>110000</v>
      </c>
      <c r="Y311">
        <v>0</v>
      </c>
      <c r="AA311" t="s">
        <v>70</v>
      </c>
      <c r="AC311" t="s">
        <v>3942</v>
      </c>
      <c r="AD311" t="s">
        <v>3982</v>
      </c>
      <c r="AF311" t="s">
        <v>4059</v>
      </c>
      <c r="AH311" t="s">
        <v>4078</v>
      </c>
      <c r="AJ311" t="s">
        <v>3942</v>
      </c>
      <c r="AK311" t="s">
        <v>4084</v>
      </c>
      <c r="AM311" t="s">
        <v>2230</v>
      </c>
      <c r="AO311">
        <v>1166.85</v>
      </c>
      <c r="AQ311">
        <v>89</v>
      </c>
      <c r="AS311" t="s">
        <v>4113</v>
      </c>
      <c r="AU311" t="s">
        <v>4128</v>
      </c>
      <c r="AW311">
        <v>30</v>
      </c>
      <c r="AY311" t="s">
        <v>4140</v>
      </c>
      <c r="BB311" t="s">
        <v>4154</v>
      </c>
      <c r="BF311" t="s">
        <v>4281</v>
      </c>
      <c r="BM311" t="s">
        <v>4627</v>
      </c>
    </row>
    <row r="312" spans="1:65">
      <c r="A312" s="1">
        <f>HYPERLINK("https://lsnyc.legalserver.org/matter/dynamic-profile/view/1887826","19-1887826")</f>
        <v>0</v>
      </c>
      <c r="B312" t="s">
        <v>75</v>
      </c>
      <c r="C312" t="s">
        <v>93</v>
      </c>
      <c r="D312" t="s">
        <v>208</v>
      </c>
      <c r="F312" t="s">
        <v>675</v>
      </c>
      <c r="G312" t="s">
        <v>1211</v>
      </c>
      <c r="H312" t="s">
        <v>1696</v>
      </c>
      <c r="I312" t="s">
        <v>2015</v>
      </c>
      <c r="J312" t="s">
        <v>2205</v>
      </c>
      <c r="K312">
        <v>11225</v>
      </c>
      <c r="N312" t="s">
        <v>2233</v>
      </c>
      <c r="O312" t="s">
        <v>2468</v>
      </c>
      <c r="Q312" t="s">
        <v>3135</v>
      </c>
      <c r="R312">
        <v>1</v>
      </c>
      <c r="S312">
        <v>0</v>
      </c>
      <c r="T312">
        <v>535.42</v>
      </c>
      <c r="W312">
        <v>65000</v>
      </c>
      <c r="Y312">
        <v>0</v>
      </c>
      <c r="AA312" t="s">
        <v>70</v>
      </c>
      <c r="AC312" t="s">
        <v>3942</v>
      </c>
      <c r="AF312" t="s">
        <v>4059</v>
      </c>
      <c r="AH312" t="s">
        <v>4078</v>
      </c>
      <c r="AJ312" t="s">
        <v>3942</v>
      </c>
      <c r="AL312" t="s">
        <v>4089</v>
      </c>
      <c r="AM312" t="s">
        <v>2230</v>
      </c>
      <c r="AO312">
        <v>1740.79</v>
      </c>
      <c r="AQ312">
        <v>89</v>
      </c>
      <c r="AS312" t="s">
        <v>4113</v>
      </c>
      <c r="AU312" t="s">
        <v>4128</v>
      </c>
      <c r="AW312">
        <v>7</v>
      </c>
      <c r="AY312" t="s">
        <v>4140</v>
      </c>
      <c r="AZ312" t="s">
        <v>4148</v>
      </c>
      <c r="BB312" t="s">
        <v>4154</v>
      </c>
      <c r="BG312" t="s">
        <v>4420</v>
      </c>
      <c r="BM312" t="s">
        <v>4627</v>
      </c>
    </row>
    <row r="313" spans="1:65">
      <c r="A313" s="1">
        <f>HYPERLINK("https://lsnyc.legalserver.org/matter/dynamic-profile/view/1867114","18-1867114")</f>
        <v>0</v>
      </c>
      <c r="B313" t="s">
        <v>75</v>
      </c>
      <c r="C313" t="s">
        <v>93</v>
      </c>
      <c r="D313" t="s">
        <v>257</v>
      </c>
      <c r="F313" t="s">
        <v>676</v>
      </c>
      <c r="G313" t="s">
        <v>1212</v>
      </c>
      <c r="H313" t="s">
        <v>1700</v>
      </c>
      <c r="I313" t="s">
        <v>2016</v>
      </c>
      <c r="J313" t="s">
        <v>2205</v>
      </c>
      <c r="K313">
        <v>11212</v>
      </c>
      <c r="N313" t="s">
        <v>2233</v>
      </c>
      <c r="O313" t="s">
        <v>2469</v>
      </c>
      <c r="Q313" t="s">
        <v>3136</v>
      </c>
      <c r="R313">
        <v>2</v>
      </c>
      <c r="S313">
        <v>0</v>
      </c>
      <c r="T313">
        <v>94.78</v>
      </c>
      <c r="W313">
        <v>15600</v>
      </c>
      <c r="Y313">
        <v>0</v>
      </c>
      <c r="AA313" t="s">
        <v>90</v>
      </c>
      <c r="AC313" t="s">
        <v>3942</v>
      </c>
      <c r="AD313" t="s">
        <v>3947</v>
      </c>
      <c r="AF313" t="s">
        <v>4061</v>
      </c>
      <c r="AH313" t="s">
        <v>4078</v>
      </c>
      <c r="AJ313" t="s">
        <v>3942</v>
      </c>
      <c r="AL313" t="s">
        <v>4070</v>
      </c>
      <c r="AM313" t="s">
        <v>2230</v>
      </c>
      <c r="AO313">
        <v>1135</v>
      </c>
      <c r="AQ313">
        <v>32</v>
      </c>
      <c r="AS313" t="s">
        <v>4113</v>
      </c>
      <c r="AU313" t="s">
        <v>4128</v>
      </c>
      <c r="AW313">
        <v>20</v>
      </c>
      <c r="AY313" t="s">
        <v>4140</v>
      </c>
      <c r="BB313" t="s">
        <v>4154</v>
      </c>
      <c r="BF313" t="s">
        <v>4281</v>
      </c>
      <c r="BM313" t="s">
        <v>4627</v>
      </c>
    </row>
    <row r="314" spans="1:65">
      <c r="A314" s="1">
        <f>HYPERLINK("https://lsnyc.legalserver.org/matter/dynamic-profile/view/1869429","18-1869429")</f>
        <v>0</v>
      </c>
      <c r="B314" t="s">
        <v>75</v>
      </c>
      <c r="C314" t="s">
        <v>93</v>
      </c>
      <c r="D314" t="s">
        <v>263</v>
      </c>
      <c r="F314" t="s">
        <v>677</v>
      </c>
      <c r="G314" t="s">
        <v>1205</v>
      </c>
      <c r="H314" t="s">
        <v>1701</v>
      </c>
      <c r="I314" t="s">
        <v>1945</v>
      </c>
      <c r="J314" t="s">
        <v>2205</v>
      </c>
      <c r="K314">
        <v>11233</v>
      </c>
      <c r="N314" t="s">
        <v>2233</v>
      </c>
      <c r="O314" t="s">
        <v>2470</v>
      </c>
      <c r="Q314" t="s">
        <v>3137</v>
      </c>
      <c r="R314">
        <v>2</v>
      </c>
      <c r="S314">
        <v>1</v>
      </c>
      <c r="T314">
        <v>95.28</v>
      </c>
      <c r="W314">
        <v>19800</v>
      </c>
      <c r="Y314">
        <v>0</v>
      </c>
      <c r="AA314" t="s">
        <v>90</v>
      </c>
      <c r="AC314" t="s">
        <v>3942</v>
      </c>
      <c r="AD314" t="s">
        <v>259</v>
      </c>
      <c r="AF314" t="s">
        <v>4061</v>
      </c>
      <c r="AH314" t="s">
        <v>3510</v>
      </c>
      <c r="AJ314" t="s">
        <v>3942</v>
      </c>
      <c r="AL314" t="s">
        <v>4086</v>
      </c>
      <c r="AM314" t="s">
        <v>2230</v>
      </c>
      <c r="AO314">
        <v>950</v>
      </c>
      <c r="AQ314">
        <v>11</v>
      </c>
      <c r="AS314" t="s">
        <v>4113</v>
      </c>
      <c r="AU314" t="s">
        <v>4128</v>
      </c>
      <c r="AW314">
        <v>27</v>
      </c>
      <c r="AY314" t="s">
        <v>4140</v>
      </c>
      <c r="BB314" t="s">
        <v>4154</v>
      </c>
      <c r="BF314" t="s">
        <v>4281</v>
      </c>
      <c r="BM314" t="s">
        <v>4627</v>
      </c>
    </row>
    <row r="315" spans="1:65">
      <c r="A315" s="1">
        <f>HYPERLINK("https://lsnyc.legalserver.org/matter/dynamic-profile/view/0831173","17-0831173")</f>
        <v>0</v>
      </c>
      <c r="B315" t="s">
        <v>75</v>
      </c>
      <c r="C315" t="s">
        <v>93</v>
      </c>
      <c r="D315" t="s">
        <v>269</v>
      </c>
      <c r="F315" t="s">
        <v>678</v>
      </c>
      <c r="G315" t="s">
        <v>1213</v>
      </c>
      <c r="H315" t="s">
        <v>1700</v>
      </c>
      <c r="I315" t="s">
        <v>2017</v>
      </c>
      <c r="J315" t="s">
        <v>2205</v>
      </c>
      <c r="K315">
        <v>11212</v>
      </c>
      <c r="N315" t="s">
        <v>2233</v>
      </c>
      <c r="O315" t="s">
        <v>2471</v>
      </c>
      <c r="Q315" t="s">
        <v>3138</v>
      </c>
      <c r="R315">
        <v>1</v>
      </c>
      <c r="S315">
        <v>2</v>
      </c>
      <c r="T315">
        <v>112.01</v>
      </c>
      <c r="W315">
        <v>22872</v>
      </c>
      <c r="Y315">
        <v>0.25</v>
      </c>
      <c r="Z315" t="s">
        <v>269</v>
      </c>
      <c r="AA315" t="s">
        <v>75</v>
      </c>
      <c r="AC315" t="s">
        <v>3942</v>
      </c>
      <c r="AD315" t="s">
        <v>3989</v>
      </c>
      <c r="AF315" t="s">
        <v>4054</v>
      </c>
      <c r="AH315" t="s">
        <v>4078</v>
      </c>
      <c r="AJ315" t="s">
        <v>3942</v>
      </c>
      <c r="AL315" t="s">
        <v>4070</v>
      </c>
      <c r="AM315" t="s">
        <v>2230</v>
      </c>
      <c r="AO315">
        <v>939.42</v>
      </c>
      <c r="AQ315">
        <v>32</v>
      </c>
      <c r="AS315" t="s">
        <v>4113</v>
      </c>
      <c r="AU315" t="s">
        <v>4134</v>
      </c>
      <c r="AW315">
        <v>19</v>
      </c>
      <c r="AY315" t="s">
        <v>4140</v>
      </c>
      <c r="BB315" t="s">
        <v>4154</v>
      </c>
      <c r="BG315" t="s">
        <v>4423</v>
      </c>
      <c r="BM315" t="s">
        <v>4627</v>
      </c>
    </row>
    <row r="316" spans="1:65">
      <c r="A316" s="1">
        <f>HYPERLINK("https://lsnyc.legalserver.org/matter/dynamic-profile/view/1905724","19-1905724")</f>
        <v>0</v>
      </c>
      <c r="B316" t="s">
        <v>75</v>
      </c>
      <c r="C316" t="s">
        <v>93</v>
      </c>
      <c r="D316" t="s">
        <v>154</v>
      </c>
      <c r="F316" t="s">
        <v>501</v>
      </c>
      <c r="G316" t="s">
        <v>1214</v>
      </c>
      <c r="H316" t="s">
        <v>1698</v>
      </c>
      <c r="I316" t="s">
        <v>1951</v>
      </c>
      <c r="J316" t="s">
        <v>2205</v>
      </c>
      <c r="K316">
        <v>11213</v>
      </c>
      <c r="N316" t="s">
        <v>2233</v>
      </c>
      <c r="O316" t="s">
        <v>2472</v>
      </c>
      <c r="Q316" t="s">
        <v>3139</v>
      </c>
      <c r="R316">
        <v>2</v>
      </c>
      <c r="S316">
        <v>0</v>
      </c>
      <c r="T316">
        <v>96.97</v>
      </c>
      <c r="W316">
        <v>16398</v>
      </c>
      <c r="X316" t="s">
        <v>3538</v>
      </c>
      <c r="Y316">
        <v>0</v>
      </c>
      <c r="AA316" t="s">
        <v>70</v>
      </c>
      <c r="AC316" t="s">
        <v>3942</v>
      </c>
      <c r="AD316" t="s">
        <v>404</v>
      </c>
      <c r="AF316" t="s">
        <v>4054</v>
      </c>
      <c r="AH316" t="s">
        <v>3510</v>
      </c>
      <c r="AJ316" t="s">
        <v>3942</v>
      </c>
      <c r="AL316" t="s">
        <v>4100</v>
      </c>
      <c r="AM316" t="s">
        <v>2230</v>
      </c>
      <c r="AO316">
        <v>1268</v>
      </c>
      <c r="AQ316">
        <v>19</v>
      </c>
      <c r="AS316" t="s">
        <v>4113</v>
      </c>
      <c r="AU316" t="s">
        <v>4135</v>
      </c>
      <c r="AW316">
        <v>2</v>
      </c>
      <c r="AY316" t="s">
        <v>4140</v>
      </c>
      <c r="BA316" t="s">
        <v>4149</v>
      </c>
      <c r="BC316" t="s">
        <v>4155</v>
      </c>
      <c r="BF316" t="s">
        <v>4281</v>
      </c>
      <c r="BG316" t="s">
        <v>4054</v>
      </c>
      <c r="BM316" t="s">
        <v>4627</v>
      </c>
    </row>
    <row r="317" spans="1:65">
      <c r="A317" s="1">
        <f>HYPERLINK("https://lsnyc.legalserver.org/matter/dynamic-profile/view/1904006","19-1904006")</f>
        <v>0</v>
      </c>
      <c r="B317" t="s">
        <v>75</v>
      </c>
      <c r="C317" t="s">
        <v>93</v>
      </c>
      <c r="D317" t="s">
        <v>148</v>
      </c>
      <c r="F317" t="s">
        <v>501</v>
      </c>
      <c r="G317" t="s">
        <v>1214</v>
      </c>
      <c r="H317" t="s">
        <v>1698</v>
      </c>
      <c r="I317" t="s">
        <v>1951</v>
      </c>
      <c r="J317" t="s">
        <v>2205</v>
      </c>
      <c r="K317">
        <v>11213</v>
      </c>
      <c r="N317" t="s">
        <v>2236</v>
      </c>
      <c r="O317" t="s">
        <v>2472</v>
      </c>
      <c r="Q317" t="s">
        <v>3139</v>
      </c>
      <c r="R317">
        <v>2</v>
      </c>
      <c r="S317">
        <v>0</v>
      </c>
      <c r="T317">
        <v>96.97</v>
      </c>
      <c r="W317">
        <v>16398</v>
      </c>
      <c r="X317" t="s">
        <v>3539</v>
      </c>
      <c r="Y317">
        <v>0</v>
      </c>
      <c r="AA317" t="s">
        <v>70</v>
      </c>
      <c r="AC317" t="s">
        <v>3942</v>
      </c>
      <c r="AD317" t="s">
        <v>168</v>
      </c>
      <c r="AF317" t="s">
        <v>4061</v>
      </c>
      <c r="AH317" t="s">
        <v>3510</v>
      </c>
      <c r="AJ317" t="s">
        <v>3942</v>
      </c>
      <c r="AL317" t="s">
        <v>4100</v>
      </c>
      <c r="AM317" t="s">
        <v>2230</v>
      </c>
      <c r="AO317">
        <v>1268</v>
      </c>
      <c r="AQ317">
        <v>19</v>
      </c>
      <c r="AS317" t="s">
        <v>4113</v>
      </c>
      <c r="AU317" t="s">
        <v>4135</v>
      </c>
      <c r="AW317">
        <v>2</v>
      </c>
      <c r="AY317" t="s">
        <v>4140</v>
      </c>
      <c r="BA317" t="s">
        <v>4149</v>
      </c>
      <c r="BB317" t="s">
        <v>4154</v>
      </c>
      <c r="BF317" t="s">
        <v>4281</v>
      </c>
      <c r="BG317" t="s">
        <v>4128</v>
      </c>
      <c r="BM317" t="s">
        <v>4627</v>
      </c>
    </row>
    <row r="318" spans="1:65">
      <c r="A318" s="1">
        <f>HYPERLINK("https://lsnyc.legalserver.org/matter/dynamic-profile/view/1867085","18-1867085")</f>
        <v>0</v>
      </c>
      <c r="B318" t="s">
        <v>75</v>
      </c>
      <c r="C318" t="s">
        <v>93</v>
      </c>
      <c r="D318" t="s">
        <v>267</v>
      </c>
      <c r="F318" t="s">
        <v>679</v>
      </c>
      <c r="G318" t="s">
        <v>1215</v>
      </c>
      <c r="H318" t="s">
        <v>1700</v>
      </c>
      <c r="I318" t="s">
        <v>2018</v>
      </c>
      <c r="J318" t="s">
        <v>2205</v>
      </c>
      <c r="K318">
        <v>11212</v>
      </c>
      <c r="N318" t="s">
        <v>2233</v>
      </c>
      <c r="O318" t="s">
        <v>2473</v>
      </c>
      <c r="Q318" t="s">
        <v>3140</v>
      </c>
      <c r="R318">
        <v>1</v>
      </c>
      <c r="S318">
        <v>0</v>
      </c>
      <c r="T318">
        <v>0</v>
      </c>
      <c r="W318">
        <v>0</v>
      </c>
      <c r="Y318">
        <v>0</v>
      </c>
      <c r="AA318" t="s">
        <v>90</v>
      </c>
      <c r="AC318" t="s">
        <v>3942</v>
      </c>
      <c r="AD318" t="s">
        <v>3947</v>
      </c>
      <c r="AF318" t="s">
        <v>4061</v>
      </c>
      <c r="AH318" t="s">
        <v>4078</v>
      </c>
      <c r="AJ318" t="s">
        <v>3942</v>
      </c>
      <c r="AL318" t="s">
        <v>4070</v>
      </c>
      <c r="AM318" t="s">
        <v>2230</v>
      </c>
      <c r="AO318">
        <v>1180.14</v>
      </c>
      <c r="AP318" t="s">
        <v>4108</v>
      </c>
      <c r="AQ318" t="s">
        <v>4110</v>
      </c>
      <c r="AS318" t="s">
        <v>4113</v>
      </c>
      <c r="AT318" t="s">
        <v>4127</v>
      </c>
      <c r="AW318">
        <v>16</v>
      </c>
      <c r="AY318" t="s">
        <v>4140</v>
      </c>
      <c r="BB318" t="s">
        <v>4154</v>
      </c>
      <c r="BF318" t="s">
        <v>4281</v>
      </c>
      <c r="BM318" t="s">
        <v>4627</v>
      </c>
    </row>
    <row r="319" spans="1:65">
      <c r="A319" s="1">
        <f>HYPERLINK("https://lsnyc.legalserver.org/matter/dynamic-profile/view/1871747","18-1871747")</f>
        <v>0</v>
      </c>
      <c r="B319" t="s">
        <v>75</v>
      </c>
      <c r="C319" t="s">
        <v>93</v>
      </c>
      <c r="D319" t="s">
        <v>270</v>
      </c>
      <c r="F319" t="s">
        <v>673</v>
      </c>
      <c r="G319" t="s">
        <v>1207</v>
      </c>
      <c r="H319" t="s">
        <v>1695</v>
      </c>
      <c r="I319" t="s">
        <v>1942</v>
      </c>
      <c r="J319" t="s">
        <v>2205</v>
      </c>
      <c r="K319">
        <v>11206</v>
      </c>
      <c r="N319" t="s">
        <v>2233</v>
      </c>
      <c r="O319" t="s">
        <v>2464</v>
      </c>
      <c r="Q319" t="s">
        <v>3131</v>
      </c>
      <c r="R319">
        <v>1</v>
      </c>
      <c r="S319">
        <v>1</v>
      </c>
      <c r="T319">
        <v>93.45999999999999</v>
      </c>
      <c r="W319">
        <v>15384</v>
      </c>
      <c r="X319" t="s">
        <v>3540</v>
      </c>
      <c r="Y319">
        <v>1</v>
      </c>
      <c r="Z319" t="s">
        <v>418</v>
      </c>
      <c r="AA319" t="s">
        <v>3913</v>
      </c>
      <c r="AC319" t="s">
        <v>3942</v>
      </c>
      <c r="AD319" t="s">
        <v>3990</v>
      </c>
      <c r="AF319" t="s">
        <v>4059</v>
      </c>
      <c r="AH319" t="s">
        <v>4078</v>
      </c>
      <c r="AJ319" t="s">
        <v>3942</v>
      </c>
      <c r="AL319" t="s">
        <v>4070</v>
      </c>
      <c r="AM319" t="s">
        <v>2230</v>
      </c>
      <c r="AO319">
        <v>678</v>
      </c>
      <c r="AQ319">
        <v>25</v>
      </c>
      <c r="AS319" t="s">
        <v>4113</v>
      </c>
      <c r="AU319" t="s">
        <v>4128</v>
      </c>
      <c r="AW319">
        <v>23</v>
      </c>
      <c r="AY319" t="s">
        <v>4140</v>
      </c>
      <c r="BA319" t="s">
        <v>4149</v>
      </c>
      <c r="BB319" t="s">
        <v>4154</v>
      </c>
      <c r="BG319" t="s">
        <v>4424</v>
      </c>
      <c r="BM319" t="s">
        <v>4627</v>
      </c>
    </row>
    <row r="320" spans="1:65">
      <c r="A320" s="1">
        <f>HYPERLINK("https://lsnyc.legalserver.org/matter/dynamic-profile/view/1903999","19-1903999")</f>
        <v>0</v>
      </c>
      <c r="B320" t="s">
        <v>75</v>
      </c>
      <c r="C320" t="s">
        <v>93</v>
      </c>
      <c r="D320" t="s">
        <v>148</v>
      </c>
      <c r="F320" t="s">
        <v>680</v>
      </c>
      <c r="G320" t="s">
        <v>1216</v>
      </c>
      <c r="H320" t="s">
        <v>1698</v>
      </c>
      <c r="I320" t="s">
        <v>1920</v>
      </c>
      <c r="J320" t="s">
        <v>2205</v>
      </c>
      <c r="K320">
        <v>11213</v>
      </c>
      <c r="N320" t="s">
        <v>2236</v>
      </c>
      <c r="O320" t="s">
        <v>2474</v>
      </c>
      <c r="P320" t="s">
        <v>2930</v>
      </c>
      <c r="R320">
        <v>1</v>
      </c>
      <c r="S320">
        <v>0</v>
      </c>
      <c r="T320">
        <v>172.94</v>
      </c>
      <c r="W320">
        <v>21600</v>
      </c>
      <c r="X320" t="s">
        <v>3541</v>
      </c>
      <c r="Y320">
        <v>0</v>
      </c>
      <c r="AA320" t="s">
        <v>70</v>
      </c>
      <c r="AC320" t="s">
        <v>3942</v>
      </c>
      <c r="AD320" t="s">
        <v>404</v>
      </c>
      <c r="AF320" t="s">
        <v>4062</v>
      </c>
      <c r="AH320" t="s">
        <v>3510</v>
      </c>
      <c r="AJ320" t="s">
        <v>3942</v>
      </c>
      <c r="AL320" t="s">
        <v>4070</v>
      </c>
      <c r="AM320" t="s">
        <v>2230</v>
      </c>
      <c r="AN320" t="s">
        <v>4107</v>
      </c>
      <c r="AO320">
        <v>0</v>
      </c>
      <c r="AQ320">
        <v>19</v>
      </c>
      <c r="AS320" t="s">
        <v>4113</v>
      </c>
      <c r="AT320" t="s">
        <v>4127</v>
      </c>
      <c r="AV320" t="s">
        <v>4137</v>
      </c>
      <c r="AW320">
        <v>0</v>
      </c>
      <c r="AY320" t="s">
        <v>4140</v>
      </c>
      <c r="BA320" t="s">
        <v>4149</v>
      </c>
      <c r="BC320" t="s">
        <v>4155</v>
      </c>
      <c r="BG320" t="s">
        <v>4321</v>
      </c>
      <c r="BM320" t="s">
        <v>4627</v>
      </c>
    </row>
    <row r="321" spans="1:65">
      <c r="A321" s="1">
        <f>HYPERLINK("https://lsnyc.legalserver.org/matter/dynamic-profile/view/1867283","18-1867283")</f>
        <v>0</v>
      </c>
      <c r="B321" t="s">
        <v>75</v>
      </c>
      <c r="C321" t="s">
        <v>93</v>
      </c>
      <c r="D321" t="s">
        <v>271</v>
      </c>
      <c r="F321" t="s">
        <v>585</v>
      </c>
      <c r="G321" t="s">
        <v>1206</v>
      </c>
      <c r="H321" t="s">
        <v>1700</v>
      </c>
      <c r="I321" t="s">
        <v>2002</v>
      </c>
      <c r="J321" t="s">
        <v>2205</v>
      </c>
      <c r="K321">
        <v>11212</v>
      </c>
      <c r="N321" t="s">
        <v>2233</v>
      </c>
      <c r="O321" t="s">
        <v>2462</v>
      </c>
      <c r="Q321" t="s">
        <v>3129</v>
      </c>
      <c r="R321">
        <v>3</v>
      </c>
      <c r="S321">
        <v>0</v>
      </c>
      <c r="T321">
        <v>110.68</v>
      </c>
      <c r="W321">
        <v>23000</v>
      </c>
      <c r="X321" t="s">
        <v>3542</v>
      </c>
      <c r="Y321">
        <v>0</v>
      </c>
      <c r="AA321" t="s">
        <v>90</v>
      </c>
      <c r="AC321" t="s">
        <v>3942</v>
      </c>
      <c r="AD321" t="s">
        <v>3947</v>
      </c>
      <c r="AF321" t="s">
        <v>4061</v>
      </c>
      <c r="AH321" t="s">
        <v>4080</v>
      </c>
      <c r="AJ321" t="s">
        <v>3942</v>
      </c>
      <c r="AL321" t="s">
        <v>4070</v>
      </c>
      <c r="AM321" t="s">
        <v>2230</v>
      </c>
      <c r="AO321">
        <v>893.61</v>
      </c>
      <c r="AQ321">
        <v>32</v>
      </c>
      <c r="AS321" t="s">
        <v>4113</v>
      </c>
      <c r="AT321" t="s">
        <v>4127</v>
      </c>
      <c r="AW321">
        <v>8</v>
      </c>
      <c r="AY321" t="s">
        <v>4140</v>
      </c>
      <c r="BB321" t="s">
        <v>4154</v>
      </c>
      <c r="BF321" t="s">
        <v>4281</v>
      </c>
      <c r="BM321" t="s">
        <v>4627</v>
      </c>
    </row>
    <row r="322" spans="1:65">
      <c r="A322" s="1">
        <f>HYPERLINK("https://lsnyc.legalserver.org/matter/dynamic-profile/view/1875998","18-1875998")</f>
        <v>0</v>
      </c>
      <c r="B322" t="s">
        <v>75</v>
      </c>
      <c r="C322" t="s">
        <v>93</v>
      </c>
      <c r="D322" t="s">
        <v>126</v>
      </c>
      <c r="F322" t="s">
        <v>487</v>
      </c>
      <c r="G322" t="s">
        <v>1022</v>
      </c>
      <c r="H322" t="s">
        <v>1558</v>
      </c>
      <c r="I322" t="s">
        <v>1925</v>
      </c>
      <c r="J322" t="s">
        <v>2205</v>
      </c>
      <c r="K322">
        <v>11221</v>
      </c>
      <c r="N322" t="s">
        <v>2233</v>
      </c>
      <c r="O322" t="s">
        <v>2252</v>
      </c>
      <c r="Q322" t="s">
        <v>2940</v>
      </c>
      <c r="R322">
        <v>1</v>
      </c>
      <c r="S322">
        <v>0</v>
      </c>
      <c r="T322">
        <v>171.33</v>
      </c>
      <c r="W322">
        <v>20800</v>
      </c>
      <c r="Y322">
        <v>71</v>
      </c>
      <c r="Z322" t="s">
        <v>382</v>
      </c>
      <c r="AA322" t="s">
        <v>90</v>
      </c>
      <c r="AC322" t="s">
        <v>3942</v>
      </c>
      <c r="AD322" t="s">
        <v>3991</v>
      </c>
      <c r="AF322" t="s">
        <v>4058</v>
      </c>
      <c r="AH322" t="s">
        <v>4076</v>
      </c>
      <c r="AJ322" t="s">
        <v>3942</v>
      </c>
      <c r="AL322" t="s">
        <v>4100</v>
      </c>
      <c r="AM322" t="s">
        <v>2230</v>
      </c>
      <c r="AO322">
        <v>763</v>
      </c>
      <c r="AQ322">
        <v>12</v>
      </c>
      <c r="AS322" t="s">
        <v>4113</v>
      </c>
      <c r="AU322" t="s">
        <v>4128</v>
      </c>
      <c r="AW322">
        <v>10</v>
      </c>
      <c r="AY322" t="s">
        <v>4140</v>
      </c>
      <c r="BA322" t="s">
        <v>4149</v>
      </c>
      <c r="BB322" t="s">
        <v>4154</v>
      </c>
      <c r="BG322" t="s">
        <v>4416</v>
      </c>
      <c r="BM322" t="s">
        <v>4627</v>
      </c>
    </row>
    <row r="323" spans="1:65">
      <c r="A323" s="1">
        <f>HYPERLINK("https://lsnyc.legalserver.org/matter/dynamic-profile/view/1871226","18-1871226")</f>
        <v>0</v>
      </c>
      <c r="B323" t="s">
        <v>75</v>
      </c>
      <c r="C323" t="s">
        <v>93</v>
      </c>
      <c r="D323" t="s">
        <v>272</v>
      </c>
      <c r="F323" t="s">
        <v>487</v>
      </c>
      <c r="G323" t="s">
        <v>1022</v>
      </c>
      <c r="H323" t="s">
        <v>1558</v>
      </c>
      <c r="I323" t="s">
        <v>1925</v>
      </c>
      <c r="J323" t="s">
        <v>2205</v>
      </c>
      <c r="K323">
        <v>11221</v>
      </c>
      <c r="N323" t="s">
        <v>2233</v>
      </c>
      <c r="O323" t="s">
        <v>2252</v>
      </c>
      <c r="Q323" t="s">
        <v>2940</v>
      </c>
      <c r="R323">
        <v>1</v>
      </c>
      <c r="S323">
        <v>0</v>
      </c>
      <c r="T323">
        <v>171.33</v>
      </c>
      <c r="W323">
        <v>20800</v>
      </c>
      <c r="Y323">
        <v>38.5</v>
      </c>
      <c r="Z323" t="s">
        <v>3840</v>
      </c>
      <c r="AA323" t="s">
        <v>90</v>
      </c>
      <c r="AC323" t="s">
        <v>3942</v>
      </c>
      <c r="AD323" t="s">
        <v>3991</v>
      </c>
      <c r="AF323" t="s">
        <v>4059</v>
      </c>
      <c r="AH323" t="s">
        <v>4078</v>
      </c>
      <c r="AJ323" t="s">
        <v>3942</v>
      </c>
      <c r="AL323" t="s">
        <v>4089</v>
      </c>
      <c r="AM323" t="s">
        <v>2230</v>
      </c>
      <c r="AO323">
        <v>763</v>
      </c>
      <c r="AQ323">
        <v>12</v>
      </c>
      <c r="AS323" t="s">
        <v>4113</v>
      </c>
      <c r="AU323" t="s">
        <v>4128</v>
      </c>
      <c r="AW323">
        <v>10</v>
      </c>
      <c r="AY323" t="s">
        <v>4140</v>
      </c>
      <c r="BB323" t="s">
        <v>4154</v>
      </c>
      <c r="BF323" t="s">
        <v>4281</v>
      </c>
      <c r="BM323" t="s">
        <v>4627</v>
      </c>
    </row>
    <row r="324" spans="1:65">
      <c r="A324" s="1">
        <f>HYPERLINK("https://lsnyc.legalserver.org/matter/dynamic-profile/view/1867107","18-1867107")</f>
        <v>0</v>
      </c>
      <c r="B324" t="s">
        <v>75</v>
      </c>
      <c r="C324" t="s">
        <v>93</v>
      </c>
      <c r="D324" t="s">
        <v>257</v>
      </c>
      <c r="F324" t="s">
        <v>678</v>
      </c>
      <c r="G324" t="s">
        <v>1213</v>
      </c>
      <c r="H324" t="s">
        <v>1700</v>
      </c>
      <c r="I324" t="s">
        <v>2017</v>
      </c>
      <c r="J324" t="s">
        <v>2205</v>
      </c>
      <c r="K324">
        <v>11212</v>
      </c>
      <c r="N324" t="s">
        <v>2233</v>
      </c>
      <c r="O324" t="s">
        <v>2471</v>
      </c>
      <c r="Q324" t="s">
        <v>3138</v>
      </c>
      <c r="R324">
        <v>1</v>
      </c>
      <c r="S324">
        <v>2</v>
      </c>
      <c r="T324">
        <v>110.07</v>
      </c>
      <c r="W324">
        <v>22872</v>
      </c>
      <c r="Y324">
        <v>0</v>
      </c>
      <c r="AA324" t="s">
        <v>90</v>
      </c>
      <c r="AC324" t="s">
        <v>3942</v>
      </c>
      <c r="AD324" t="s">
        <v>3947</v>
      </c>
      <c r="AF324" t="s">
        <v>4061</v>
      </c>
      <c r="AH324" t="s">
        <v>4078</v>
      </c>
      <c r="AJ324" t="s">
        <v>3942</v>
      </c>
      <c r="AL324" t="s">
        <v>4070</v>
      </c>
      <c r="AM324" t="s">
        <v>2230</v>
      </c>
      <c r="AO324">
        <v>939.42</v>
      </c>
      <c r="AQ324">
        <v>32</v>
      </c>
      <c r="AS324" t="s">
        <v>4113</v>
      </c>
      <c r="AU324" t="s">
        <v>4134</v>
      </c>
      <c r="AW324">
        <v>19</v>
      </c>
      <c r="AY324" t="s">
        <v>4140</v>
      </c>
      <c r="BB324" t="s">
        <v>4154</v>
      </c>
      <c r="BF324" t="s">
        <v>4281</v>
      </c>
      <c r="BM324" t="s">
        <v>4627</v>
      </c>
    </row>
    <row r="325" spans="1:65">
      <c r="A325" s="1">
        <f>HYPERLINK("https://lsnyc.legalserver.org/matter/dynamic-profile/view/1882906","18-1882906")</f>
        <v>0</v>
      </c>
      <c r="B325" t="s">
        <v>75</v>
      </c>
      <c r="C325" t="s">
        <v>93</v>
      </c>
      <c r="D325" t="s">
        <v>273</v>
      </c>
      <c r="F325" t="s">
        <v>501</v>
      </c>
      <c r="G325" t="s">
        <v>1214</v>
      </c>
      <c r="H325" t="s">
        <v>1698</v>
      </c>
      <c r="I325" t="s">
        <v>1951</v>
      </c>
      <c r="J325" t="s">
        <v>2205</v>
      </c>
      <c r="K325">
        <v>11213</v>
      </c>
      <c r="N325" t="s">
        <v>2233</v>
      </c>
      <c r="O325" t="s">
        <v>2472</v>
      </c>
      <c r="Q325" t="s">
        <v>3139</v>
      </c>
      <c r="R325">
        <v>2</v>
      </c>
      <c r="S325">
        <v>0</v>
      </c>
      <c r="T325">
        <v>99.62</v>
      </c>
      <c r="W325">
        <v>16398</v>
      </c>
      <c r="Y325">
        <v>0</v>
      </c>
      <c r="AA325" t="s">
        <v>92</v>
      </c>
      <c r="AC325" t="s">
        <v>3942</v>
      </c>
      <c r="AD325" t="s">
        <v>248</v>
      </c>
      <c r="AF325" t="s">
        <v>4058</v>
      </c>
      <c r="AH325" t="s">
        <v>4076</v>
      </c>
      <c r="AJ325" t="s">
        <v>3942</v>
      </c>
      <c r="AL325" t="s">
        <v>4100</v>
      </c>
      <c r="AM325" t="s">
        <v>2230</v>
      </c>
      <c r="AO325">
        <v>1268</v>
      </c>
      <c r="AQ325">
        <v>19</v>
      </c>
      <c r="AS325" t="s">
        <v>4113</v>
      </c>
      <c r="AU325" t="s">
        <v>4135</v>
      </c>
      <c r="AW325">
        <v>2</v>
      </c>
      <c r="AY325" t="s">
        <v>4140</v>
      </c>
      <c r="BB325" t="s">
        <v>4154</v>
      </c>
      <c r="BG325" t="s">
        <v>4425</v>
      </c>
      <c r="BM325" t="s">
        <v>4627</v>
      </c>
    </row>
    <row r="326" spans="1:65">
      <c r="A326" s="1">
        <f>HYPERLINK("https://lsnyc.legalserver.org/matter/dynamic-profile/view/1871569","18-1871569")</f>
        <v>0</v>
      </c>
      <c r="B326" t="s">
        <v>75</v>
      </c>
      <c r="C326" t="s">
        <v>93</v>
      </c>
      <c r="D326" t="s">
        <v>268</v>
      </c>
      <c r="F326" t="s">
        <v>679</v>
      </c>
      <c r="G326" t="s">
        <v>1215</v>
      </c>
      <c r="H326" t="s">
        <v>1700</v>
      </c>
      <c r="I326" t="s">
        <v>2018</v>
      </c>
      <c r="J326" t="s">
        <v>2205</v>
      </c>
      <c r="K326">
        <v>11212</v>
      </c>
      <c r="N326" t="s">
        <v>2233</v>
      </c>
      <c r="O326" t="s">
        <v>2473</v>
      </c>
      <c r="Q326" t="s">
        <v>3140</v>
      </c>
      <c r="R326">
        <v>1</v>
      </c>
      <c r="S326">
        <v>0</v>
      </c>
      <c r="T326">
        <v>0</v>
      </c>
      <c r="W326">
        <v>0</v>
      </c>
      <c r="Y326">
        <v>0</v>
      </c>
      <c r="AA326" t="s">
        <v>3913</v>
      </c>
      <c r="AC326" t="s">
        <v>3942</v>
      </c>
      <c r="AD326" t="s">
        <v>3986</v>
      </c>
      <c r="AF326" t="s">
        <v>4054</v>
      </c>
      <c r="AH326" t="s">
        <v>3510</v>
      </c>
      <c r="AJ326" t="s">
        <v>3942</v>
      </c>
      <c r="AL326" t="s">
        <v>4070</v>
      </c>
      <c r="AM326" t="s">
        <v>2230</v>
      </c>
      <c r="AO326">
        <v>1180.14</v>
      </c>
      <c r="AQ326">
        <v>32</v>
      </c>
      <c r="AS326" t="s">
        <v>4113</v>
      </c>
      <c r="AT326" t="s">
        <v>4127</v>
      </c>
      <c r="AW326">
        <v>16</v>
      </c>
      <c r="AY326" t="s">
        <v>4140</v>
      </c>
      <c r="BB326" t="s">
        <v>4154</v>
      </c>
      <c r="BF326" t="s">
        <v>4281</v>
      </c>
      <c r="BM326" t="s">
        <v>4627</v>
      </c>
    </row>
    <row r="327" spans="1:65">
      <c r="A327" s="1">
        <f>HYPERLINK("https://lsnyc.legalserver.org/matter/dynamic-profile/view/1871625","18-1871625")</f>
        <v>0</v>
      </c>
      <c r="B327" t="s">
        <v>75</v>
      </c>
      <c r="C327" t="s">
        <v>93</v>
      </c>
      <c r="D327" t="s">
        <v>261</v>
      </c>
      <c r="F327" t="s">
        <v>486</v>
      </c>
      <c r="G327" t="s">
        <v>1083</v>
      </c>
      <c r="H327" t="s">
        <v>1700</v>
      </c>
      <c r="I327" t="s">
        <v>1926</v>
      </c>
      <c r="J327" t="s">
        <v>2205</v>
      </c>
      <c r="K327">
        <v>11212</v>
      </c>
      <c r="N327" t="s">
        <v>2233</v>
      </c>
      <c r="O327" t="s">
        <v>2475</v>
      </c>
      <c r="Q327" t="s">
        <v>3141</v>
      </c>
      <c r="R327">
        <v>3</v>
      </c>
      <c r="S327">
        <v>0</v>
      </c>
      <c r="T327">
        <v>100.1</v>
      </c>
      <c r="W327">
        <v>20800</v>
      </c>
      <c r="Y327">
        <v>0</v>
      </c>
      <c r="AA327" t="s">
        <v>3913</v>
      </c>
      <c r="AC327" t="s">
        <v>3942</v>
      </c>
      <c r="AD327" t="s">
        <v>3986</v>
      </c>
      <c r="AF327" t="s">
        <v>4054</v>
      </c>
      <c r="AH327" t="s">
        <v>3510</v>
      </c>
      <c r="AJ327" t="s">
        <v>3942</v>
      </c>
      <c r="AL327" t="s">
        <v>4070</v>
      </c>
      <c r="AM327" t="s">
        <v>2230</v>
      </c>
      <c r="AO327">
        <v>862.52</v>
      </c>
      <c r="AQ327">
        <v>32</v>
      </c>
      <c r="AS327" t="s">
        <v>4113</v>
      </c>
      <c r="AU327" t="s">
        <v>4128</v>
      </c>
      <c r="AW327">
        <v>6</v>
      </c>
      <c r="AY327" t="s">
        <v>4140</v>
      </c>
      <c r="BB327" t="s">
        <v>4154</v>
      </c>
      <c r="BF327" t="s">
        <v>4281</v>
      </c>
      <c r="BM327" t="s">
        <v>4627</v>
      </c>
    </row>
    <row r="328" spans="1:65">
      <c r="A328" s="1">
        <f>HYPERLINK("https://lsnyc.legalserver.org/matter/dynamic-profile/view/1867294","18-1867294")</f>
        <v>0</v>
      </c>
      <c r="B328" t="s">
        <v>75</v>
      </c>
      <c r="C328" t="s">
        <v>93</v>
      </c>
      <c r="D328" t="s">
        <v>271</v>
      </c>
      <c r="F328" t="s">
        <v>486</v>
      </c>
      <c r="G328" t="s">
        <v>1083</v>
      </c>
      <c r="H328" t="s">
        <v>1700</v>
      </c>
      <c r="I328" t="s">
        <v>1926</v>
      </c>
      <c r="J328" t="s">
        <v>2205</v>
      </c>
      <c r="K328">
        <v>11212</v>
      </c>
      <c r="N328" t="s">
        <v>2233</v>
      </c>
      <c r="O328" t="s">
        <v>2475</v>
      </c>
      <c r="Q328" t="s">
        <v>3141</v>
      </c>
      <c r="R328">
        <v>3</v>
      </c>
      <c r="S328">
        <v>0</v>
      </c>
      <c r="T328">
        <v>100.1</v>
      </c>
      <c r="W328">
        <v>20800</v>
      </c>
      <c r="Y328">
        <v>0</v>
      </c>
      <c r="AA328" t="s">
        <v>90</v>
      </c>
      <c r="AC328" t="s">
        <v>3942</v>
      </c>
      <c r="AD328" t="s">
        <v>3947</v>
      </c>
      <c r="AF328" t="s">
        <v>4061</v>
      </c>
      <c r="AH328" t="s">
        <v>4080</v>
      </c>
      <c r="AJ328" t="s">
        <v>3942</v>
      </c>
      <c r="AL328" t="s">
        <v>4070</v>
      </c>
      <c r="AM328" t="s">
        <v>2230</v>
      </c>
      <c r="AO328">
        <v>862.52</v>
      </c>
      <c r="AQ328">
        <v>32</v>
      </c>
      <c r="AS328" t="s">
        <v>4113</v>
      </c>
      <c r="AT328" t="s">
        <v>4127</v>
      </c>
      <c r="AW328">
        <v>6</v>
      </c>
      <c r="AY328" t="s">
        <v>4140</v>
      </c>
      <c r="BB328" t="s">
        <v>4154</v>
      </c>
      <c r="BF328" t="s">
        <v>4281</v>
      </c>
      <c r="BM328" t="s">
        <v>4627</v>
      </c>
    </row>
    <row r="329" spans="1:65">
      <c r="A329" s="1">
        <f>HYPERLINK("https://lsnyc.legalserver.org/matter/dynamic-profile/view/1896757","19-1896757")</f>
        <v>0</v>
      </c>
      <c r="B329" t="s">
        <v>75</v>
      </c>
      <c r="C329" t="s">
        <v>93</v>
      </c>
      <c r="D329" t="s">
        <v>274</v>
      </c>
      <c r="F329" t="s">
        <v>563</v>
      </c>
      <c r="G329" t="s">
        <v>1209</v>
      </c>
      <c r="H329" t="s">
        <v>1663</v>
      </c>
      <c r="I329" t="s">
        <v>1924</v>
      </c>
      <c r="J329" t="s">
        <v>2205</v>
      </c>
      <c r="K329">
        <v>11213</v>
      </c>
      <c r="N329" t="s">
        <v>2233</v>
      </c>
      <c r="O329" t="s">
        <v>2466</v>
      </c>
      <c r="Q329" t="s">
        <v>3133</v>
      </c>
      <c r="R329">
        <v>5</v>
      </c>
      <c r="S329">
        <v>1</v>
      </c>
      <c r="T329">
        <v>109.86</v>
      </c>
      <c r="W329">
        <v>38000</v>
      </c>
      <c r="X329" t="s">
        <v>3543</v>
      </c>
      <c r="Y329">
        <v>0</v>
      </c>
      <c r="AA329" t="s">
        <v>70</v>
      </c>
      <c r="AC329" t="s">
        <v>3942</v>
      </c>
      <c r="AD329" t="s">
        <v>158</v>
      </c>
      <c r="AF329" t="s">
        <v>4061</v>
      </c>
      <c r="AH329" t="s">
        <v>3510</v>
      </c>
      <c r="AJ329" t="s">
        <v>3942</v>
      </c>
      <c r="AL329" t="s">
        <v>4087</v>
      </c>
      <c r="AM329" t="s">
        <v>2230</v>
      </c>
      <c r="AO329">
        <v>719</v>
      </c>
      <c r="AQ329">
        <v>6</v>
      </c>
      <c r="AS329" t="s">
        <v>4113</v>
      </c>
      <c r="AU329" t="s">
        <v>4128</v>
      </c>
      <c r="AW329">
        <v>22</v>
      </c>
      <c r="AY329" t="s">
        <v>4140</v>
      </c>
      <c r="BC329" t="s">
        <v>4155</v>
      </c>
      <c r="BF329" t="s">
        <v>4281</v>
      </c>
      <c r="BG329" t="s">
        <v>4054</v>
      </c>
      <c r="BM329" t="s">
        <v>4627</v>
      </c>
    </row>
    <row r="330" spans="1:65">
      <c r="A330" s="1">
        <f>HYPERLINK("https://lsnyc.legalserver.org/matter/dynamic-profile/view/1896750","19-1896750")</f>
        <v>0</v>
      </c>
      <c r="B330" t="s">
        <v>75</v>
      </c>
      <c r="C330" t="s">
        <v>93</v>
      </c>
      <c r="D330" t="s">
        <v>274</v>
      </c>
      <c r="F330" t="s">
        <v>563</v>
      </c>
      <c r="G330" t="s">
        <v>1209</v>
      </c>
      <c r="H330" t="s">
        <v>1663</v>
      </c>
      <c r="I330" t="s">
        <v>1924</v>
      </c>
      <c r="J330" t="s">
        <v>2205</v>
      </c>
      <c r="K330">
        <v>11213</v>
      </c>
      <c r="N330" t="s">
        <v>2233</v>
      </c>
      <c r="O330" t="s">
        <v>2466</v>
      </c>
      <c r="Q330" t="s">
        <v>3133</v>
      </c>
      <c r="R330">
        <v>5</v>
      </c>
      <c r="S330">
        <v>1</v>
      </c>
      <c r="T330">
        <v>109.86</v>
      </c>
      <c r="W330">
        <v>38000</v>
      </c>
      <c r="Y330">
        <v>0</v>
      </c>
      <c r="AA330" t="s">
        <v>70</v>
      </c>
      <c r="AC330" t="s">
        <v>3942</v>
      </c>
      <c r="AD330" t="s">
        <v>385</v>
      </c>
      <c r="AF330" t="s">
        <v>4061</v>
      </c>
      <c r="AH330" t="s">
        <v>3510</v>
      </c>
      <c r="AJ330" t="s">
        <v>3942</v>
      </c>
      <c r="AL330" t="s">
        <v>4087</v>
      </c>
      <c r="AM330" t="s">
        <v>2230</v>
      </c>
      <c r="AO330">
        <v>719</v>
      </c>
      <c r="AQ330">
        <v>6</v>
      </c>
      <c r="AS330" t="s">
        <v>4113</v>
      </c>
      <c r="AU330" t="s">
        <v>4128</v>
      </c>
      <c r="AW330">
        <v>22</v>
      </c>
      <c r="AY330" t="s">
        <v>4140</v>
      </c>
      <c r="BC330" t="s">
        <v>4155</v>
      </c>
      <c r="BF330" t="s">
        <v>4281</v>
      </c>
      <c r="BG330" t="s">
        <v>4054</v>
      </c>
      <c r="BM330" t="s">
        <v>4627</v>
      </c>
    </row>
    <row r="331" spans="1:65">
      <c r="A331" s="1">
        <f>HYPERLINK("https://lsnyc.legalserver.org/matter/dynamic-profile/view/1896769","19-1896769")</f>
        <v>0</v>
      </c>
      <c r="B331" t="s">
        <v>75</v>
      </c>
      <c r="C331" t="s">
        <v>93</v>
      </c>
      <c r="D331" t="s">
        <v>274</v>
      </c>
      <c r="F331" t="s">
        <v>563</v>
      </c>
      <c r="G331" t="s">
        <v>1209</v>
      </c>
      <c r="H331" t="s">
        <v>1663</v>
      </c>
      <c r="I331" t="s">
        <v>1924</v>
      </c>
      <c r="J331" t="s">
        <v>2205</v>
      </c>
      <c r="K331">
        <v>11213</v>
      </c>
      <c r="N331" t="s">
        <v>2233</v>
      </c>
      <c r="O331" t="s">
        <v>2466</v>
      </c>
      <c r="Q331" t="s">
        <v>3133</v>
      </c>
      <c r="R331">
        <v>5</v>
      </c>
      <c r="S331">
        <v>1</v>
      </c>
      <c r="T331">
        <v>109.86</v>
      </c>
      <c r="W331">
        <v>38000</v>
      </c>
      <c r="X331" t="s">
        <v>3543</v>
      </c>
      <c r="Y331">
        <v>0</v>
      </c>
      <c r="AA331" t="s">
        <v>70</v>
      </c>
      <c r="AC331" t="s">
        <v>3942</v>
      </c>
      <c r="AD331" t="s">
        <v>3971</v>
      </c>
      <c r="AF331" t="s">
        <v>4059</v>
      </c>
      <c r="AH331" t="s">
        <v>4078</v>
      </c>
      <c r="AJ331" t="s">
        <v>3942</v>
      </c>
      <c r="AL331" t="s">
        <v>4087</v>
      </c>
      <c r="AM331" t="s">
        <v>2230</v>
      </c>
      <c r="AO331">
        <v>719</v>
      </c>
      <c r="AQ331">
        <v>6</v>
      </c>
      <c r="AS331" t="s">
        <v>4113</v>
      </c>
      <c r="AU331" t="s">
        <v>4128</v>
      </c>
      <c r="AW331">
        <v>22</v>
      </c>
      <c r="AY331" t="s">
        <v>4140</v>
      </c>
      <c r="BC331" t="s">
        <v>4155</v>
      </c>
      <c r="BF331" t="s">
        <v>4281</v>
      </c>
      <c r="BG331" t="s">
        <v>4128</v>
      </c>
      <c r="BM331" t="s">
        <v>4627</v>
      </c>
    </row>
    <row r="332" spans="1:65">
      <c r="A332" s="1">
        <f>HYPERLINK("https://lsnyc.legalserver.org/matter/dynamic-profile/view/1907797","19-1907797")</f>
        <v>0</v>
      </c>
      <c r="B332" t="s">
        <v>75</v>
      </c>
      <c r="C332" t="s">
        <v>93</v>
      </c>
      <c r="D332" t="s">
        <v>157</v>
      </c>
      <c r="F332" t="s">
        <v>673</v>
      </c>
      <c r="G332" t="s">
        <v>1217</v>
      </c>
      <c r="H332" t="s">
        <v>1605</v>
      </c>
      <c r="I332" t="s">
        <v>1989</v>
      </c>
      <c r="J332" t="s">
        <v>2205</v>
      </c>
      <c r="K332">
        <v>11212</v>
      </c>
      <c r="N332" t="s">
        <v>2233</v>
      </c>
      <c r="O332" t="s">
        <v>2476</v>
      </c>
      <c r="Q332" t="s">
        <v>3142</v>
      </c>
      <c r="R332">
        <v>1</v>
      </c>
      <c r="S332">
        <v>0</v>
      </c>
      <c r="T332">
        <v>168.13</v>
      </c>
      <c r="W332">
        <v>21000</v>
      </c>
      <c r="Y332">
        <v>38.08</v>
      </c>
      <c r="Z332" t="s">
        <v>204</v>
      </c>
      <c r="AA332" t="s">
        <v>70</v>
      </c>
      <c r="AC332" t="s">
        <v>3942</v>
      </c>
      <c r="AD332" t="s">
        <v>237</v>
      </c>
      <c r="AF332" t="s">
        <v>4061</v>
      </c>
      <c r="AH332" t="s">
        <v>3510</v>
      </c>
      <c r="AJ332" t="s">
        <v>3942</v>
      </c>
      <c r="AL332" t="s">
        <v>4087</v>
      </c>
      <c r="AM332" t="s">
        <v>2230</v>
      </c>
      <c r="AO332">
        <v>1050</v>
      </c>
      <c r="AQ332">
        <v>96</v>
      </c>
      <c r="AS332" t="s">
        <v>4113</v>
      </c>
      <c r="AU332" t="s">
        <v>4134</v>
      </c>
      <c r="AW332">
        <v>30</v>
      </c>
      <c r="AY332" t="s">
        <v>4140</v>
      </c>
      <c r="BA332" t="s">
        <v>4149</v>
      </c>
      <c r="BC332" t="s">
        <v>4155</v>
      </c>
      <c r="BF332" t="s">
        <v>4281</v>
      </c>
      <c r="BG332" t="s">
        <v>4128</v>
      </c>
      <c r="BM332" t="s">
        <v>4627</v>
      </c>
    </row>
    <row r="333" spans="1:65">
      <c r="A333" s="1">
        <f>HYPERLINK("https://lsnyc.legalserver.org/matter/dynamic-profile/view/0830161","17-0830161")</f>
        <v>0</v>
      </c>
      <c r="B333" t="s">
        <v>75</v>
      </c>
      <c r="C333" t="s">
        <v>93</v>
      </c>
      <c r="D333" t="s">
        <v>264</v>
      </c>
      <c r="F333" t="s">
        <v>681</v>
      </c>
      <c r="G333" t="s">
        <v>1218</v>
      </c>
      <c r="H333" t="s">
        <v>1700</v>
      </c>
      <c r="I333" t="s">
        <v>1939</v>
      </c>
      <c r="J333" t="s">
        <v>2205</v>
      </c>
      <c r="K333">
        <v>11212</v>
      </c>
      <c r="N333" t="s">
        <v>2233</v>
      </c>
      <c r="O333" t="s">
        <v>2477</v>
      </c>
      <c r="Q333" t="s">
        <v>3143</v>
      </c>
      <c r="R333">
        <v>2</v>
      </c>
      <c r="S333">
        <v>0</v>
      </c>
      <c r="T333">
        <v>162.56</v>
      </c>
      <c r="W333">
        <v>26400</v>
      </c>
      <c r="Y333">
        <v>0.5</v>
      </c>
      <c r="Z333" t="s">
        <v>330</v>
      </c>
      <c r="AA333" t="s">
        <v>75</v>
      </c>
      <c r="AC333" t="s">
        <v>3942</v>
      </c>
      <c r="AD333" t="s">
        <v>264</v>
      </c>
      <c r="AF333" t="s">
        <v>4054</v>
      </c>
      <c r="AH333" t="s">
        <v>4078</v>
      </c>
      <c r="AJ333" t="s">
        <v>3942</v>
      </c>
      <c r="AL333" t="s">
        <v>4070</v>
      </c>
      <c r="AM333" t="s">
        <v>2230</v>
      </c>
      <c r="AO333">
        <v>922.9400000000001</v>
      </c>
      <c r="AQ333">
        <v>32</v>
      </c>
      <c r="AS333" t="s">
        <v>4113</v>
      </c>
      <c r="AT333" t="s">
        <v>4127</v>
      </c>
      <c r="AW333">
        <v>21</v>
      </c>
      <c r="AY333" t="s">
        <v>4140</v>
      </c>
      <c r="BB333" t="s">
        <v>4154</v>
      </c>
      <c r="BG333" t="s">
        <v>4423</v>
      </c>
      <c r="BM333" t="s">
        <v>4627</v>
      </c>
    </row>
    <row r="334" spans="1:65">
      <c r="A334" s="1">
        <f>HYPERLINK("https://lsnyc.legalserver.org/matter/dynamic-profile/view/1905902","19-1905902")</f>
        <v>0</v>
      </c>
      <c r="B334" t="s">
        <v>75</v>
      </c>
      <c r="C334" t="s">
        <v>93</v>
      </c>
      <c r="D334" t="s">
        <v>142</v>
      </c>
      <c r="F334" t="s">
        <v>668</v>
      </c>
      <c r="G334" t="s">
        <v>1202</v>
      </c>
      <c r="H334" t="s">
        <v>1663</v>
      </c>
      <c r="I334" t="s">
        <v>2011</v>
      </c>
      <c r="J334" t="s">
        <v>2205</v>
      </c>
      <c r="K334">
        <v>11213</v>
      </c>
      <c r="N334" t="s">
        <v>2233</v>
      </c>
      <c r="O334" t="s">
        <v>2456</v>
      </c>
      <c r="Q334" t="s">
        <v>3123</v>
      </c>
      <c r="R334">
        <v>1</v>
      </c>
      <c r="S334">
        <v>0</v>
      </c>
      <c r="T334">
        <v>512.41</v>
      </c>
      <c r="W334">
        <v>64000</v>
      </c>
      <c r="X334" t="s">
        <v>3544</v>
      </c>
      <c r="Y334">
        <v>0</v>
      </c>
      <c r="AA334" t="s">
        <v>90</v>
      </c>
      <c r="AC334" t="s">
        <v>3942</v>
      </c>
      <c r="AD334" t="s">
        <v>3992</v>
      </c>
      <c r="AF334" t="s">
        <v>4061</v>
      </c>
      <c r="AH334" t="s">
        <v>3510</v>
      </c>
      <c r="AJ334" t="s">
        <v>3942</v>
      </c>
      <c r="AL334" t="s">
        <v>4086</v>
      </c>
      <c r="AM334" t="s">
        <v>2230</v>
      </c>
      <c r="AO334">
        <v>540</v>
      </c>
      <c r="AQ334">
        <v>6</v>
      </c>
      <c r="AS334" t="s">
        <v>4113</v>
      </c>
      <c r="AU334" t="s">
        <v>4128</v>
      </c>
      <c r="AW334">
        <v>18</v>
      </c>
      <c r="AY334" t="s">
        <v>4140</v>
      </c>
      <c r="BA334" t="s">
        <v>4149</v>
      </c>
      <c r="BC334" t="s">
        <v>4155</v>
      </c>
      <c r="BE334" t="s">
        <v>4128</v>
      </c>
      <c r="BF334" t="s">
        <v>4281</v>
      </c>
      <c r="BG334" t="s">
        <v>4327</v>
      </c>
      <c r="BM334" t="s">
        <v>4627</v>
      </c>
    </row>
    <row r="335" spans="1:65">
      <c r="A335" s="1">
        <f>HYPERLINK("https://lsnyc.legalserver.org/matter/dynamic-profile/view/1905812","19-1905812")</f>
        <v>0</v>
      </c>
      <c r="B335" t="s">
        <v>75</v>
      </c>
      <c r="C335" t="s">
        <v>93</v>
      </c>
      <c r="D335" t="s">
        <v>142</v>
      </c>
      <c r="F335" t="s">
        <v>544</v>
      </c>
      <c r="G335" t="s">
        <v>1076</v>
      </c>
      <c r="H335" t="s">
        <v>1606</v>
      </c>
      <c r="I335" t="s">
        <v>1928</v>
      </c>
      <c r="J335" t="s">
        <v>2205</v>
      </c>
      <c r="K335">
        <v>11212</v>
      </c>
      <c r="N335" t="s">
        <v>2234</v>
      </c>
      <c r="O335" t="s">
        <v>2310</v>
      </c>
      <c r="Q335" t="s">
        <v>2990</v>
      </c>
      <c r="R335">
        <v>1</v>
      </c>
      <c r="S335">
        <v>0</v>
      </c>
      <c r="T335">
        <v>93.19</v>
      </c>
      <c r="W335">
        <v>11640</v>
      </c>
      <c r="X335" t="s">
        <v>3545</v>
      </c>
      <c r="Y335">
        <v>0</v>
      </c>
      <c r="AA335" t="s">
        <v>70</v>
      </c>
      <c r="AC335" t="s">
        <v>3942</v>
      </c>
      <c r="AD335" t="s">
        <v>3993</v>
      </c>
      <c r="AF335" t="s">
        <v>4051</v>
      </c>
      <c r="AH335" t="s">
        <v>4077</v>
      </c>
      <c r="AJ335" t="s">
        <v>3942</v>
      </c>
      <c r="AL335" t="s">
        <v>4070</v>
      </c>
      <c r="AM335" t="s">
        <v>2230</v>
      </c>
      <c r="AN335" t="s">
        <v>4107</v>
      </c>
      <c r="AO335">
        <v>0</v>
      </c>
      <c r="AQ335">
        <v>11</v>
      </c>
      <c r="AS335" t="s">
        <v>4113</v>
      </c>
      <c r="AU335" t="s">
        <v>4128</v>
      </c>
      <c r="AV335" t="s">
        <v>4137</v>
      </c>
      <c r="AW335">
        <v>0</v>
      </c>
      <c r="AY335" t="s">
        <v>4140</v>
      </c>
      <c r="BA335" t="s">
        <v>4149</v>
      </c>
      <c r="BC335" t="s">
        <v>4155</v>
      </c>
      <c r="BE335" t="s">
        <v>4128</v>
      </c>
      <c r="BG335" t="s">
        <v>4285</v>
      </c>
      <c r="BM335" t="s">
        <v>4627</v>
      </c>
    </row>
    <row r="336" spans="1:65">
      <c r="A336" s="1">
        <f>HYPERLINK("https://lsnyc.legalserver.org/matter/dynamic-profile/view/1907790","19-1907790")</f>
        <v>0</v>
      </c>
      <c r="B336" t="s">
        <v>75</v>
      </c>
      <c r="C336" t="s">
        <v>93</v>
      </c>
      <c r="D336" t="s">
        <v>157</v>
      </c>
      <c r="F336" t="s">
        <v>682</v>
      </c>
      <c r="G336" t="s">
        <v>557</v>
      </c>
      <c r="H336" t="s">
        <v>1605</v>
      </c>
      <c r="I336" t="s">
        <v>1948</v>
      </c>
      <c r="J336" t="s">
        <v>2205</v>
      </c>
      <c r="K336">
        <v>11212</v>
      </c>
      <c r="N336" t="s">
        <v>2233</v>
      </c>
      <c r="O336" t="s">
        <v>2478</v>
      </c>
      <c r="Q336" t="s">
        <v>3144</v>
      </c>
      <c r="R336">
        <v>1</v>
      </c>
      <c r="S336">
        <v>0</v>
      </c>
      <c r="T336">
        <v>93.09999999999999</v>
      </c>
      <c r="W336">
        <v>11628</v>
      </c>
      <c r="Y336">
        <v>0.08</v>
      </c>
      <c r="Z336" t="s">
        <v>3838</v>
      </c>
      <c r="AA336" t="s">
        <v>70</v>
      </c>
      <c r="AC336" t="s">
        <v>3942</v>
      </c>
      <c r="AD336" t="s">
        <v>237</v>
      </c>
      <c r="AF336" t="s">
        <v>4061</v>
      </c>
      <c r="AH336" t="s">
        <v>3510</v>
      </c>
      <c r="AJ336" t="s">
        <v>3942</v>
      </c>
      <c r="AL336" t="s">
        <v>4087</v>
      </c>
      <c r="AM336" t="s">
        <v>2230</v>
      </c>
      <c r="AO336">
        <v>164.4</v>
      </c>
      <c r="AQ336">
        <v>96</v>
      </c>
      <c r="AS336" t="s">
        <v>4113</v>
      </c>
      <c r="AU336" t="s">
        <v>4070</v>
      </c>
      <c r="AW336">
        <v>10</v>
      </c>
      <c r="AY336" t="s">
        <v>4140</v>
      </c>
      <c r="BA336" t="s">
        <v>4149</v>
      </c>
      <c r="BC336" t="s">
        <v>4155</v>
      </c>
      <c r="BF336" t="s">
        <v>4281</v>
      </c>
      <c r="BG336" t="s">
        <v>4128</v>
      </c>
      <c r="BM336" t="s">
        <v>4627</v>
      </c>
    </row>
    <row r="337" spans="1:65">
      <c r="A337" s="1">
        <f>HYPERLINK("https://lsnyc.legalserver.org/matter/dynamic-profile/view/1904257","19-1904257")</f>
        <v>0</v>
      </c>
      <c r="B337" t="s">
        <v>75</v>
      </c>
      <c r="C337" t="s">
        <v>93</v>
      </c>
      <c r="D337" t="s">
        <v>249</v>
      </c>
      <c r="F337" t="s">
        <v>485</v>
      </c>
      <c r="G337" t="s">
        <v>1020</v>
      </c>
      <c r="H337" t="s">
        <v>1563</v>
      </c>
      <c r="I337" t="s">
        <v>1920</v>
      </c>
      <c r="J337" t="s">
        <v>2205</v>
      </c>
      <c r="K337">
        <v>11221</v>
      </c>
      <c r="N337" t="s">
        <v>2236</v>
      </c>
      <c r="O337" t="s">
        <v>2250</v>
      </c>
      <c r="Q337" t="s">
        <v>2938</v>
      </c>
      <c r="R337">
        <v>1</v>
      </c>
      <c r="S337">
        <v>0</v>
      </c>
      <c r="T337">
        <v>150.68</v>
      </c>
      <c r="W337">
        <v>18820</v>
      </c>
      <c r="Y337">
        <v>0</v>
      </c>
      <c r="AA337" t="s">
        <v>90</v>
      </c>
      <c r="AB337" t="s">
        <v>3941</v>
      </c>
      <c r="AC337" t="s">
        <v>3943</v>
      </c>
      <c r="AD337" t="s">
        <v>168</v>
      </c>
      <c r="AF337" t="s">
        <v>4061</v>
      </c>
      <c r="AH337" t="s">
        <v>3510</v>
      </c>
      <c r="AJ337" t="s">
        <v>3942</v>
      </c>
      <c r="AL337" t="s">
        <v>4087</v>
      </c>
      <c r="AM337" t="s">
        <v>2230</v>
      </c>
      <c r="AO337">
        <v>790</v>
      </c>
      <c r="AQ337">
        <v>13</v>
      </c>
      <c r="AS337" t="s">
        <v>4113</v>
      </c>
      <c r="AU337" t="s">
        <v>4128</v>
      </c>
      <c r="AW337">
        <v>20</v>
      </c>
      <c r="AY337" t="s">
        <v>4140</v>
      </c>
      <c r="BA337" t="s">
        <v>4149</v>
      </c>
      <c r="BB337" t="s">
        <v>4154</v>
      </c>
      <c r="BC337" t="s">
        <v>4128</v>
      </c>
      <c r="BE337" t="s">
        <v>4128</v>
      </c>
      <c r="BF337" t="s">
        <v>4281</v>
      </c>
      <c r="BG337" t="s">
        <v>4128</v>
      </c>
      <c r="BM337" t="s">
        <v>4627</v>
      </c>
    </row>
    <row r="338" spans="1:65">
      <c r="A338" s="1">
        <f>HYPERLINK("https://lsnyc.legalserver.org/matter/dynamic-profile/view/1871695","18-1871695")</f>
        <v>0</v>
      </c>
      <c r="B338" t="s">
        <v>75</v>
      </c>
      <c r="C338" t="s">
        <v>93</v>
      </c>
      <c r="D338" t="s">
        <v>270</v>
      </c>
      <c r="F338" t="s">
        <v>672</v>
      </c>
      <c r="G338" t="s">
        <v>797</v>
      </c>
      <c r="H338" t="s">
        <v>1702</v>
      </c>
      <c r="I338" t="s">
        <v>1925</v>
      </c>
      <c r="J338" t="s">
        <v>2205</v>
      </c>
      <c r="K338">
        <v>11206</v>
      </c>
      <c r="N338" t="s">
        <v>2233</v>
      </c>
      <c r="O338" t="s">
        <v>2463</v>
      </c>
      <c r="Q338" t="s">
        <v>3130</v>
      </c>
      <c r="R338">
        <v>1</v>
      </c>
      <c r="S338">
        <v>6</v>
      </c>
      <c r="T338">
        <v>182.87</v>
      </c>
      <c r="W338">
        <v>69600</v>
      </c>
      <c r="Y338">
        <v>0</v>
      </c>
      <c r="AA338" t="s">
        <v>3913</v>
      </c>
      <c r="AC338" t="s">
        <v>3942</v>
      </c>
      <c r="AD338" t="s">
        <v>3987</v>
      </c>
      <c r="AE338" t="s">
        <v>4049</v>
      </c>
      <c r="AH338" t="s">
        <v>3510</v>
      </c>
      <c r="AJ338" t="s">
        <v>3942</v>
      </c>
      <c r="AL338" t="s">
        <v>4070</v>
      </c>
      <c r="AM338" t="s">
        <v>2230</v>
      </c>
      <c r="AO338">
        <v>1155.44</v>
      </c>
      <c r="AQ338">
        <v>25</v>
      </c>
      <c r="AS338" t="s">
        <v>4113</v>
      </c>
      <c r="AT338" t="s">
        <v>4127</v>
      </c>
      <c r="AW338">
        <v>8</v>
      </c>
      <c r="AY338" t="s">
        <v>4140</v>
      </c>
      <c r="BB338" t="s">
        <v>4154</v>
      </c>
      <c r="BF338" t="s">
        <v>4281</v>
      </c>
      <c r="BM338" t="s">
        <v>4627</v>
      </c>
    </row>
    <row r="339" spans="1:65">
      <c r="A339" s="1">
        <f>HYPERLINK("https://lsnyc.legalserver.org/matter/dynamic-profile/view/1904000","19-1904000")</f>
        <v>0</v>
      </c>
      <c r="B339" t="s">
        <v>75</v>
      </c>
      <c r="C339" t="s">
        <v>93</v>
      </c>
      <c r="D339" t="s">
        <v>148</v>
      </c>
      <c r="F339" t="s">
        <v>683</v>
      </c>
      <c r="G339" t="s">
        <v>1219</v>
      </c>
      <c r="H339" t="s">
        <v>1698</v>
      </c>
      <c r="I339" t="s">
        <v>2019</v>
      </c>
      <c r="J339" t="s">
        <v>2205</v>
      </c>
      <c r="K339">
        <v>11213</v>
      </c>
      <c r="N339" t="s">
        <v>2236</v>
      </c>
      <c r="O339" t="s">
        <v>2479</v>
      </c>
      <c r="Q339" t="s">
        <v>3145</v>
      </c>
      <c r="R339">
        <v>1</v>
      </c>
      <c r="S339">
        <v>0</v>
      </c>
      <c r="T339">
        <v>86.47</v>
      </c>
      <c r="W339">
        <v>10800</v>
      </c>
      <c r="Y339">
        <v>0</v>
      </c>
      <c r="AA339" t="s">
        <v>90</v>
      </c>
      <c r="AC339" t="s">
        <v>3942</v>
      </c>
      <c r="AD339" t="s">
        <v>168</v>
      </c>
      <c r="AF339" t="s">
        <v>4061</v>
      </c>
      <c r="AH339" t="s">
        <v>3510</v>
      </c>
      <c r="AJ339" t="s">
        <v>3942</v>
      </c>
      <c r="AL339" t="s">
        <v>4089</v>
      </c>
      <c r="AM339" t="s">
        <v>2230</v>
      </c>
      <c r="AO339">
        <v>380.62</v>
      </c>
      <c r="AQ339">
        <v>19</v>
      </c>
      <c r="AS339" t="s">
        <v>4113</v>
      </c>
      <c r="AU339" t="s">
        <v>4128</v>
      </c>
      <c r="AW339">
        <v>8</v>
      </c>
      <c r="AY339" t="s">
        <v>4140</v>
      </c>
      <c r="BA339" t="s">
        <v>4149</v>
      </c>
      <c r="BC339" t="s">
        <v>4155</v>
      </c>
      <c r="BE339" t="s">
        <v>4128</v>
      </c>
      <c r="BF339" t="s">
        <v>4281</v>
      </c>
      <c r="BG339" t="s">
        <v>4128</v>
      </c>
      <c r="BM339" t="s">
        <v>4627</v>
      </c>
    </row>
    <row r="340" spans="1:65">
      <c r="A340" s="1">
        <f>HYPERLINK("https://lsnyc.legalserver.org/matter/dynamic-profile/view/1857558","18-1857558")</f>
        <v>0</v>
      </c>
      <c r="B340" t="s">
        <v>75</v>
      </c>
      <c r="C340" t="s">
        <v>93</v>
      </c>
      <c r="D340" t="s">
        <v>266</v>
      </c>
      <c r="F340" t="s">
        <v>684</v>
      </c>
      <c r="G340" t="s">
        <v>1220</v>
      </c>
      <c r="H340" t="s">
        <v>1695</v>
      </c>
      <c r="I340" t="s">
        <v>1955</v>
      </c>
      <c r="J340" t="s">
        <v>2205</v>
      </c>
      <c r="K340">
        <v>11206</v>
      </c>
      <c r="N340" t="s">
        <v>2233</v>
      </c>
      <c r="O340" t="s">
        <v>2480</v>
      </c>
      <c r="Q340" t="s">
        <v>3146</v>
      </c>
      <c r="R340">
        <v>1</v>
      </c>
      <c r="S340">
        <v>0</v>
      </c>
      <c r="T340">
        <v>120.12</v>
      </c>
      <c r="W340">
        <v>14486.4</v>
      </c>
      <c r="Y340">
        <v>0</v>
      </c>
      <c r="AA340" t="s">
        <v>90</v>
      </c>
      <c r="AC340" t="s">
        <v>3942</v>
      </c>
      <c r="AD340" t="s">
        <v>103</v>
      </c>
      <c r="AF340" t="s">
        <v>4058</v>
      </c>
      <c r="AH340" t="s">
        <v>4076</v>
      </c>
      <c r="AJ340" t="s">
        <v>3942</v>
      </c>
      <c r="AL340" t="s">
        <v>4087</v>
      </c>
      <c r="AM340" t="s">
        <v>2230</v>
      </c>
      <c r="AO340">
        <v>458.7</v>
      </c>
      <c r="AQ340">
        <v>25</v>
      </c>
      <c r="AS340" t="s">
        <v>4116</v>
      </c>
      <c r="AU340" t="s">
        <v>4128</v>
      </c>
      <c r="AW340">
        <v>19</v>
      </c>
      <c r="AY340" t="s">
        <v>4140</v>
      </c>
      <c r="BB340" t="s">
        <v>4154</v>
      </c>
      <c r="BE340" t="s">
        <v>4128</v>
      </c>
      <c r="BF340" t="s">
        <v>4281</v>
      </c>
      <c r="BM340" t="s">
        <v>4627</v>
      </c>
    </row>
    <row r="341" spans="1:65">
      <c r="A341" s="1">
        <f>HYPERLINK("https://lsnyc.legalserver.org/matter/dynamic-profile/view/1871791","18-1871791")</f>
        <v>0</v>
      </c>
      <c r="B341" t="s">
        <v>75</v>
      </c>
      <c r="C341" t="s">
        <v>93</v>
      </c>
      <c r="D341" t="s">
        <v>275</v>
      </c>
      <c r="F341" t="s">
        <v>563</v>
      </c>
      <c r="G341" t="s">
        <v>1221</v>
      </c>
      <c r="H341" t="s">
        <v>1695</v>
      </c>
      <c r="I341" t="s">
        <v>2020</v>
      </c>
      <c r="J341" t="s">
        <v>2205</v>
      </c>
      <c r="K341">
        <v>11206</v>
      </c>
      <c r="N341" t="s">
        <v>2233</v>
      </c>
      <c r="O341" t="s">
        <v>2481</v>
      </c>
      <c r="Q341" t="s">
        <v>3147</v>
      </c>
      <c r="R341">
        <v>1</v>
      </c>
      <c r="S341">
        <v>2</v>
      </c>
      <c r="T341">
        <v>87.58</v>
      </c>
      <c r="W341">
        <v>18200</v>
      </c>
      <c r="X341" t="s">
        <v>3546</v>
      </c>
      <c r="Y341">
        <v>0</v>
      </c>
      <c r="AA341" t="s">
        <v>3913</v>
      </c>
      <c r="AC341" t="s">
        <v>3942</v>
      </c>
      <c r="AD341" t="s">
        <v>275</v>
      </c>
      <c r="AF341" t="s">
        <v>4059</v>
      </c>
      <c r="AH341" t="s">
        <v>4078</v>
      </c>
      <c r="AJ341" t="s">
        <v>3942</v>
      </c>
      <c r="AL341" t="s">
        <v>4070</v>
      </c>
      <c r="AM341" t="s">
        <v>2230</v>
      </c>
      <c r="AO341">
        <v>611.9299999999999</v>
      </c>
      <c r="AQ341">
        <v>25</v>
      </c>
      <c r="AS341" t="s">
        <v>4113</v>
      </c>
      <c r="AT341" t="s">
        <v>4127</v>
      </c>
      <c r="AW341">
        <v>7</v>
      </c>
      <c r="AY341" t="s">
        <v>4140</v>
      </c>
      <c r="BB341" t="s">
        <v>4154</v>
      </c>
      <c r="BD341" t="s">
        <v>4157</v>
      </c>
      <c r="BE341" t="s">
        <v>4212</v>
      </c>
      <c r="BG341" t="s">
        <v>4424</v>
      </c>
      <c r="BM341" t="s">
        <v>4627</v>
      </c>
    </row>
    <row r="342" spans="1:65">
      <c r="A342" s="1">
        <f>HYPERLINK("https://lsnyc.legalserver.org/matter/dynamic-profile/view/1905718","19-1905718")</f>
        <v>0</v>
      </c>
      <c r="B342" t="s">
        <v>75</v>
      </c>
      <c r="C342" t="s">
        <v>93</v>
      </c>
      <c r="D342" t="s">
        <v>154</v>
      </c>
      <c r="F342" t="s">
        <v>637</v>
      </c>
      <c r="G342" t="s">
        <v>1171</v>
      </c>
      <c r="H342" t="s">
        <v>1688</v>
      </c>
      <c r="I342" t="s">
        <v>1930</v>
      </c>
      <c r="J342" t="s">
        <v>2205</v>
      </c>
      <c r="K342">
        <v>11212</v>
      </c>
      <c r="N342" t="s">
        <v>2236</v>
      </c>
      <c r="O342" t="s">
        <v>2419</v>
      </c>
      <c r="Q342" t="s">
        <v>3091</v>
      </c>
      <c r="R342">
        <v>1</v>
      </c>
      <c r="S342">
        <v>0</v>
      </c>
      <c r="T342">
        <v>88.29000000000001</v>
      </c>
      <c r="W342">
        <v>11028</v>
      </c>
      <c r="X342" t="s">
        <v>3547</v>
      </c>
      <c r="Y342">
        <v>2.5</v>
      </c>
      <c r="Z342" t="s">
        <v>136</v>
      </c>
      <c r="AA342" t="s">
        <v>70</v>
      </c>
      <c r="AC342" t="s">
        <v>3942</v>
      </c>
      <c r="AD342" t="s">
        <v>404</v>
      </c>
      <c r="AF342" t="s">
        <v>4062</v>
      </c>
      <c r="AH342" t="s">
        <v>3510</v>
      </c>
      <c r="AJ342" t="s">
        <v>3942</v>
      </c>
      <c r="AL342" t="s">
        <v>4089</v>
      </c>
      <c r="AM342" t="s">
        <v>2230</v>
      </c>
      <c r="AN342" t="s">
        <v>4107</v>
      </c>
      <c r="AO342">
        <v>0</v>
      </c>
      <c r="AQ342">
        <v>23</v>
      </c>
      <c r="AS342" t="s">
        <v>4113</v>
      </c>
      <c r="AU342" t="s">
        <v>4128</v>
      </c>
      <c r="AV342" t="s">
        <v>4137</v>
      </c>
      <c r="AW342">
        <v>0</v>
      </c>
      <c r="AY342" t="s">
        <v>4140</v>
      </c>
      <c r="BA342" t="s">
        <v>4149</v>
      </c>
      <c r="BC342" t="s">
        <v>4155</v>
      </c>
      <c r="BE342" t="s">
        <v>4128</v>
      </c>
      <c r="BG342" t="s">
        <v>4321</v>
      </c>
      <c r="BM342" t="s">
        <v>4627</v>
      </c>
    </row>
    <row r="343" spans="1:65">
      <c r="A343" s="1">
        <f>HYPERLINK("https://lsnyc.legalserver.org/matter/dynamic-profile/view/0828915","17-0828915")</f>
        <v>0</v>
      </c>
      <c r="B343" t="s">
        <v>75</v>
      </c>
      <c r="C343" t="s">
        <v>93</v>
      </c>
      <c r="D343" t="s">
        <v>276</v>
      </c>
      <c r="F343" t="s">
        <v>504</v>
      </c>
      <c r="G343" t="s">
        <v>1155</v>
      </c>
      <c r="H343" t="s">
        <v>1700</v>
      </c>
      <c r="I343" t="s">
        <v>2021</v>
      </c>
      <c r="J343" t="s">
        <v>2205</v>
      </c>
      <c r="K343">
        <v>11212</v>
      </c>
      <c r="N343" t="s">
        <v>2233</v>
      </c>
      <c r="O343" t="s">
        <v>2482</v>
      </c>
      <c r="Q343" t="s">
        <v>3148</v>
      </c>
      <c r="R343">
        <v>1</v>
      </c>
      <c r="S343">
        <v>0</v>
      </c>
      <c r="T343">
        <v>119.4</v>
      </c>
      <c r="W343">
        <v>14400</v>
      </c>
      <c r="Y343">
        <v>0.25</v>
      </c>
      <c r="Z343" t="s">
        <v>330</v>
      </c>
      <c r="AA343" t="s">
        <v>75</v>
      </c>
      <c r="AC343" t="s">
        <v>3942</v>
      </c>
      <c r="AD343" t="s">
        <v>260</v>
      </c>
      <c r="AF343" t="s">
        <v>4055</v>
      </c>
      <c r="AH343" t="s">
        <v>3510</v>
      </c>
      <c r="AJ343" t="s">
        <v>3942</v>
      </c>
      <c r="AL343" t="s">
        <v>4070</v>
      </c>
      <c r="AM343" t="s">
        <v>2230</v>
      </c>
      <c r="AO343">
        <v>900</v>
      </c>
      <c r="AQ343">
        <v>32</v>
      </c>
      <c r="AS343" t="s">
        <v>4113</v>
      </c>
      <c r="AT343" t="s">
        <v>4127</v>
      </c>
      <c r="AW343">
        <v>18</v>
      </c>
      <c r="AY343" t="s">
        <v>4140</v>
      </c>
      <c r="BB343" t="s">
        <v>4154</v>
      </c>
      <c r="BG343" t="s">
        <v>4419</v>
      </c>
      <c r="BM343" t="s">
        <v>4627</v>
      </c>
    </row>
    <row r="344" spans="1:65">
      <c r="A344" s="1">
        <f>HYPERLINK("https://lsnyc.legalserver.org/matter/dynamic-profile/view/1869424","18-1869424")</f>
        <v>0</v>
      </c>
      <c r="B344" t="s">
        <v>75</v>
      </c>
      <c r="C344" t="s">
        <v>93</v>
      </c>
      <c r="D344" t="s">
        <v>263</v>
      </c>
      <c r="F344" t="s">
        <v>685</v>
      </c>
      <c r="G344" t="s">
        <v>1222</v>
      </c>
      <c r="H344" t="s">
        <v>1701</v>
      </c>
      <c r="I344" t="s">
        <v>1922</v>
      </c>
      <c r="J344" t="s">
        <v>2205</v>
      </c>
      <c r="K344">
        <v>11233</v>
      </c>
      <c r="N344" t="s">
        <v>2233</v>
      </c>
      <c r="O344" t="s">
        <v>2483</v>
      </c>
      <c r="Q344" t="s">
        <v>3149</v>
      </c>
      <c r="R344">
        <v>3</v>
      </c>
      <c r="S344">
        <v>2</v>
      </c>
      <c r="T344">
        <v>88.38</v>
      </c>
      <c r="W344">
        <v>26000</v>
      </c>
      <c r="Y344">
        <v>0</v>
      </c>
      <c r="AA344" t="s">
        <v>90</v>
      </c>
      <c r="AC344" t="s">
        <v>3942</v>
      </c>
      <c r="AD344" t="s">
        <v>259</v>
      </c>
      <c r="AF344" t="s">
        <v>4061</v>
      </c>
      <c r="AH344" t="s">
        <v>3510</v>
      </c>
      <c r="AJ344" t="s">
        <v>3942</v>
      </c>
      <c r="AL344" t="s">
        <v>4086</v>
      </c>
      <c r="AM344" t="s">
        <v>2230</v>
      </c>
      <c r="AO344">
        <v>950</v>
      </c>
      <c r="AQ344">
        <v>11</v>
      </c>
      <c r="AS344" t="s">
        <v>4113</v>
      </c>
      <c r="AU344" t="s">
        <v>4128</v>
      </c>
      <c r="AW344">
        <v>23</v>
      </c>
      <c r="AY344" t="s">
        <v>4140</v>
      </c>
      <c r="BB344" t="s">
        <v>4154</v>
      </c>
      <c r="BF344" t="s">
        <v>4281</v>
      </c>
      <c r="BM344" t="s">
        <v>4627</v>
      </c>
    </row>
    <row r="345" spans="1:65">
      <c r="A345" s="1">
        <f>HYPERLINK("https://lsnyc.legalserver.org/matter/dynamic-profile/view/1871759","18-1871759")</f>
        <v>0</v>
      </c>
      <c r="B345" t="s">
        <v>75</v>
      </c>
      <c r="C345" t="s">
        <v>93</v>
      </c>
      <c r="D345" t="s">
        <v>270</v>
      </c>
      <c r="F345" t="s">
        <v>684</v>
      </c>
      <c r="G345" t="s">
        <v>1220</v>
      </c>
      <c r="H345" t="s">
        <v>1695</v>
      </c>
      <c r="I345" t="s">
        <v>1955</v>
      </c>
      <c r="J345" t="s">
        <v>2205</v>
      </c>
      <c r="K345">
        <v>11206</v>
      </c>
      <c r="N345" t="s">
        <v>2233</v>
      </c>
      <c r="O345" t="s">
        <v>2480</v>
      </c>
      <c r="Q345" t="s">
        <v>3146</v>
      </c>
      <c r="R345">
        <v>1</v>
      </c>
      <c r="S345">
        <v>0</v>
      </c>
      <c r="T345">
        <v>119.31</v>
      </c>
      <c r="W345">
        <v>14484</v>
      </c>
      <c r="Y345">
        <v>0</v>
      </c>
      <c r="AA345" t="s">
        <v>3913</v>
      </c>
      <c r="AC345" t="s">
        <v>3942</v>
      </c>
      <c r="AD345" t="s">
        <v>3987</v>
      </c>
      <c r="AF345" t="s">
        <v>4059</v>
      </c>
      <c r="AH345" t="s">
        <v>4078</v>
      </c>
      <c r="AJ345" t="s">
        <v>3942</v>
      </c>
      <c r="AL345" t="s">
        <v>4087</v>
      </c>
      <c r="AM345" t="s">
        <v>2230</v>
      </c>
      <c r="AO345">
        <v>458.7</v>
      </c>
      <c r="AQ345">
        <v>25</v>
      </c>
      <c r="AS345" t="s">
        <v>4116</v>
      </c>
      <c r="AT345" t="s">
        <v>4127</v>
      </c>
      <c r="AW345">
        <v>19</v>
      </c>
      <c r="AY345" t="s">
        <v>4140</v>
      </c>
      <c r="BB345" t="s">
        <v>4154</v>
      </c>
      <c r="BG345" t="s">
        <v>4424</v>
      </c>
      <c r="BM345" t="s">
        <v>4627</v>
      </c>
    </row>
    <row r="346" spans="1:65">
      <c r="A346" s="1">
        <f>HYPERLINK("https://lsnyc.legalserver.org/matter/dynamic-profile/view/1903994","19-1903994")</f>
        <v>0</v>
      </c>
      <c r="B346" t="s">
        <v>75</v>
      </c>
      <c r="C346" t="s">
        <v>93</v>
      </c>
      <c r="D346" t="s">
        <v>148</v>
      </c>
      <c r="F346" t="s">
        <v>686</v>
      </c>
      <c r="G346" t="s">
        <v>1066</v>
      </c>
      <c r="H346" t="s">
        <v>1698</v>
      </c>
      <c r="I346" t="s">
        <v>1944</v>
      </c>
      <c r="J346" t="s">
        <v>2205</v>
      </c>
      <c r="K346">
        <v>11213</v>
      </c>
      <c r="N346" t="s">
        <v>2236</v>
      </c>
      <c r="O346" t="s">
        <v>2484</v>
      </c>
      <c r="Q346" t="s">
        <v>3150</v>
      </c>
      <c r="R346">
        <v>2</v>
      </c>
      <c r="S346">
        <v>1</v>
      </c>
      <c r="T346">
        <v>118.97</v>
      </c>
      <c r="W346">
        <v>25376</v>
      </c>
      <c r="X346" t="s">
        <v>3548</v>
      </c>
      <c r="Y346">
        <v>0</v>
      </c>
      <c r="AA346" t="s">
        <v>90</v>
      </c>
      <c r="AC346" t="s">
        <v>3942</v>
      </c>
      <c r="AD346" t="s">
        <v>168</v>
      </c>
      <c r="AF346" t="s">
        <v>4061</v>
      </c>
      <c r="AH346" t="s">
        <v>3510</v>
      </c>
      <c r="AJ346" t="s">
        <v>3942</v>
      </c>
      <c r="AL346" t="s">
        <v>4089</v>
      </c>
      <c r="AM346" t="s">
        <v>2230</v>
      </c>
      <c r="AO346">
        <v>560</v>
      </c>
      <c r="AQ346">
        <v>19</v>
      </c>
      <c r="AS346" t="s">
        <v>4113</v>
      </c>
      <c r="AU346" t="s">
        <v>4128</v>
      </c>
      <c r="AW346">
        <v>18</v>
      </c>
      <c r="AY346" t="s">
        <v>4140</v>
      </c>
      <c r="BA346" t="s">
        <v>4149</v>
      </c>
      <c r="BC346" t="s">
        <v>4155</v>
      </c>
      <c r="BE346" t="s">
        <v>4128</v>
      </c>
      <c r="BF346" t="s">
        <v>4281</v>
      </c>
      <c r="BG346" t="s">
        <v>4426</v>
      </c>
      <c r="BM346" t="s">
        <v>4627</v>
      </c>
    </row>
    <row r="347" spans="1:65">
      <c r="A347" s="1">
        <f>HYPERLINK("https://lsnyc.legalserver.org/matter/dynamic-profile/view/1857188","18-1857188")</f>
        <v>0</v>
      </c>
      <c r="B347" t="s">
        <v>75</v>
      </c>
      <c r="C347" t="s">
        <v>93</v>
      </c>
      <c r="D347" t="s">
        <v>265</v>
      </c>
      <c r="F347" t="s">
        <v>563</v>
      </c>
      <c r="G347" t="s">
        <v>1221</v>
      </c>
      <c r="H347" t="s">
        <v>1695</v>
      </c>
      <c r="I347" t="s">
        <v>2020</v>
      </c>
      <c r="J347" t="s">
        <v>2205</v>
      </c>
      <c r="K347">
        <v>11206</v>
      </c>
      <c r="N347" t="s">
        <v>2233</v>
      </c>
      <c r="O347" t="s">
        <v>2481</v>
      </c>
      <c r="Q347" t="s">
        <v>3147</v>
      </c>
      <c r="R347">
        <v>1</v>
      </c>
      <c r="S347">
        <v>2</v>
      </c>
      <c r="T347">
        <v>89.13</v>
      </c>
      <c r="W347">
        <v>18200</v>
      </c>
      <c r="X347" t="s">
        <v>3549</v>
      </c>
      <c r="Y347">
        <v>0</v>
      </c>
      <c r="AA347" t="s">
        <v>90</v>
      </c>
      <c r="AC347" t="s">
        <v>3942</v>
      </c>
      <c r="AD347" t="s">
        <v>103</v>
      </c>
      <c r="AF347" t="s">
        <v>4058</v>
      </c>
      <c r="AH347" t="s">
        <v>4076</v>
      </c>
      <c r="AJ347" t="s">
        <v>3942</v>
      </c>
      <c r="AL347" t="s">
        <v>4070</v>
      </c>
      <c r="AM347" t="s">
        <v>2230</v>
      </c>
      <c r="AO347">
        <v>611.9299999999999</v>
      </c>
      <c r="AQ347">
        <v>25</v>
      </c>
      <c r="AS347" t="s">
        <v>4113</v>
      </c>
      <c r="AT347" t="s">
        <v>4127</v>
      </c>
      <c r="AW347">
        <v>7</v>
      </c>
      <c r="AY347" t="s">
        <v>4140</v>
      </c>
      <c r="BB347" t="s">
        <v>4154</v>
      </c>
      <c r="BD347" t="s">
        <v>4157</v>
      </c>
      <c r="BE347" t="s">
        <v>4212</v>
      </c>
      <c r="BF347" t="s">
        <v>4281</v>
      </c>
      <c r="BM347" t="s">
        <v>4627</v>
      </c>
    </row>
    <row r="348" spans="1:65">
      <c r="A348" s="1">
        <f>HYPERLINK("https://lsnyc.legalserver.org/matter/dynamic-profile/view/1871554","18-1871554")</f>
        <v>0</v>
      </c>
      <c r="B348" t="s">
        <v>75</v>
      </c>
      <c r="C348" t="s">
        <v>93</v>
      </c>
      <c r="D348" t="s">
        <v>268</v>
      </c>
      <c r="F348" t="s">
        <v>687</v>
      </c>
      <c r="G348" t="s">
        <v>1223</v>
      </c>
      <c r="H348" t="s">
        <v>1700</v>
      </c>
      <c r="I348" t="s">
        <v>1959</v>
      </c>
      <c r="J348" t="s">
        <v>2205</v>
      </c>
      <c r="K348">
        <v>11212</v>
      </c>
      <c r="N348" t="s">
        <v>2233</v>
      </c>
      <c r="O348" t="s">
        <v>2485</v>
      </c>
      <c r="Q348" t="s">
        <v>3151</v>
      </c>
      <c r="R348">
        <v>2</v>
      </c>
      <c r="S348">
        <v>0</v>
      </c>
      <c r="T348">
        <v>89.23</v>
      </c>
      <c r="W348">
        <v>14688</v>
      </c>
      <c r="Y348">
        <v>0</v>
      </c>
      <c r="AA348" t="s">
        <v>3913</v>
      </c>
      <c r="AC348" t="s">
        <v>3942</v>
      </c>
      <c r="AD348" t="s">
        <v>3986</v>
      </c>
      <c r="AF348" t="s">
        <v>4054</v>
      </c>
      <c r="AH348" t="s">
        <v>3510</v>
      </c>
      <c r="AJ348" t="s">
        <v>3942</v>
      </c>
      <c r="AL348" t="s">
        <v>4070</v>
      </c>
      <c r="AM348" t="s">
        <v>2230</v>
      </c>
      <c r="AO348">
        <v>840</v>
      </c>
      <c r="AQ348">
        <v>32</v>
      </c>
      <c r="AS348" t="s">
        <v>4113</v>
      </c>
      <c r="AT348" t="s">
        <v>4127</v>
      </c>
      <c r="AW348">
        <v>19</v>
      </c>
      <c r="AY348" t="s">
        <v>4140</v>
      </c>
      <c r="BB348" t="s">
        <v>4154</v>
      </c>
      <c r="BF348" t="s">
        <v>4281</v>
      </c>
      <c r="BM348" t="s">
        <v>4627</v>
      </c>
    </row>
    <row r="349" spans="1:65">
      <c r="A349" s="1">
        <f>HYPERLINK("https://lsnyc.legalserver.org/matter/dynamic-profile/view/1905795","19-1905795")</f>
        <v>0</v>
      </c>
      <c r="B349" t="s">
        <v>75</v>
      </c>
      <c r="C349" t="s">
        <v>93</v>
      </c>
      <c r="D349" t="s">
        <v>154</v>
      </c>
      <c r="F349" t="s">
        <v>544</v>
      </c>
      <c r="G349" t="s">
        <v>1076</v>
      </c>
      <c r="H349" t="s">
        <v>1606</v>
      </c>
      <c r="I349" t="s">
        <v>1928</v>
      </c>
      <c r="J349" t="s">
        <v>2205</v>
      </c>
      <c r="K349">
        <v>11212</v>
      </c>
      <c r="N349" t="s">
        <v>2236</v>
      </c>
      <c r="O349" t="s">
        <v>2310</v>
      </c>
      <c r="Q349" t="s">
        <v>2990</v>
      </c>
      <c r="R349">
        <v>1</v>
      </c>
      <c r="S349">
        <v>0</v>
      </c>
      <c r="T349">
        <v>93.19</v>
      </c>
      <c r="W349">
        <v>11640</v>
      </c>
      <c r="X349" t="s">
        <v>3545</v>
      </c>
      <c r="Y349">
        <v>0</v>
      </c>
      <c r="AA349" t="s">
        <v>70</v>
      </c>
      <c r="AC349" t="s">
        <v>3942</v>
      </c>
      <c r="AD349" t="s">
        <v>404</v>
      </c>
      <c r="AF349" t="s">
        <v>4062</v>
      </c>
      <c r="AH349" t="s">
        <v>3510</v>
      </c>
      <c r="AJ349" t="s">
        <v>3942</v>
      </c>
      <c r="AL349" t="s">
        <v>4070</v>
      </c>
      <c r="AM349" t="s">
        <v>2230</v>
      </c>
      <c r="AN349" t="s">
        <v>4107</v>
      </c>
      <c r="AO349">
        <v>0</v>
      </c>
      <c r="AP349" t="s">
        <v>4108</v>
      </c>
      <c r="AQ349" t="s">
        <v>4110</v>
      </c>
      <c r="AS349" t="s">
        <v>4113</v>
      </c>
      <c r="AU349" t="s">
        <v>4128</v>
      </c>
      <c r="AV349" t="s">
        <v>4137</v>
      </c>
      <c r="AW349">
        <v>0</v>
      </c>
      <c r="AY349" t="s">
        <v>4140</v>
      </c>
      <c r="BA349" t="s">
        <v>4149</v>
      </c>
      <c r="BC349" t="s">
        <v>4155</v>
      </c>
      <c r="BE349" t="s">
        <v>4128</v>
      </c>
      <c r="BG349" t="s">
        <v>4321</v>
      </c>
      <c r="BM349" t="s">
        <v>4627</v>
      </c>
    </row>
    <row r="350" spans="1:65">
      <c r="A350" s="1">
        <f>HYPERLINK("https://lsnyc.legalserver.org/matter/dynamic-profile/view/1835945","17-1835945")</f>
        <v>0</v>
      </c>
      <c r="B350" t="s">
        <v>75</v>
      </c>
      <c r="C350" t="s">
        <v>93</v>
      </c>
      <c r="D350" t="s">
        <v>277</v>
      </c>
      <c r="F350" t="s">
        <v>674</v>
      </c>
      <c r="G350" t="s">
        <v>1224</v>
      </c>
      <c r="H350" t="s">
        <v>1700</v>
      </c>
      <c r="I350" t="s">
        <v>1948</v>
      </c>
      <c r="J350" t="s">
        <v>2205</v>
      </c>
      <c r="K350">
        <v>11212</v>
      </c>
      <c r="N350" t="s">
        <v>2233</v>
      </c>
      <c r="O350" t="s">
        <v>2465</v>
      </c>
      <c r="Q350" t="s">
        <v>3132</v>
      </c>
      <c r="R350">
        <v>2</v>
      </c>
      <c r="S350">
        <v>0</v>
      </c>
      <c r="T350">
        <v>176.9</v>
      </c>
      <c r="W350">
        <v>28729</v>
      </c>
      <c r="Y350">
        <v>0.5</v>
      </c>
      <c r="Z350" t="s">
        <v>307</v>
      </c>
      <c r="AA350" t="s">
        <v>75</v>
      </c>
      <c r="AC350" t="s">
        <v>3942</v>
      </c>
      <c r="AD350" t="s">
        <v>277</v>
      </c>
      <c r="AF350" t="s">
        <v>4054</v>
      </c>
      <c r="AH350" t="s">
        <v>3510</v>
      </c>
      <c r="AJ350" t="s">
        <v>3942</v>
      </c>
      <c r="AL350" t="s">
        <v>4070</v>
      </c>
      <c r="AM350" t="s">
        <v>2230</v>
      </c>
      <c r="AO350">
        <v>1120.98</v>
      </c>
      <c r="AQ350">
        <v>31</v>
      </c>
      <c r="AS350" t="s">
        <v>4113</v>
      </c>
      <c r="AU350" t="s">
        <v>4134</v>
      </c>
      <c r="AW350">
        <v>12</v>
      </c>
      <c r="AY350" t="s">
        <v>4140</v>
      </c>
      <c r="BB350" t="s">
        <v>4154</v>
      </c>
      <c r="BF350" t="s">
        <v>4281</v>
      </c>
      <c r="BG350" t="s">
        <v>4427</v>
      </c>
      <c r="BM350" t="s">
        <v>4627</v>
      </c>
    </row>
    <row r="351" spans="1:65">
      <c r="A351" s="1">
        <f>HYPERLINK("https://lsnyc.legalserver.org/matter/dynamic-profile/view/1887836","19-1887836")</f>
        <v>0</v>
      </c>
      <c r="B351" t="s">
        <v>75</v>
      </c>
      <c r="C351" t="s">
        <v>93</v>
      </c>
      <c r="D351" t="s">
        <v>208</v>
      </c>
      <c r="F351" t="s">
        <v>688</v>
      </c>
      <c r="G351" t="s">
        <v>1225</v>
      </c>
      <c r="H351" t="s">
        <v>1696</v>
      </c>
      <c r="I351" t="s">
        <v>2022</v>
      </c>
      <c r="J351" t="s">
        <v>2205</v>
      </c>
      <c r="K351">
        <v>11225</v>
      </c>
      <c r="N351" t="s">
        <v>2233</v>
      </c>
      <c r="O351" t="s">
        <v>2486</v>
      </c>
      <c r="Q351" t="s">
        <v>3152</v>
      </c>
      <c r="R351">
        <v>2</v>
      </c>
      <c r="S351">
        <v>0</v>
      </c>
      <c r="T351">
        <v>89.95999999999999</v>
      </c>
      <c r="W351">
        <v>14808</v>
      </c>
      <c r="Y351">
        <v>0</v>
      </c>
      <c r="AA351" t="s">
        <v>70</v>
      </c>
      <c r="AC351" t="s">
        <v>3942</v>
      </c>
      <c r="AD351" t="s">
        <v>3982</v>
      </c>
      <c r="AF351" t="s">
        <v>4059</v>
      </c>
      <c r="AH351" t="s">
        <v>4078</v>
      </c>
      <c r="AJ351" t="s">
        <v>3942</v>
      </c>
      <c r="AL351" t="s">
        <v>4089</v>
      </c>
      <c r="AM351" t="s">
        <v>2230</v>
      </c>
      <c r="AN351" t="s">
        <v>4107</v>
      </c>
      <c r="AO351">
        <v>0</v>
      </c>
      <c r="AQ351">
        <v>89</v>
      </c>
      <c r="AS351" t="s">
        <v>4113</v>
      </c>
      <c r="AU351" t="s">
        <v>4134</v>
      </c>
      <c r="AW351">
        <v>29</v>
      </c>
      <c r="AY351" t="s">
        <v>4140</v>
      </c>
      <c r="BB351" t="s">
        <v>4154</v>
      </c>
      <c r="BF351" t="s">
        <v>4281</v>
      </c>
      <c r="BM351" t="s">
        <v>4627</v>
      </c>
    </row>
    <row r="352" spans="1:65">
      <c r="A352" s="1">
        <f>HYPERLINK("https://lsnyc.legalserver.org/matter/dynamic-profile/view/1872113","18-1872113")</f>
        <v>0</v>
      </c>
      <c r="B352" t="s">
        <v>75</v>
      </c>
      <c r="C352" t="s">
        <v>93</v>
      </c>
      <c r="D352" t="s">
        <v>197</v>
      </c>
      <c r="F352" t="s">
        <v>688</v>
      </c>
      <c r="G352" t="s">
        <v>1225</v>
      </c>
      <c r="H352" t="s">
        <v>1696</v>
      </c>
      <c r="I352" t="s">
        <v>2022</v>
      </c>
      <c r="J352" t="s">
        <v>2205</v>
      </c>
      <c r="K352">
        <v>11225</v>
      </c>
      <c r="N352" t="s">
        <v>2233</v>
      </c>
      <c r="O352" t="s">
        <v>2486</v>
      </c>
      <c r="Q352" t="s">
        <v>3152</v>
      </c>
      <c r="R352">
        <v>2</v>
      </c>
      <c r="S352">
        <v>0</v>
      </c>
      <c r="T352">
        <v>89.95999999999999</v>
      </c>
      <c r="W352">
        <v>14808</v>
      </c>
      <c r="Y352">
        <v>0</v>
      </c>
      <c r="AA352" t="s">
        <v>90</v>
      </c>
      <c r="AC352" t="s">
        <v>3942</v>
      </c>
      <c r="AD352" t="s">
        <v>3982</v>
      </c>
      <c r="AF352" t="s">
        <v>4061</v>
      </c>
      <c r="AH352" t="s">
        <v>3510</v>
      </c>
      <c r="AJ352" t="s">
        <v>3942</v>
      </c>
      <c r="AL352" t="s">
        <v>4089</v>
      </c>
      <c r="AM352" t="s">
        <v>2230</v>
      </c>
      <c r="AO352">
        <v>900</v>
      </c>
      <c r="AQ352">
        <v>89</v>
      </c>
      <c r="AS352" t="s">
        <v>4113</v>
      </c>
      <c r="AU352" t="s">
        <v>4134</v>
      </c>
      <c r="AW352">
        <v>29</v>
      </c>
      <c r="AY352" t="s">
        <v>4140</v>
      </c>
      <c r="BB352" t="s">
        <v>4154</v>
      </c>
      <c r="BF352" t="s">
        <v>4281</v>
      </c>
      <c r="BM352" t="s">
        <v>4627</v>
      </c>
    </row>
    <row r="353" spans="1:65">
      <c r="A353" s="1">
        <f>HYPERLINK("https://lsnyc.legalserver.org/matter/dynamic-profile/view/1871558","18-1871558")</f>
        <v>0</v>
      </c>
      <c r="B353" t="s">
        <v>75</v>
      </c>
      <c r="C353" t="s">
        <v>93</v>
      </c>
      <c r="D353" t="s">
        <v>268</v>
      </c>
      <c r="F353" t="s">
        <v>504</v>
      </c>
      <c r="G353" t="s">
        <v>1155</v>
      </c>
      <c r="H353" t="s">
        <v>1700</v>
      </c>
      <c r="I353" t="s">
        <v>2021</v>
      </c>
      <c r="J353" t="s">
        <v>2205</v>
      </c>
      <c r="K353">
        <v>11212</v>
      </c>
      <c r="N353" t="s">
        <v>2233</v>
      </c>
      <c r="O353" t="s">
        <v>2482</v>
      </c>
      <c r="Q353" t="s">
        <v>3148</v>
      </c>
      <c r="R353">
        <v>1</v>
      </c>
      <c r="S353">
        <v>0</v>
      </c>
      <c r="T353">
        <v>118.62</v>
      </c>
      <c r="W353">
        <v>14400</v>
      </c>
      <c r="Y353">
        <v>0</v>
      </c>
      <c r="AA353" t="s">
        <v>3913</v>
      </c>
      <c r="AC353" t="s">
        <v>3942</v>
      </c>
      <c r="AD353" t="s">
        <v>3986</v>
      </c>
      <c r="AF353" t="s">
        <v>4054</v>
      </c>
      <c r="AH353" t="s">
        <v>3510</v>
      </c>
      <c r="AJ353" t="s">
        <v>3942</v>
      </c>
      <c r="AL353" t="s">
        <v>4070</v>
      </c>
      <c r="AM353" t="s">
        <v>2230</v>
      </c>
      <c r="AO353">
        <v>900</v>
      </c>
      <c r="AQ353">
        <v>32</v>
      </c>
      <c r="AS353" t="s">
        <v>4113</v>
      </c>
      <c r="AT353" t="s">
        <v>4127</v>
      </c>
      <c r="AW353">
        <v>18</v>
      </c>
      <c r="AY353" t="s">
        <v>4140</v>
      </c>
      <c r="BB353" t="s">
        <v>4154</v>
      </c>
      <c r="BF353" t="s">
        <v>4281</v>
      </c>
      <c r="BM353" t="s">
        <v>4627</v>
      </c>
    </row>
    <row r="354" spans="1:65">
      <c r="A354" s="1">
        <f>HYPERLINK("https://lsnyc.legalserver.org/matter/dynamic-profile/view/1878647","18-1878647")</f>
        <v>0</v>
      </c>
      <c r="B354" t="s">
        <v>75</v>
      </c>
      <c r="C354" t="s">
        <v>93</v>
      </c>
      <c r="D354" t="s">
        <v>278</v>
      </c>
      <c r="F354" t="s">
        <v>653</v>
      </c>
      <c r="G354" t="s">
        <v>1187</v>
      </c>
      <c r="H354" t="s">
        <v>1558</v>
      </c>
      <c r="I354" t="s">
        <v>1931</v>
      </c>
      <c r="J354" t="s">
        <v>2205</v>
      </c>
      <c r="K354">
        <v>11221</v>
      </c>
      <c r="N354" t="s">
        <v>2233</v>
      </c>
      <c r="O354" t="s">
        <v>2437</v>
      </c>
      <c r="Q354" t="s">
        <v>3107</v>
      </c>
      <c r="R354">
        <v>1</v>
      </c>
      <c r="S354">
        <v>0</v>
      </c>
      <c r="T354">
        <v>152.2</v>
      </c>
      <c r="W354">
        <v>18476.9</v>
      </c>
      <c r="X354" t="s">
        <v>3550</v>
      </c>
      <c r="Y354">
        <v>0</v>
      </c>
      <c r="AA354" t="s">
        <v>90</v>
      </c>
      <c r="AC354" t="s">
        <v>3942</v>
      </c>
      <c r="AD354" t="s">
        <v>202</v>
      </c>
      <c r="AF354" t="s">
        <v>4059</v>
      </c>
      <c r="AH354" t="s">
        <v>4078</v>
      </c>
      <c r="AJ354" t="s">
        <v>3942</v>
      </c>
      <c r="AL354" t="s">
        <v>4087</v>
      </c>
      <c r="AM354" t="s">
        <v>2230</v>
      </c>
      <c r="AO354">
        <v>1091.82</v>
      </c>
      <c r="AQ354">
        <v>12</v>
      </c>
      <c r="AS354" t="s">
        <v>4113</v>
      </c>
      <c r="AU354" t="s">
        <v>4129</v>
      </c>
      <c r="AW354">
        <v>12</v>
      </c>
      <c r="AY354" t="s">
        <v>4140</v>
      </c>
      <c r="BB354" t="s">
        <v>4154</v>
      </c>
      <c r="BE354" t="s">
        <v>4162</v>
      </c>
      <c r="BF354" t="s">
        <v>4281</v>
      </c>
      <c r="BM354" t="s">
        <v>4627</v>
      </c>
    </row>
    <row r="355" spans="1:65">
      <c r="A355" s="1">
        <f>HYPERLINK("https://lsnyc.legalserver.org/matter/dynamic-profile/view/1867069","18-1867069")</f>
        <v>0</v>
      </c>
      <c r="B355" t="s">
        <v>75</v>
      </c>
      <c r="C355" t="s">
        <v>93</v>
      </c>
      <c r="D355" t="s">
        <v>267</v>
      </c>
      <c r="F355" t="s">
        <v>670</v>
      </c>
      <c r="G355" t="s">
        <v>1021</v>
      </c>
      <c r="H355" t="s">
        <v>1700</v>
      </c>
      <c r="I355" t="s">
        <v>1942</v>
      </c>
      <c r="J355" t="s">
        <v>2205</v>
      </c>
      <c r="K355">
        <v>11212</v>
      </c>
      <c r="N355" t="s">
        <v>2233</v>
      </c>
      <c r="O355" t="s">
        <v>2458</v>
      </c>
      <c r="Q355" t="s">
        <v>3125</v>
      </c>
      <c r="R355">
        <v>2</v>
      </c>
      <c r="S355">
        <v>0</v>
      </c>
      <c r="T355">
        <v>91.56999999999999</v>
      </c>
      <c r="W355">
        <v>15072</v>
      </c>
      <c r="Y355">
        <v>0</v>
      </c>
      <c r="AA355" t="s">
        <v>90</v>
      </c>
      <c r="AC355" t="s">
        <v>3942</v>
      </c>
      <c r="AD355" t="s">
        <v>3947</v>
      </c>
      <c r="AE355" t="s">
        <v>4049</v>
      </c>
      <c r="AH355" t="s">
        <v>3510</v>
      </c>
      <c r="AJ355" t="s">
        <v>3942</v>
      </c>
      <c r="AL355" t="s">
        <v>4070</v>
      </c>
      <c r="AM355" t="s">
        <v>2230</v>
      </c>
      <c r="AO355">
        <v>755</v>
      </c>
      <c r="AP355" t="s">
        <v>4108</v>
      </c>
      <c r="AQ355" t="s">
        <v>4110</v>
      </c>
      <c r="AS355" t="s">
        <v>4113</v>
      </c>
      <c r="AT355" t="s">
        <v>4127</v>
      </c>
      <c r="AW355">
        <v>30</v>
      </c>
      <c r="AY355" t="s">
        <v>4140</v>
      </c>
      <c r="BB355" t="s">
        <v>4154</v>
      </c>
      <c r="BF355" t="s">
        <v>4281</v>
      </c>
      <c r="BM355" t="s">
        <v>4627</v>
      </c>
    </row>
    <row r="356" spans="1:65">
      <c r="A356" s="1">
        <f>HYPERLINK("https://lsnyc.legalserver.org/matter/dynamic-profile/view/1878651","18-1878651")</f>
        <v>0</v>
      </c>
      <c r="B356" t="s">
        <v>75</v>
      </c>
      <c r="C356" t="s">
        <v>93</v>
      </c>
      <c r="D356" t="s">
        <v>278</v>
      </c>
      <c r="F356" t="s">
        <v>653</v>
      </c>
      <c r="G356" t="s">
        <v>1187</v>
      </c>
      <c r="H356" t="s">
        <v>1558</v>
      </c>
      <c r="I356" t="s">
        <v>1931</v>
      </c>
      <c r="J356" t="s">
        <v>2205</v>
      </c>
      <c r="K356">
        <v>11221</v>
      </c>
      <c r="N356" t="s">
        <v>2233</v>
      </c>
      <c r="O356" t="s">
        <v>2437</v>
      </c>
      <c r="Q356" t="s">
        <v>3107</v>
      </c>
      <c r="R356">
        <v>1</v>
      </c>
      <c r="S356">
        <v>0</v>
      </c>
      <c r="T356">
        <v>152.2</v>
      </c>
      <c r="W356">
        <v>18476.9</v>
      </c>
      <c r="X356" t="s">
        <v>3550</v>
      </c>
      <c r="Y356">
        <v>0</v>
      </c>
      <c r="AA356" t="s">
        <v>90</v>
      </c>
      <c r="AC356" t="s">
        <v>3942</v>
      </c>
      <c r="AD356" t="s">
        <v>3957</v>
      </c>
      <c r="AF356" t="s">
        <v>4058</v>
      </c>
      <c r="AH356" t="s">
        <v>4076</v>
      </c>
      <c r="AJ356" t="s">
        <v>3942</v>
      </c>
      <c r="AL356" t="s">
        <v>4087</v>
      </c>
      <c r="AM356" t="s">
        <v>2230</v>
      </c>
      <c r="AO356">
        <v>1091.82</v>
      </c>
      <c r="AQ356">
        <v>12</v>
      </c>
      <c r="AS356" t="s">
        <v>4113</v>
      </c>
      <c r="AU356" t="s">
        <v>4129</v>
      </c>
      <c r="AW356">
        <v>12</v>
      </c>
      <c r="AY356" t="s">
        <v>4140</v>
      </c>
      <c r="BB356" t="s">
        <v>4154</v>
      </c>
      <c r="BE356" t="s">
        <v>4162</v>
      </c>
      <c r="BF356" t="s">
        <v>4281</v>
      </c>
      <c r="BG356" t="s">
        <v>4421</v>
      </c>
      <c r="BM356" t="s">
        <v>4627</v>
      </c>
    </row>
    <row r="357" spans="1:65">
      <c r="A357" s="1">
        <f>HYPERLINK("https://lsnyc.legalserver.org/matter/dynamic-profile/view/1879051","18-1879051")</f>
        <v>0</v>
      </c>
      <c r="B357" t="s">
        <v>75</v>
      </c>
      <c r="C357" t="s">
        <v>93</v>
      </c>
      <c r="D357" t="s">
        <v>256</v>
      </c>
      <c r="F357" t="s">
        <v>485</v>
      </c>
      <c r="G357" t="s">
        <v>1020</v>
      </c>
      <c r="H357" t="s">
        <v>1563</v>
      </c>
      <c r="I357" t="s">
        <v>1920</v>
      </c>
      <c r="J357" t="s">
        <v>2205</v>
      </c>
      <c r="K357">
        <v>11221</v>
      </c>
      <c r="N357" t="s">
        <v>2233</v>
      </c>
      <c r="O357" t="s">
        <v>2250</v>
      </c>
      <c r="Q357" t="s">
        <v>2938</v>
      </c>
      <c r="R357">
        <v>1</v>
      </c>
      <c r="S357">
        <v>0</v>
      </c>
      <c r="T357">
        <v>155.02</v>
      </c>
      <c r="W357">
        <v>18820</v>
      </c>
      <c r="Y357">
        <v>0</v>
      </c>
      <c r="AA357" t="s">
        <v>90</v>
      </c>
      <c r="AC357" t="s">
        <v>3942</v>
      </c>
      <c r="AD357" t="s">
        <v>155</v>
      </c>
      <c r="AF357" t="s">
        <v>4059</v>
      </c>
      <c r="AH357" t="s">
        <v>4078</v>
      </c>
      <c r="AJ357" t="s">
        <v>3942</v>
      </c>
      <c r="AL357" t="s">
        <v>4087</v>
      </c>
      <c r="AM357" t="s">
        <v>2230</v>
      </c>
      <c r="AO357">
        <v>790</v>
      </c>
      <c r="AQ357">
        <v>13</v>
      </c>
      <c r="AS357" t="s">
        <v>4113</v>
      </c>
      <c r="AU357" t="s">
        <v>4128</v>
      </c>
      <c r="AW357">
        <v>20</v>
      </c>
      <c r="AY357" t="s">
        <v>4140</v>
      </c>
      <c r="BB357" t="s">
        <v>4154</v>
      </c>
      <c r="BF357" t="s">
        <v>4281</v>
      </c>
      <c r="BM357" t="s">
        <v>4627</v>
      </c>
    </row>
    <row r="358" spans="1:65">
      <c r="A358" s="1">
        <f>HYPERLINK("https://lsnyc.legalserver.org/matter/dynamic-profile/view/1879052","18-1879052")</f>
        <v>0</v>
      </c>
      <c r="B358" t="s">
        <v>75</v>
      </c>
      <c r="C358" t="s">
        <v>93</v>
      </c>
      <c r="D358" t="s">
        <v>256</v>
      </c>
      <c r="F358" t="s">
        <v>485</v>
      </c>
      <c r="G358" t="s">
        <v>1020</v>
      </c>
      <c r="H358" t="s">
        <v>1563</v>
      </c>
      <c r="I358" t="s">
        <v>1920</v>
      </c>
      <c r="J358" t="s">
        <v>2205</v>
      </c>
      <c r="K358">
        <v>11221</v>
      </c>
      <c r="N358" t="s">
        <v>2233</v>
      </c>
      <c r="O358" t="s">
        <v>2250</v>
      </c>
      <c r="Q358" t="s">
        <v>2938</v>
      </c>
      <c r="R358">
        <v>1</v>
      </c>
      <c r="S358">
        <v>0</v>
      </c>
      <c r="T358">
        <v>155.02</v>
      </c>
      <c r="W358">
        <v>18820</v>
      </c>
      <c r="X358" t="s">
        <v>3551</v>
      </c>
      <c r="Y358">
        <v>0</v>
      </c>
      <c r="AA358" t="s">
        <v>90</v>
      </c>
      <c r="AC358" t="s">
        <v>3942</v>
      </c>
      <c r="AD358" t="s">
        <v>3985</v>
      </c>
      <c r="AF358" t="s">
        <v>4058</v>
      </c>
      <c r="AH358" t="s">
        <v>4076</v>
      </c>
      <c r="AJ358" t="s">
        <v>3942</v>
      </c>
      <c r="AL358" t="s">
        <v>4087</v>
      </c>
      <c r="AM358" t="s">
        <v>2230</v>
      </c>
      <c r="AO358">
        <v>790</v>
      </c>
      <c r="AQ358">
        <v>13</v>
      </c>
      <c r="AS358" t="s">
        <v>4113</v>
      </c>
      <c r="AU358" t="s">
        <v>4128</v>
      </c>
      <c r="AW358">
        <v>20</v>
      </c>
      <c r="AY358" t="s">
        <v>4140</v>
      </c>
      <c r="BB358" t="s">
        <v>4154</v>
      </c>
      <c r="BG358" t="s">
        <v>4416</v>
      </c>
      <c r="BM358" t="s">
        <v>4627</v>
      </c>
    </row>
    <row r="359" spans="1:65">
      <c r="A359" s="1">
        <f>HYPERLINK("https://lsnyc.legalserver.org/matter/dynamic-profile/view/1871808","18-1871808")</f>
        <v>0</v>
      </c>
      <c r="B359" t="s">
        <v>75</v>
      </c>
      <c r="C359" t="s">
        <v>93</v>
      </c>
      <c r="D359" t="s">
        <v>275</v>
      </c>
      <c r="F359" t="s">
        <v>689</v>
      </c>
      <c r="G359" t="s">
        <v>1226</v>
      </c>
      <c r="H359" t="s">
        <v>1697</v>
      </c>
      <c r="I359" t="s">
        <v>1928</v>
      </c>
      <c r="J359" t="s">
        <v>2205</v>
      </c>
      <c r="K359">
        <v>11206</v>
      </c>
      <c r="N359" t="s">
        <v>2233</v>
      </c>
      <c r="O359" t="s">
        <v>2487</v>
      </c>
      <c r="P359" t="s">
        <v>2930</v>
      </c>
      <c r="R359">
        <v>2</v>
      </c>
      <c r="S359">
        <v>0</v>
      </c>
      <c r="T359">
        <v>157.96</v>
      </c>
      <c r="W359">
        <v>26000</v>
      </c>
      <c r="X359" t="s">
        <v>3473</v>
      </c>
      <c r="Y359">
        <v>0</v>
      </c>
      <c r="AA359" t="s">
        <v>3913</v>
      </c>
      <c r="AC359" t="s">
        <v>3942</v>
      </c>
      <c r="AD359" t="s">
        <v>275</v>
      </c>
      <c r="AF359" t="s">
        <v>4059</v>
      </c>
      <c r="AH359" t="s">
        <v>4078</v>
      </c>
      <c r="AJ359" t="s">
        <v>3942</v>
      </c>
      <c r="AL359" t="s">
        <v>4070</v>
      </c>
      <c r="AM359" t="s">
        <v>2230</v>
      </c>
      <c r="AO359">
        <v>953</v>
      </c>
      <c r="AQ359">
        <v>29</v>
      </c>
      <c r="AS359" t="s">
        <v>4113</v>
      </c>
      <c r="AU359" t="s">
        <v>4134</v>
      </c>
      <c r="AW359">
        <v>24</v>
      </c>
      <c r="AY359" t="s">
        <v>4141</v>
      </c>
      <c r="BB359" t="s">
        <v>4154</v>
      </c>
      <c r="BG359" t="s">
        <v>4417</v>
      </c>
      <c r="BM359" t="s">
        <v>4627</v>
      </c>
    </row>
    <row r="360" spans="1:65">
      <c r="A360" s="1">
        <f>HYPERLINK("https://lsnyc.legalserver.org/matter/dynamic-profile/view/1871618","18-1871618")</f>
        <v>0</v>
      </c>
      <c r="B360" t="s">
        <v>75</v>
      </c>
      <c r="C360" t="s">
        <v>93</v>
      </c>
      <c r="D360" t="s">
        <v>261</v>
      </c>
      <c r="F360" t="s">
        <v>681</v>
      </c>
      <c r="G360" t="s">
        <v>1218</v>
      </c>
      <c r="H360" t="s">
        <v>1700</v>
      </c>
      <c r="I360" t="s">
        <v>1939</v>
      </c>
      <c r="J360" t="s">
        <v>2205</v>
      </c>
      <c r="K360">
        <v>11212</v>
      </c>
      <c r="N360" t="s">
        <v>2233</v>
      </c>
      <c r="O360" t="s">
        <v>2477</v>
      </c>
      <c r="Q360" t="s">
        <v>3143</v>
      </c>
      <c r="R360">
        <v>2</v>
      </c>
      <c r="S360">
        <v>0</v>
      </c>
      <c r="T360">
        <v>160.39</v>
      </c>
      <c r="W360">
        <v>26400</v>
      </c>
      <c r="Y360">
        <v>0</v>
      </c>
      <c r="AA360" t="s">
        <v>3913</v>
      </c>
      <c r="AC360" t="s">
        <v>3942</v>
      </c>
      <c r="AD360" t="s">
        <v>3986</v>
      </c>
      <c r="AF360" t="s">
        <v>4054</v>
      </c>
      <c r="AH360" t="s">
        <v>3510</v>
      </c>
      <c r="AJ360" t="s">
        <v>3942</v>
      </c>
      <c r="AL360" t="s">
        <v>4070</v>
      </c>
      <c r="AM360" t="s">
        <v>2230</v>
      </c>
      <c r="AO360">
        <v>922.9400000000001</v>
      </c>
      <c r="AQ360">
        <v>32</v>
      </c>
      <c r="AS360" t="s">
        <v>4113</v>
      </c>
      <c r="AU360" t="s">
        <v>4128</v>
      </c>
      <c r="AW360">
        <v>21</v>
      </c>
      <c r="AY360" t="s">
        <v>4140</v>
      </c>
      <c r="BB360" t="s">
        <v>4154</v>
      </c>
      <c r="BF360" t="s">
        <v>4281</v>
      </c>
      <c r="BM360" t="s">
        <v>4627</v>
      </c>
    </row>
    <row r="361" spans="1:65">
      <c r="A361" s="1">
        <f>HYPERLINK("https://lsnyc.legalserver.org/matter/dynamic-profile/view/1867073","18-1867073")</f>
        <v>0</v>
      </c>
      <c r="B361" t="s">
        <v>75</v>
      </c>
      <c r="C361" t="s">
        <v>93</v>
      </c>
      <c r="D361" t="s">
        <v>267</v>
      </c>
      <c r="F361" t="s">
        <v>681</v>
      </c>
      <c r="G361" t="s">
        <v>1218</v>
      </c>
      <c r="H361" t="s">
        <v>1700</v>
      </c>
      <c r="I361" t="s">
        <v>1939</v>
      </c>
      <c r="J361" t="s">
        <v>2205</v>
      </c>
      <c r="K361">
        <v>11212</v>
      </c>
      <c r="N361" t="s">
        <v>2233</v>
      </c>
      <c r="O361" t="s">
        <v>2477</v>
      </c>
      <c r="Q361" t="s">
        <v>3143</v>
      </c>
      <c r="R361">
        <v>2</v>
      </c>
      <c r="S361">
        <v>0</v>
      </c>
      <c r="T361">
        <v>160.39</v>
      </c>
      <c r="W361">
        <v>26400</v>
      </c>
      <c r="Y361">
        <v>0</v>
      </c>
      <c r="AA361" t="s">
        <v>90</v>
      </c>
      <c r="AC361" t="s">
        <v>3942</v>
      </c>
      <c r="AD361" t="s">
        <v>3947</v>
      </c>
      <c r="AF361" t="s">
        <v>4061</v>
      </c>
      <c r="AH361" t="s">
        <v>4078</v>
      </c>
      <c r="AJ361" t="s">
        <v>3942</v>
      </c>
      <c r="AL361" t="s">
        <v>4070</v>
      </c>
      <c r="AM361" t="s">
        <v>2230</v>
      </c>
      <c r="AO361">
        <v>922.9400000000001</v>
      </c>
      <c r="AQ361">
        <v>32</v>
      </c>
      <c r="AS361" t="s">
        <v>4113</v>
      </c>
      <c r="AT361" t="s">
        <v>4127</v>
      </c>
      <c r="AW361">
        <v>21</v>
      </c>
      <c r="AY361" t="s">
        <v>4140</v>
      </c>
      <c r="BB361" t="s">
        <v>4154</v>
      </c>
      <c r="BF361" t="s">
        <v>4281</v>
      </c>
      <c r="BM361" t="s">
        <v>4627</v>
      </c>
    </row>
    <row r="362" spans="1:65">
      <c r="A362" s="1">
        <f>HYPERLINK("https://lsnyc.legalserver.org/matter/dynamic-profile/view/0829023","17-0829023")</f>
        <v>0</v>
      </c>
      <c r="B362" t="s">
        <v>75</v>
      </c>
      <c r="C362" t="s">
        <v>93</v>
      </c>
      <c r="D362" t="s">
        <v>279</v>
      </c>
      <c r="F362" t="s">
        <v>670</v>
      </c>
      <c r="G362" t="s">
        <v>1021</v>
      </c>
      <c r="H362" t="s">
        <v>1700</v>
      </c>
      <c r="I362" t="s">
        <v>1942</v>
      </c>
      <c r="J362" t="s">
        <v>2205</v>
      </c>
      <c r="K362">
        <v>11212</v>
      </c>
      <c r="N362" t="s">
        <v>2233</v>
      </c>
      <c r="O362" t="s">
        <v>2458</v>
      </c>
      <c r="Q362" t="s">
        <v>3125</v>
      </c>
      <c r="R362">
        <v>2</v>
      </c>
      <c r="S362">
        <v>0</v>
      </c>
      <c r="T362">
        <v>92.81</v>
      </c>
      <c r="W362">
        <v>15072</v>
      </c>
      <c r="Y362">
        <v>0.25</v>
      </c>
      <c r="Z362" t="s">
        <v>330</v>
      </c>
      <c r="AA362" t="s">
        <v>75</v>
      </c>
      <c r="AC362" t="s">
        <v>3942</v>
      </c>
      <c r="AD362" t="s">
        <v>260</v>
      </c>
      <c r="AF362" t="s">
        <v>4054</v>
      </c>
      <c r="AH362" t="s">
        <v>3510</v>
      </c>
      <c r="AJ362" t="s">
        <v>3942</v>
      </c>
      <c r="AL362" t="s">
        <v>4070</v>
      </c>
      <c r="AM362" t="s">
        <v>2230</v>
      </c>
      <c r="AO362">
        <v>755</v>
      </c>
      <c r="AQ362">
        <v>32</v>
      </c>
      <c r="AS362" t="s">
        <v>4113</v>
      </c>
      <c r="AT362" t="s">
        <v>4127</v>
      </c>
      <c r="AW362">
        <v>30</v>
      </c>
      <c r="AY362" t="s">
        <v>4140</v>
      </c>
      <c r="BB362" t="s">
        <v>4154</v>
      </c>
      <c r="BG362" t="s">
        <v>4419</v>
      </c>
      <c r="BM362" t="s">
        <v>4627</v>
      </c>
    </row>
    <row r="363" spans="1:65">
      <c r="A363" s="1">
        <f>HYPERLINK("https://lsnyc.legalserver.org/matter/dynamic-profile/view/1867280","18-1867280")</f>
        <v>0</v>
      </c>
      <c r="B363" t="s">
        <v>75</v>
      </c>
      <c r="C363" t="s">
        <v>93</v>
      </c>
      <c r="D363" t="s">
        <v>271</v>
      </c>
      <c r="F363" t="s">
        <v>504</v>
      </c>
      <c r="G363" t="s">
        <v>1155</v>
      </c>
      <c r="H363" t="s">
        <v>1700</v>
      </c>
      <c r="I363" t="s">
        <v>2021</v>
      </c>
      <c r="J363" t="s">
        <v>2205</v>
      </c>
      <c r="K363">
        <v>11212</v>
      </c>
      <c r="N363" t="s">
        <v>2233</v>
      </c>
      <c r="O363" t="s">
        <v>2482</v>
      </c>
      <c r="Q363" t="s">
        <v>3148</v>
      </c>
      <c r="R363">
        <v>1</v>
      </c>
      <c r="S363">
        <v>0</v>
      </c>
      <c r="T363">
        <v>118.62</v>
      </c>
      <c r="W363">
        <v>14400</v>
      </c>
      <c r="Y363">
        <v>0</v>
      </c>
      <c r="AA363" t="s">
        <v>90</v>
      </c>
      <c r="AC363" t="s">
        <v>3942</v>
      </c>
      <c r="AD363" t="s">
        <v>3947</v>
      </c>
      <c r="AF363" t="s">
        <v>4061</v>
      </c>
      <c r="AH363" t="s">
        <v>4080</v>
      </c>
      <c r="AJ363" t="s">
        <v>3942</v>
      </c>
      <c r="AL363" t="s">
        <v>4070</v>
      </c>
      <c r="AM363" t="s">
        <v>2230</v>
      </c>
      <c r="AO363">
        <v>900</v>
      </c>
      <c r="AQ363">
        <v>32</v>
      </c>
      <c r="AS363" t="s">
        <v>4113</v>
      </c>
      <c r="AT363" t="s">
        <v>4127</v>
      </c>
      <c r="AW363">
        <v>18</v>
      </c>
      <c r="AY363" t="s">
        <v>4140</v>
      </c>
      <c r="BB363" t="s">
        <v>4154</v>
      </c>
      <c r="BF363" t="s">
        <v>4281</v>
      </c>
      <c r="BM363" t="s">
        <v>4627</v>
      </c>
    </row>
    <row r="364" spans="1:65">
      <c r="A364" s="1">
        <f>HYPERLINK("https://lsnyc.legalserver.org/matter/dynamic-profile/view/0828947","17-0828947")</f>
        <v>0</v>
      </c>
      <c r="B364" t="s">
        <v>75</v>
      </c>
      <c r="C364" t="s">
        <v>93</v>
      </c>
      <c r="D364" t="s">
        <v>280</v>
      </c>
      <c r="F364" t="s">
        <v>679</v>
      </c>
      <c r="G364" t="s">
        <v>1215</v>
      </c>
      <c r="H364" t="s">
        <v>1700</v>
      </c>
      <c r="I364" t="s">
        <v>2018</v>
      </c>
      <c r="J364" t="s">
        <v>2205</v>
      </c>
      <c r="K364">
        <v>11212</v>
      </c>
      <c r="N364" t="s">
        <v>2233</v>
      </c>
      <c r="O364" t="s">
        <v>2473</v>
      </c>
      <c r="Q364" t="s">
        <v>3140</v>
      </c>
      <c r="R364">
        <v>1</v>
      </c>
      <c r="S364">
        <v>0</v>
      </c>
      <c r="T364">
        <v>0</v>
      </c>
      <c r="W364">
        <v>0</v>
      </c>
      <c r="Y364">
        <v>1</v>
      </c>
      <c r="Z364" t="s">
        <v>3841</v>
      </c>
      <c r="AA364" t="s">
        <v>75</v>
      </c>
      <c r="AC364" t="s">
        <v>3942</v>
      </c>
      <c r="AD364" t="s">
        <v>264</v>
      </c>
      <c r="AF364" t="s">
        <v>4054</v>
      </c>
      <c r="AH364" t="s">
        <v>4078</v>
      </c>
      <c r="AJ364" t="s">
        <v>3942</v>
      </c>
      <c r="AL364" t="s">
        <v>4070</v>
      </c>
      <c r="AM364" t="s">
        <v>2230</v>
      </c>
      <c r="AO364">
        <v>1180.14</v>
      </c>
      <c r="AQ364">
        <v>32</v>
      </c>
      <c r="AS364" t="s">
        <v>4113</v>
      </c>
      <c r="AT364" t="s">
        <v>4127</v>
      </c>
      <c r="AW364">
        <v>16</v>
      </c>
      <c r="AY364" t="s">
        <v>4140</v>
      </c>
      <c r="BB364" t="s">
        <v>4154</v>
      </c>
      <c r="BG364" t="s">
        <v>4423</v>
      </c>
      <c r="BM364" t="s">
        <v>4627</v>
      </c>
    </row>
    <row r="365" spans="1:65">
      <c r="A365" s="1">
        <f>HYPERLINK("https://lsnyc.legalserver.org/matter/dynamic-profile/view/1896659","19-1896659")</f>
        <v>0</v>
      </c>
      <c r="B365" t="s">
        <v>75</v>
      </c>
      <c r="C365" t="s">
        <v>93</v>
      </c>
      <c r="D365" t="s">
        <v>258</v>
      </c>
      <c r="F365" t="s">
        <v>668</v>
      </c>
      <c r="G365" t="s">
        <v>1202</v>
      </c>
      <c r="H365" t="s">
        <v>1663</v>
      </c>
      <c r="I365" t="s">
        <v>2011</v>
      </c>
      <c r="J365" t="s">
        <v>2205</v>
      </c>
      <c r="K365">
        <v>11213</v>
      </c>
      <c r="N365" t="s">
        <v>2233</v>
      </c>
      <c r="O365" t="s">
        <v>2456</v>
      </c>
      <c r="Q365" t="s">
        <v>3123</v>
      </c>
      <c r="R365">
        <v>1</v>
      </c>
      <c r="S365">
        <v>0</v>
      </c>
      <c r="T365">
        <v>512.41</v>
      </c>
      <c r="W365">
        <v>64000</v>
      </c>
      <c r="X365" t="s">
        <v>3552</v>
      </c>
      <c r="Y365">
        <v>0</v>
      </c>
      <c r="AA365" t="s">
        <v>70</v>
      </c>
      <c r="AC365" t="s">
        <v>3942</v>
      </c>
      <c r="AD365" t="s">
        <v>3971</v>
      </c>
      <c r="AF365" t="s">
        <v>4059</v>
      </c>
      <c r="AH365" t="s">
        <v>4078</v>
      </c>
      <c r="AJ365" t="s">
        <v>3942</v>
      </c>
      <c r="AL365" t="s">
        <v>4087</v>
      </c>
      <c r="AM365" t="s">
        <v>2230</v>
      </c>
      <c r="AO365">
        <v>540</v>
      </c>
      <c r="AQ365">
        <v>6</v>
      </c>
      <c r="AS365" t="s">
        <v>4113</v>
      </c>
      <c r="AU365" t="s">
        <v>4128</v>
      </c>
      <c r="AW365">
        <v>18</v>
      </c>
      <c r="AY365" t="s">
        <v>4140</v>
      </c>
      <c r="BC365" t="s">
        <v>4155</v>
      </c>
      <c r="BF365" t="s">
        <v>4281</v>
      </c>
      <c r="BG365" t="s">
        <v>4128</v>
      </c>
      <c r="BM365" t="s">
        <v>4627</v>
      </c>
    </row>
    <row r="366" spans="1:65">
      <c r="A366" s="1">
        <f>HYPERLINK("https://lsnyc.legalserver.org/matter/dynamic-profile/view/1870548","18-1870548")</f>
        <v>0</v>
      </c>
      <c r="B366" t="s">
        <v>75</v>
      </c>
      <c r="C366" t="s">
        <v>93</v>
      </c>
      <c r="D366" t="s">
        <v>281</v>
      </c>
      <c r="F366" t="s">
        <v>495</v>
      </c>
      <c r="G366" t="s">
        <v>1227</v>
      </c>
      <c r="H366" t="s">
        <v>1700</v>
      </c>
      <c r="I366" t="s">
        <v>1944</v>
      </c>
      <c r="J366" t="s">
        <v>2205</v>
      </c>
      <c r="K366">
        <v>11212</v>
      </c>
      <c r="N366" t="s">
        <v>2233</v>
      </c>
      <c r="O366" t="s">
        <v>2488</v>
      </c>
      <c r="Q366" t="s">
        <v>3153</v>
      </c>
      <c r="R366">
        <v>2</v>
      </c>
      <c r="S366">
        <v>0</v>
      </c>
      <c r="T366">
        <v>212.64</v>
      </c>
      <c r="W366">
        <v>35000</v>
      </c>
      <c r="Y366">
        <v>0</v>
      </c>
      <c r="AA366" t="s">
        <v>90</v>
      </c>
      <c r="AC366" t="s">
        <v>3942</v>
      </c>
      <c r="AD366" t="s">
        <v>3994</v>
      </c>
      <c r="AE366" t="s">
        <v>4049</v>
      </c>
      <c r="AH366" t="s">
        <v>4078</v>
      </c>
      <c r="AJ366" t="s">
        <v>3942</v>
      </c>
      <c r="AL366" t="s">
        <v>4086</v>
      </c>
      <c r="AM366" t="s">
        <v>2230</v>
      </c>
      <c r="AO366">
        <v>1201</v>
      </c>
      <c r="AQ366">
        <v>32</v>
      </c>
      <c r="AS366" t="s">
        <v>4113</v>
      </c>
      <c r="AU366" t="s">
        <v>4128</v>
      </c>
      <c r="AW366">
        <v>10</v>
      </c>
      <c r="AY366" t="s">
        <v>4140</v>
      </c>
      <c r="BB366" t="s">
        <v>4154</v>
      </c>
      <c r="BF366" t="s">
        <v>4281</v>
      </c>
      <c r="BM366" t="s">
        <v>4627</v>
      </c>
    </row>
    <row r="367" spans="1:65">
      <c r="A367" s="1">
        <f>HYPERLINK("https://lsnyc.legalserver.org/matter/dynamic-profile/view/1896742","19-1896742")</f>
        <v>0</v>
      </c>
      <c r="B367" t="s">
        <v>75</v>
      </c>
      <c r="C367" t="s">
        <v>93</v>
      </c>
      <c r="D367" t="s">
        <v>274</v>
      </c>
      <c r="F367" t="s">
        <v>602</v>
      </c>
      <c r="G367" t="s">
        <v>1134</v>
      </c>
      <c r="H367" t="s">
        <v>1663</v>
      </c>
      <c r="I367" t="s">
        <v>1945</v>
      </c>
      <c r="J367" t="s">
        <v>2205</v>
      </c>
      <c r="K367">
        <v>11213</v>
      </c>
      <c r="N367" t="s">
        <v>2233</v>
      </c>
      <c r="O367" t="s">
        <v>2379</v>
      </c>
      <c r="Q367" t="s">
        <v>3055</v>
      </c>
      <c r="R367">
        <v>2</v>
      </c>
      <c r="S367">
        <v>0</v>
      </c>
      <c r="T367">
        <v>49.67</v>
      </c>
      <c r="W367">
        <v>8400</v>
      </c>
      <c r="X367" t="s">
        <v>3553</v>
      </c>
      <c r="Y367">
        <v>1.5</v>
      </c>
      <c r="Z367" t="s">
        <v>3842</v>
      </c>
      <c r="AA367" t="s">
        <v>70</v>
      </c>
      <c r="AC367" t="s">
        <v>3942</v>
      </c>
      <c r="AD367" t="s">
        <v>158</v>
      </c>
      <c r="AF367" t="s">
        <v>4061</v>
      </c>
      <c r="AH367" t="s">
        <v>3510</v>
      </c>
      <c r="AJ367" t="s">
        <v>3942</v>
      </c>
      <c r="AL367" t="s">
        <v>4087</v>
      </c>
      <c r="AM367" t="s">
        <v>2230</v>
      </c>
      <c r="AO367">
        <v>551</v>
      </c>
      <c r="AQ367">
        <v>6</v>
      </c>
      <c r="AS367" t="s">
        <v>4113</v>
      </c>
      <c r="AU367" t="s">
        <v>4128</v>
      </c>
      <c r="AW367">
        <v>15</v>
      </c>
      <c r="AY367" t="s">
        <v>4140</v>
      </c>
      <c r="BC367" t="s">
        <v>4155</v>
      </c>
      <c r="BF367" t="s">
        <v>4281</v>
      </c>
      <c r="BG367" t="s">
        <v>4303</v>
      </c>
      <c r="BM367" t="s">
        <v>4627</v>
      </c>
    </row>
    <row r="368" spans="1:65">
      <c r="A368" s="1">
        <f>HYPERLINK("https://lsnyc.legalserver.org/matter/dynamic-profile/view/1905891","19-1905891")</f>
        <v>0</v>
      </c>
      <c r="B368" t="s">
        <v>75</v>
      </c>
      <c r="C368" t="s">
        <v>93</v>
      </c>
      <c r="D368" t="s">
        <v>142</v>
      </c>
      <c r="F368" t="s">
        <v>602</v>
      </c>
      <c r="G368" t="s">
        <v>1134</v>
      </c>
      <c r="H368" t="s">
        <v>1663</v>
      </c>
      <c r="I368" t="s">
        <v>1945</v>
      </c>
      <c r="J368" t="s">
        <v>2205</v>
      </c>
      <c r="K368">
        <v>11213</v>
      </c>
      <c r="N368" t="s">
        <v>2233</v>
      </c>
      <c r="O368" t="s">
        <v>2379</v>
      </c>
      <c r="Q368" t="s">
        <v>3055</v>
      </c>
      <c r="R368">
        <v>2</v>
      </c>
      <c r="S368">
        <v>0</v>
      </c>
      <c r="T368">
        <v>49.67</v>
      </c>
      <c r="W368">
        <v>8400</v>
      </c>
      <c r="X368" t="s">
        <v>3554</v>
      </c>
      <c r="Y368">
        <v>0</v>
      </c>
      <c r="AA368" t="s">
        <v>90</v>
      </c>
      <c r="AC368" t="s">
        <v>3942</v>
      </c>
      <c r="AD368" t="s">
        <v>404</v>
      </c>
      <c r="AF368" t="s">
        <v>4061</v>
      </c>
      <c r="AH368" t="s">
        <v>3510</v>
      </c>
      <c r="AJ368" t="s">
        <v>3942</v>
      </c>
      <c r="AL368" t="s">
        <v>4086</v>
      </c>
      <c r="AM368" t="s">
        <v>2230</v>
      </c>
      <c r="AO368">
        <v>551</v>
      </c>
      <c r="AQ368">
        <v>6</v>
      </c>
      <c r="AS368" t="s">
        <v>4113</v>
      </c>
      <c r="AU368" t="s">
        <v>4128</v>
      </c>
      <c r="AW368">
        <v>15</v>
      </c>
      <c r="AY368" t="s">
        <v>4140</v>
      </c>
      <c r="BA368" t="s">
        <v>4149</v>
      </c>
      <c r="BC368" t="s">
        <v>4155</v>
      </c>
      <c r="BE368" t="s">
        <v>4128</v>
      </c>
      <c r="BF368" t="s">
        <v>4281</v>
      </c>
      <c r="BG368" t="s">
        <v>4428</v>
      </c>
      <c r="BM368" t="s">
        <v>4627</v>
      </c>
    </row>
    <row r="369" spans="1:65">
      <c r="A369" s="1">
        <f>HYPERLINK("https://lsnyc.legalserver.org/matter/dynamic-profile/view/0830295","17-0830295")</f>
        <v>0</v>
      </c>
      <c r="B369" t="s">
        <v>75</v>
      </c>
      <c r="C369" t="s">
        <v>93</v>
      </c>
      <c r="D369" t="s">
        <v>264</v>
      </c>
      <c r="F369" t="s">
        <v>690</v>
      </c>
      <c r="G369" t="s">
        <v>1228</v>
      </c>
      <c r="H369" t="s">
        <v>1700</v>
      </c>
      <c r="I369" t="s">
        <v>1934</v>
      </c>
      <c r="J369" t="s">
        <v>2205</v>
      </c>
      <c r="K369">
        <v>11212</v>
      </c>
      <c r="N369" t="s">
        <v>2233</v>
      </c>
      <c r="O369" t="s">
        <v>2489</v>
      </c>
      <c r="Q369" t="s">
        <v>3154</v>
      </c>
      <c r="R369">
        <v>1</v>
      </c>
      <c r="S369">
        <v>1</v>
      </c>
      <c r="T369">
        <v>258.62</v>
      </c>
      <c r="W369">
        <v>42000</v>
      </c>
      <c r="Y369">
        <v>0.5</v>
      </c>
      <c r="Z369" t="s">
        <v>271</v>
      </c>
      <c r="AA369" t="s">
        <v>75</v>
      </c>
      <c r="AC369" t="s">
        <v>3942</v>
      </c>
      <c r="AD369" t="s">
        <v>264</v>
      </c>
      <c r="AF369" t="s">
        <v>4054</v>
      </c>
      <c r="AH369" t="s">
        <v>3510</v>
      </c>
      <c r="AJ369" t="s">
        <v>3942</v>
      </c>
      <c r="AL369" t="s">
        <v>4070</v>
      </c>
      <c r="AM369" t="s">
        <v>2230</v>
      </c>
      <c r="AO369">
        <v>983.42</v>
      </c>
      <c r="AQ369">
        <v>32</v>
      </c>
      <c r="AS369" t="s">
        <v>4113</v>
      </c>
      <c r="AT369" t="s">
        <v>4127</v>
      </c>
      <c r="AW369">
        <v>11</v>
      </c>
      <c r="AY369" t="s">
        <v>4140</v>
      </c>
      <c r="BB369" t="s">
        <v>4154</v>
      </c>
      <c r="BG369" t="s">
        <v>4423</v>
      </c>
      <c r="BM369" t="s">
        <v>4627</v>
      </c>
    </row>
    <row r="370" spans="1:65">
      <c r="A370" s="1">
        <f>HYPERLINK("https://lsnyc.legalserver.org/matter/dynamic-profile/view/1885048","18-1885048")</f>
        <v>0</v>
      </c>
      <c r="B370" t="s">
        <v>75</v>
      </c>
      <c r="C370" t="s">
        <v>93</v>
      </c>
      <c r="D370" t="s">
        <v>273</v>
      </c>
      <c r="F370" t="s">
        <v>691</v>
      </c>
      <c r="G370" t="s">
        <v>1229</v>
      </c>
      <c r="H370" t="s">
        <v>1698</v>
      </c>
      <c r="I370" t="s">
        <v>1931</v>
      </c>
      <c r="J370" t="s">
        <v>2205</v>
      </c>
      <c r="K370">
        <v>11213</v>
      </c>
      <c r="N370" t="s">
        <v>2233</v>
      </c>
      <c r="O370" t="s">
        <v>2490</v>
      </c>
      <c r="Q370" t="s">
        <v>3155</v>
      </c>
      <c r="R370">
        <v>3</v>
      </c>
      <c r="S370">
        <v>0</v>
      </c>
      <c r="T370">
        <v>50.05</v>
      </c>
      <c r="W370">
        <v>10400</v>
      </c>
      <c r="Y370">
        <v>0</v>
      </c>
      <c r="AA370" t="s">
        <v>70</v>
      </c>
      <c r="AC370" t="s">
        <v>3942</v>
      </c>
      <c r="AD370" t="s">
        <v>3981</v>
      </c>
      <c r="AF370" t="s">
        <v>4059</v>
      </c>
      <c r="AH370" t="s">
        <v>4078</v>
      </c>
      <c r="AJ370" t="s">
        <v>3942</v>
      </c>
      <c r="AL370" t="s">
        <v>4100</v>
      </c>
      <c r="AM370" t="s">
        <v>2230</v>
      </c>
      <c r="AO370">
        <v>412</v>
      </c>
      <c r="AQ370">
        <v>19</v>
      </c>
      <c r="AS370" t="s">
        <v>4113</v>
      </c>
      <c r="AT370" t="s">
        <v>4127</v>
      </c>
      <c r="AW370">
        <v>12</v>
      </c>
      <c r="AY370" t="s">
        <v>4140</v>
      </c>
      <c r="BB370" t="s">
        <v>4154</v>
      </c>
      <c r="BF370" t="s">
        <v>4281</v>
      </c>
      <c r="BG370" t="s">
        <v>4128</v>
      </c>
      <c r="BM370" t="s">
        <v>4627</v>
      </c>
    </row>
    <row r="371" spans="1:65">
      <c r="A371" s="1">
        <f>HYPERLINK("https://lsnyc.legalserver.org/matter/dynamic-profile/view/1885024","18-1885024")</f>
        <v>0</v>
      </c>
      <c r="B371" t="s">
        <v>75</v>
      </c>
      <c r="C371" t="s">
        <v>93</v>
      </c>
      <c r="D371" t="s">
        <v>253</v>
      </c>
      <c r="F371" t="s">
        <v>691</v>
      </c>
      <c r="G371" t="s">
        <v>1229</v>
      </c>
      <c r="H371" t="s">
        <v>1698</v>
      </c>
      <c r="I371" t="s">
        <v>1931</v>
      </c>
      <c r="J371" t="s">
        <v>2205</v>
      </c>
      <c r="K371">
        <v>11213</v>
      </c>
      <c r="N371" t="s">
        <v>2233</v>
      </c>
      <c r="O371" t="s">
        <v>2490</v>
      </c>
      <c r="Q371" t="s">
        <v>3155</v>
      </c>
      <c r="R371">
        <v>3</v>
      </c>
      <c r="S371">
        <v>0</v>
      </c>
      <c r="T371">
        <v>50.05</v>
      </c>
      <c r="W371">
        <v>10400</v>
      </c>
      <c r="Y371">
        <v>0.5</v>
      </c>
      <c r="Z371" t="s">
        <v>3843</v>
      </c>
      <c r="AA371" t="s">
        <v>70</v>
      </c>
      <c r="AC371" t="s">
        <v>3942</v>
      </c>
      <c r="AD371" t="s">
        <v>141</v>
      </c>
      <c r="AF371" t="s">
        <v>4058</v>
      </c>
      <c r="AH371" t="s">
        <v>4076</v>
      </c>
      <c r="AJ371" t="s">
        <v>3942</v>
      </c>
      <c r="AL371" t="s">
        <v>4100</v>
      </c>
      <c r="AM371" t="s">
        <v>2230</v>
      </c>
      <c r="AO371">
        <v>412</v>
      </c>
      <c r="AQ371">
        <v>19</v>
      </c>
      <c r="AS371" t="s">
        <v>4113</v>
      </c>
      <c r="AT371" t="s">
        <v>4127</v>
      </c>
      <c r="AW371">
        <v>12</v>
      </c>
      <c r="AY371" t="s">
        <v>4140</v>
      </c>
      <c r="BB371" t="s">
        <v>4154</v>
      </c>
      <c r="BG371" t="s">
        <v>4425</v>
      </c>
      <c r="BM371" t="s">
        <v>4627</v>
      </c>
    </row>
    <row r="372" spans="1:65">
      <c r="A372" s="1">
        <f>HYPERLINK("https://lsnyc.legalserver.org/matter/dynamic-profile/view/1872021","18-1872021")</f>
        <v>0</v>
      </c>
      <c r="B372" t="s">
        <v>75</v>
      </c>
      <c r="C372" t="s">
        <v>93</v>
      </c>
      <c r="D372" t="s">
        <v>243</v>
      </c>
      <c r="F372" t="s">
        <v>692</v>
      </c>
      <c r="G372" t="s">
        <v>1230</v>
      </c>
      <c r="H372" t="s">
        <v>1696</v>
      </c>
      <c r="I372" t="s">
        <v>2023</v>
      </c>
      <c r="J372" t="s">
        <v>2205</v>
      </c>
      <c r="K372">
        <v>11225</v>
      </c>
      <c r="N372" t="s">
        <v>2233</v>
      </c>
      <c r="O372" t="s">
        <v>2491</v>
      </c>
      <c r="Q372" t="s">
        <v>3156</v>
      </c>
      <c r="R372">
        <v>3</v>
      </c>
      <c r="S372">
        <v>0</v>
      </c>
      <c r="T372">
        <v>258.5</v>
      </c>
      <c r="W372">
        <v>53716</v>
      </c>
      <c r="Y372">
        <v>0</v>
      </c>
      <c r="AA372" t="s">
        <v>90</v>
      </c>
      <c r="AC372" t="s">
        <v>3942</v>
      </c>
      <c r="AD372" t="s">
        <v>3982</v>
      </c>
      <c r="AF372" t="s">
        <v>4061</v>
      </c>
      <c r="AH372" t="s">
        <v>3510</v>
      </c>
      <c r="AJ372" t="s">
        <v>3942</v>
      </c>
      <c r="AK372" t="s">
        <v>4084</v>
      </c>
      <c r="AM372" t="s">
        <v>2230</v>
      </c>
      <c r="AO372">
        <v>911.14</v>
      </c>
      <c r="AQ372">
        <v>89</v>
      </c>
      <c r="AS372" t="s">
        <v>4113</v>
      </c>
      <c r="AU372" t="s">
        <v>4128</v>
      </c>
      <c r="AW372">
        <v>40</v>
      </c>
      <c r="AY372" t="s">
        <v>4140</v>
      </c>
      <c r="BB372" t="s">
        <v>4154</v>
      </c>
      <c r="BF372" t="s">
        <v>4281</v>
      </c>
      <c r="BM372" t="s">
        <v>4627</v>
      </c>
    </row>
    <row r="373" spans="1:65">
      <c r="A373" s="1">
        <f>HYPERLINK("https://lsnyc.legalserver.org/matter/dynamic-profile/view/1887825","19-1887825")</f>
        <v>0</v>
      </c>
      <c r="B373" t="s">
        <v>75</v>
      </c>
      <c r="C373" t="s">
        <v>93</v>
      </c>
      <c r="D373" t="s">
        <v>208</v>
      </c>
      <c r="F373" t="s">
        <v>692</v>
      </c>
      <c r="G373" t="s">
        <v>1230</v>
      </c>
      <c r="H373" t="s">
        <v>1696</v>
      </c>
      <c r="I373" t="s">
        <v>2023</v>
      </c>
      <c r="J373" t="s">
        <v>2205</v>
      </c>
      <c r="K373">
        <v>11225</v>
      </c>
      <c r="N373" t="s">
        <v>2233</v>
      </c>
      <c r="O373" t="s">
        <v>2491</v>
      </c>
      <c r="Q373" t="s">
        <v>3156</v>
      </c>
      <c r="R373">
        <v>3</v>
      </c>
      <c r="S373">
        <v>0</v>
      </c>
      <c r="T373">
        <v>258.5</v>
      </c>
      <c r="W373">
        <v>53716</v>
      </c>
      <c r="Y373">
        <v>0</v>
      </c>
      <c r="AA373" t="s">
        <v>70</v>
      </c>
      <c r="AC373" t="s">
        <v>3942</v>
      </c>
      <c r="AD373" t="s">
        <v>3982</v>
      </c>
      <c r="AF373" t="s">
        <v>4059</v>
      </c>
      <c r="AH373" t="s">
        <v>4078</v>
      </c>
      <c r="AJ373" t="s">
        <v>3942</v>
      </c>
      <c r="AK373" t="s">
        <v>4084</v>
      </c>
      <c r="AM373" t="s">
        <v>2230</v>
      </c>
      <c r="AO373">
        <v>911.14</v>
      </c>
      <c r="AQ373">
        <v>89</v>
      </c>
      <c r="AS373" t="s">
        <v>4113</v>
      </c>
      <c r="AU373" t="s">
        <v>4128</v>
      </c>
      <c r="AW373">
        <v>40</v>
      </c>
      <c r="AY373" t="s">
        <v>4140</v>
      </c>
      <c r="BB373" t="s">
        <v>4154</v>
      </c>
      <c r="BF373" t="s">
        <v>4281</v>
      </c>
      <c r="BM373" t="s">
        <v>4627</v>
      </c>
    </row>
    <row r="374" spans="1:65">
      <c r="A374" s="1">
        <f>HYPERLINK("https://lsnyc.legalserver.org/matter/dynamic-profile/view/1896798","19-1896798")</f>
        <v>0</v>
      </c>
      <c r="B374" t="s">
        <v>75</v>
      </c>
      <c r="C374" t="s">
        <v>93</v>
      </c>
      <c r="D374" t="s">
        <v>274</v>
      </c>
      <c r="F374" t="s">
        <v>693</v>
      </c>
      <c r="G374" t="s">
        <v>1059</v>
      </c>
      <c r="H374" t="s">
        <v>1663</v>
      </c>
      <c r="I374" t="s">
        <v>1950</v>
      </c>
      <c r="J374" t="s">
        <v>2205</v>
      </c>
      <c r="K374">
        <v>11213</v>
      </c>
      <c r="N374" t="s">
        <v>2233</v>
      </c>
      <c r="O374" t="s">
        <v>2492</v>
      </c>
      <c r="P374" t="s">
        <v>2930</v>
      </c>
      <c r="R374">
        <v>1</v>
      </c>
      <c r="S374">
        <v>1</v>
      </c>
      <c r="T374">
        <v>52.58</v>
      </c>
      <c r="W374">
        <v>8892</v>
      </c>
      <c r="X374" t="s">
        <v>3555</v>
      </c>
      <c r="Y374">
        <v>0.08</v>
      </c>
      <c r="Z374" t="s">
        <v>3838</v>
      </c>
      <c r="AA374" t="s">
        <v>70</v>
      </c>
      <c r="AC374" t="s">
        <v>3942</v>
      </c>
      <c r="AD374" t="s">
        <v>127</v>
      </c>
      <c r="AF374" t="s">
        <v>4059</v>
      </c>
      <c r="AH374" t="s">
        <v>4081</v>
      </c>
      <c r="AJ374" t="s">
        <v>3942</v>
      </c>
      <c r="AL374" t="s">
        <v>4087</v>
      </c>
      <c r="AM374" t="s">
        <v>2230</v>
      </c>
      <c r="AO374">
        <v>855.86</v>
      </c>
      <c r="AQ374">
        <v>6</v>
      </c>
      <c r="AS374" t="s">
        <v>4113</v>
      </c>
      <c r="AU374" t="s">
        <v>4128</v>
      </c>
      <c r="AW374">
        <v>26</v>
      </c>
      <c r="AY374" t="s">
        <v>4140</v>
      </c>
      <c r="BC374" t="s">
        <v>4155</v>
      </c>
      <c r="BE374" t="s">
        <v>4128</v>
      </c>
      <c r="BF374" t="s">
        <v>4281</v>
      </c>
      <c r="BM374" t="s">
        <v>4627</v>
      </c>
    </row>
    <row r="375" spans="1:65">
      <c r="A375" s="1">
        <f>HYPERLINK("https://lsnyc.legalserver.org/matter/dynamic-profile/view/1896778","19-1896778")</f>
        <v>0</v>
      </c>
      <c r="B375" t="s">
        <v>75</v>
      </c>
      <c r="C375" t="s">
        <v>93</v>
      </c>
      <c r="D375" t="s">
        <v>274</v>
      </c>
      <c r="F375" t="s">
        <v>693</v>
      </c>
      <c r="G375" t="s">
        <v>1059</v>
      </c>
      <c r="H375" t="s">
        <v>1663</v>
      </c>
      <c r="I375" t="s">
        <v>1950</v>
      </c>
      <c r="J375" t="s">
        <v>2205</v>
      </c>
      <c r="K375">
        <v>11213</v>
      </c>
      <c r="N375" t="s">
        <v>2233</v>
      </c>
      <c r="O375" t="s">
        <v>2492</v>
      </c>
      <c r="P375" t="s">
        <v>2930</v>
      </c>
      <c r="R375">
        <v>1</v>
      </c>
      <c r="S375">
        <v>1</v>
      </c>
      <c r="T375">
        <v>52.58</v>
      </c>
      <c r="W375">
        <v>8892</v>
      </c>
      <c r="Y375">
        <v>0</v>
      </c>
      <c r="AA375" t="s">
        <v>70</v>
      </c>
      <c r="AC375" t="s">
        <v>3942</v>
      </c>
      <c r="AD375" t="s">
        <v>385</v>
      </c>
      <c r="AF375" t="s">
        <v>4061</v>
      </c>
      <c r="AH375" t="s">
        <v>3510</v>
      </c>
      <c r="AJ375" t="s">
        <v>3942</v>
      </c>
      <c r="AL375" t="s">
        <v>4087</v>
      </c>
      <c r="AM375" t="s">
        <v>2230</v>
      </c>
      <c r="AO375">
        <v>855.86</v>
      </c>
      <c r="AQ375">
        <v>6</v>
      </c>
      <c r="AS375" t="s">
        <v>4113</v>
      </c>
      <c r="AU375" t="s">
        <v>4128</v>
      </c>
      <c r="AW375">
        <v>26</v>
      </c>
      <c r="AY375" t="s">
        <v>4140</v>
      </c>
      <c r="BC375" t="s">
        <v>4155</v>
      </c>
      <c r="BF375" t="s">
        <v>4281</v>
      </c>
      <c r="BG375" t="s">
        <v>4054</v>
      </c>
      <c r="BM375" t="s">
        <v>4627</v>
      </c>
    </row>
    <row r="376" spans="1:65">
      <c r="A376" s="1">
        <f>HYPERLINK("https://lsnyc.legalserver.org/matter/dynamic-profile/view/1896791","19-1896791")</f>
        <v>0</v>
      </c>
      <c r="B376" t="s">
        <v>75</v>
      </c>
      <c r="C376" t="s">
        <v>93</v>
      </c>
      <c r="D376" t="s">
        <v>274</v>
      </c>
      <c r="F376" t="s">
        <v>693</v>
      </c>
      <c r="G376" t="s">
        <v>1059</v>
      </c>
      <c r="H376" t="s">
        <v>1663</v>
      </c>
      <c r="I376" t="s">
        <v>1950</v>
      </c>
      <c r="J376" t="s">
        <v>2205</v>
      </c>
      <c r="K376">
        <v>11213</v>
      </c>
      <c r="N376" t="s">
        <v>2233</v>
      </c>
      <c r="O376" t="s">
        <v>2492</v>
      </c>
      <c r="P376" t="s">
        <v>2930</v>
      </c>
      <c r="R376">
        <v>1</v>
      </c>
      <c r="S376">
        <v>1</v>
      </c>
      <c r="T376">
        <v>52.58</v>
      </c>
      <c r="W376">
        <v>8892</v>
      </c>
      <c r="X376" t="s">
        <v>3555</v>
      </c>
      <c r="Y376">
        <v>0</v>
      </c>
      <c r="AA376" t="s">
        <v>70</v>
      </c>
      <c r="AC376" t="s">
        <v>3942</v>
      </c>
      <c r="AD376" t="s">
        <v>158</v>
      </c>
      <c r="AF376" t="s">
        <v>4061</v>
      </c>
      <c r="AH376" t="s">
        <v>3510</v>
      </c>
      <c r="AJ376" t="s">
        <v>3942</v>
      </c>
      <c r="AL376" t="s">
        <v>4087</v>
      </c>
      <c r="AM376" t="s">
        <v>2230</v>
      </c>
      <c r="AO376">
        <v>855.86</v>
      </c>
      <c r="AQ376">
        <v>6</v>
      </c>
      <c r="AS376" t="s">
        <v>4113</v>
      </c>
      <c r="AU376" t="s">
        <v>4128</v>
      </c>
      <c r="AW376">
        <v>26</v>
      </c>
      <c r="AY376" t="s">
        <v>4140</v>
      </c>
      <c r="BC376" t="s">
        <v>4155</v>
      </c>
      <c r="BF376" t="s">
        <v>4281</v>
      </c>
      <c r="BG376" t="s">
        <v>4054</v>
      </c>
      <c r="BM376" t="s">
        <v>4627</v>
      </c>
    </row>
    <row r="377" spans="1:65">
      <c r="A377" s="1">
        <f>HYPERLINK("https://lsnyc.legalserver.org/matter/dynamic-profile/view/1871573","18-1871573")</f>
        <v>0</v>
      </c>
      <c r="B377" t="s">
        <v>75</v>
      </c>
      <c r="C377" t="s">
        <v>93</v>
      </c>
      <c r="D377" t="s">
        <v>268</v>
      </c>
      <c r="F377" t="s">
        <v>495</v>
      </c>
      <c r="G377" t="s">
        <v>1227</v>
      </c>
      <c r="H377" t="s">
        <v>1700</v>
      </c>
      <c r="I377" t="s">
        <v>1944</v>
      </c>
      <c r="J377" t="s">
        <v>2205</v>
      </c>
      <c r="K377">
        <v>11212</v>
      </c>
      <c r="N377" t="s">
        <v>2233</v>
      </c>
      <c r="O377" t="s">
        <v>2488</v>
      </c>
      <c r="Q377" t="s">
        <v>3153</v>
      </c>
      <c r="R377">
        <v>2</v>
      </c>
      <c r="S377">
        <v>0</v>
      </c>
      <c r="T377">
        <v>212.64</v>
      </c>
      <c r="W377">
        <v>35000</v>
      </c>
      <c r="Y377">
        <v>0</v>
      </c>
      <c r="AA377" t="s">
        <v>3913</v>
      </c>
      <c r="AC377" t="s">
        <v>3942</v>
      </c>
      <c r="AD377" t="s">
        <v>3986</v>
      </c>
      <c r="AF377" t="s">
        <v>4054</v>
      </c>
      <c r="AH377" t="s">
        <v>3510</v>
      </c>
      <c r="AJ377" t="s">
        <v>3942</v>
      </c>
      <c r="AL377" t="s">
        <v>4070</v>
      </c>
      <c r="AM377" t="s">
        <v>2230</v>
      </c>
      <c r="AO377">
        <v>1201</v>
      </c>
      <c r="AQ377">
        <v>32</v>
      </c>
      <c r="AS377" t="s">
        <v>4113</v>
      </c>
      <c r="AT377" t="s">
        <v>4127</v>
      </c>
      <c r="AW377">
        <v>10</v>
      </c>
      <c r="AY377" t="s">
        <v>4140</v>
      </c>
      <c r="BB377" t="s">
        <v>4154</v>
      </c>
      <c r="BF377" t="s">
        <v>4281</v>
      </c>
      <c r="BM377" t="s">
        <v>4627</v>
      </c>
    </row>
    <row r="378" spans="1:65">
      <c r="A378" s="1">
        <f>HYPERLINK("https://lsnyc.legalserver.org/matter/dynamic-profile/view/1903997","19-1903997")</f>
        <v>0</v>
      </c>
      <c r="B378" t="s">
        <v>75</v>
      </c>
      <c r="C378" t="s">
        <v>93</v>
      </c>
      <c r="D378" t="s">
        <v>148</v>
      </c>
      <c r="F378" t="s">
        <v>694</v>
      </c>
      <c r="G378" t="s">
        <v>1187</v>
      </c>
      <c r="H378" t="s">
        <v>1698</v>
      </c>
      <c r="I378" t="s">
        <v>1942</v>
      </c>
      <c r="J378" t="s">
        <v>2205</v>
      </c>
      <c r="K378">
        <v>11213</v>
      </c>
      <c r="N378" t="s">
        <v>2236</v>
      </c>
      <c r="O378" t="s">
        <v>2493</v>
      </c>
      <c r="Q378" t="s">
        <v>3157</v>
      </c>
      <c r="R378">
        <v>3</v>
      </c>
      <c r="S378">
        <v>3</v>
      </c>
      <c r="T378">
        <v>52.62</v>
      </c>
      <c r="W378">
        <v>18200</v>
      </c>
      <c r="Y378">
        <v>0</v>
      </c>
      <c r="AA378" t="s">
        <v>90</v>
      </c>
      <c r="AC378" t="s">
        <v>3942</v>
      </c>
      <c r="AD378" t="s">
        <v>168</v>
      </c>
      <c r="AF378" t="s">
        <v>4061</v>
      </c>
      <c r="AH378" t="s">
        <v>3510</v>
      </c>
      <c r="AJ378" t="s">
        <v>3942</v>
      </c>
      <c r="AL378" t="s">
        <v>4100</v>
      </c>
      <c r="AM378" t="s">
        <v>2230</v>
      </c>
      <c r="AO378">
        <v>951</v>
      </c>
      <c r="AQ378">
        <v>19</v>
      </c>
      <c r="AS378" t="s">
        <v>4113</v>
      </c>
      <c r="AU378" t="s">
        <v>4134</v>
      </c>
      <c r="AW378">
        <v>16</v>
      </c>
      <c r="AY378" t="s">
        <v>4140</v>
      </c>
      <c r="BA378" t="s">
        <v>4149</v>
      </c>
      <c r="BC378" t="s">
        <v>4155</v>
      </c>
      <c r="BE378" t="s">
        <v>4128</v>
      </c>
      <c r="BF378" t="s">
        <v>4281</v>
      </c>
      <c r="BG378" t="s">
        <v>4128</v>
      </c>
      <c r="BM378" t="s">
        <v>4627</v>
      </c>
    </row>
    <row r="379" spans="1:65">
      <c r="A379" s="1">
        <f>HYPERLINK("https://lsnyc.legalserver.org/matter/dynamic-profile/view/1885176","18-1885176")</f>
        <v>0</v>
      </c>
      <c r="B379" t="s">
        <v>75</v>
      </c>
      <c r="C379" t="s">
        <v>93</v>
      </c>
      <c r="D379" t="s">
        <v>273</v>
      </c>
      <c r="F379" t="s">
        <v>694</v>
      </c>
      <c r="G379" t="s">
        <v>1187</v>
      </c>
      <c r="H379" t="s">
        <v>1698</v>
      </c>
      <c r="I379" t="s">
        <v>1942</v>
      </c>
      <c r="J379" t="s">
        <v>2205</v>
      </c>
      <c r="K379">
        <v>11213</v>
      </c>
      <c r="N379" t="s">
        <v>2233</v>
      </c>
      <c r="O379" t="s">
        <v>2493</v>
      </c>
      <c r="Q379" t="s">
        <v>3157</v>
      </c>
      <c r="R379">
        <v>3</v>
      </c>
      <c r="S379">
        <v>3</v>
      </c>
      <c r="T379">
        <v>53.94</v>
      </c>
      <c r="W379">
        <v>18200</v>
      </c>
      <c r="X379" t="s">
        <v>3556</v>
      </c>
      <c r="Y379">
        <v>0</v>
      </c>
      <c r="AA379" t="s">
        <v>90</v>
      </c>
      <c r="AC379" t="s">
        <v>3942</v>
      </c>
      <c r="AD379" t="s">
        <v>3995</v>
      </c>
      <c r="AF379" t="s">
        <v>4059</v>
      </c>
      <c r="AH379" t="s">
        <v>4078</v>
      </c>
      <c r="AJ379" t="s">
        <v>3942</v>
      </c>
      <c r="AL379" t="s">
        <v>4100</v>
      </c>
      <c r="AM379" t="s">
        <v>2230</v>
      </c>
      <c r="AO379">
        <v>951</v>
      </c>
      <c r="AQ379">
        <v>19</v>
      </c>
      <c r="AS379" t="s">
        <v>4113</v>
      </c>
      <c r="AU379" t="s">
        <v>4134</v>
      </c>
      <c r="AW379">
        <v>16</v>
      </c>
      <c r="AY379" t="s">
        <v>4140</v>
      </c>
      <c r="BA379" t="s">
        <v>4149</v>
      </c>
      <c r="BB379" t="s">
        <v>4154</v>
      </c>
      <c r="BE379" t="s">
        <v>4128</v>
      </c>
      <c r="BF379" t="s">
        <v>4281</v>
      </c>
      <c r="BG379" t="s">
        <v>4054</v>
      </c>
      <c r="BM379" t="s">
        <v>4627</v>
      </c>
    </row>
    <row r="380" spans="1:65">
      <c r="A380" s="1">
        <f>HYPERLINK("https://lsnyc.legalserver.org/matter/dynamic-profile/view/1896739","19-1896739")</f>
        <v>0</v>
      </c>
      <c r="B380" t="s">
        <v>75</v>
      </c>
      <c r="C380" t="s">
        <v>93</v>
      </c>
      <c r="D380" t="s">
        <v>274</v>
      </c>
      <c r="F380" t="s">
        <v>602</v>
      </c>
      <c r="G380" t="s">
        <v>1134</v>
      </c>
      <c r="H380" t="s">
        <v>1663</v>
      </c>
      <c r="I380" t="s">
        <v>1945</v>
      </c>
      <c r="J380" t="s">
        <v>2205</v>
      </c>
      <c r="K380">
        <v>11213</v>
      </c>
      <c r="N380" t="s">
        <v>2233</v>
      </c>
      <c r="O380" t="s">
        <v>2379</v>
      </c>
      <c r="Q380" t="s">
        <v>3055</v>
      </c>
      <c r="R380">
        <v>2</v>
      </c>
      <c r="S380">
        <v>0</v>
      </c>
      <c r="T380">
        <v>49.67</v>
      </c>
      <c r="W380">
        <v>8400</v>
      </c>
      <c r="Y380">
        <v>0</v>
      </c>
      <c r="AA380" t="s">
        <v>70</v>
      </c>
      <c r="AC380" t="s">
        <v>3942</v>
      </c>
      <c r="AD380" t="s">
        <v>385</v>
      </c>
      <c r="AF380" t="s">
        <v>4061</v>
      </c>
      <c r="AH380" t="s">
        <v>3510</v>
      </c>
      <c r="AJ380" t="s">
        <v>3942</v>
      </c>
      <c r="AL380" t="s">
        <v>4087</v>
      </c>
      <c r="AM380" t="s">
        <v>2230</v>
      </c>
      <c r="AO380">
        <v>551</v>
      </c>
      <c r="AQ380">
        <v>6</v>
      </c>
      <c r="AS380" t="s">
        <v>4113</v>
      </c>
      <c r="AU380" t="s">
        <v>4128</v>
      </c>
      <c r="AW380">
        <v>15</v>
      </c>
      <c r="AY380" t="s">
        <v>4140</v>
      </c>
      <c r="BC380" t="s">
        <v>4155</v>
      </c>
      <c r="BF380" t="s">
        <v>4281</v>
      </c>
      <c r="BG380" t="s">
        <v>4054</v>
      </c>
      <c r="BM380" t="s">
        <v>4627</v>
      </c>
    </row>
    <row r="381" spans="1:65">
      <c r="A381" s="1">
        <f>HYPERLINK("https://lsnyc.legalserver.org/matter/dynamic-profile/view/1885174","18-1885174")</f>
        <v>0</v>
      </c>
      <c r="B381" t="s">
        <v>75</v>
      </c>
      <c r="C381" t="s">
        <v>93</v>
      </c>
      <c r="D381" t="s">
        <v>273</v>
      </c>
      <c r="F381" t="s">
        <v>694</v>
      </c>
      <c r="G381" t="s">
        <v>1187</v>
      </c>
      <c r="H381" t="s">
        <v>1698</v>
      </c>
      <c r="I381" t="s">
        <v>1942</v>
      </c>
      <c r="J381" t="s">
        <v>2205</v>
      </c>
      <c r="K381">
        <v>11213</v>
      </c>
      <c r="N381" t="s">
        <v>2233</v>
      </c>
      <c r="O381" t="s">
        <v>2493</v>
      </c>
      <c r="Q381" t="s">
        <v>3157</v>
      </c>
      <c r="R381">
        <v>3</v>
      </c>
      <c r="S381">
        <v>3</v>
      </c>
      <c r="T381">
        <v>53.94</v>
      </c>
      <c r="W381">
        <v>18200</v>
      </c>
      <c r="X381" t="s">
        <v>3557</v>
      </c>
      <c r="Y381">
        <v>0</v>
      </c>
      <c r="AA381" t="s">
        <v>90</v>
      </c>
      <c r="AC381" t="s">
        <v>3942</v>
      </c>
      <c r="AD381" t="s">
        <v>3996</v>
      </c>
      <c r="AF381" t="s">
        <v>4058</v>
      </c>
      <c r="AH381" t="s">
        <v>4076</v>
      </c>
      <c r="AJ381" t="s">
        <v>3942</v>
      </c>
      <c r="AL381" t="s">
        <v>4100</v>
      </c>
      <c r="AM381" t="s">
        <v>2230</v>
      </c>
      <c r="AO381">
        <v>951</v>
      </c>
      <c r="AQ381">
        <v>19</v>
      </c>
      <c r="AS381" t="s">
        <v>4113</v>
      </c>
      <c r="AU381" t="s">
        <v>4134</v>
      </c>
      <c r="AW381">
        <v>16</v>
      </c>
      <c r="AY381" t="s">
        <v>4140</v>
      </c>
      <c r="BA381" t="s">
        <v>4149</v>
      </c>
      <c r="BB381" t="s">
        <v>4154</v>
      </c>
      <c r="BE381" t="s">
        <v>4128</v>
      </c>
      <c r="BG381" t="s">
        <v>4425</v>
      </c>
      <c r="BM381" t="s">
        <v>4627</v>
      </c>
    </row>
    <row r="382" spans="1:65">
      <c r="A382" s="1">
        <f>HYPERLINK("https://lsnyc.legalserver.org/matter/dynamic-profile/view/1887817","19-1887817")</f>
        <v>0</v>
      </c>
      <c r="B382" t="s">
        <v>75</v>
      </c>
      <c r="C382" t="s">
        <v>93</v>
      </c>
      <c r="D382" t="s">
        <v>208</v>
      </c>
      <c r="F382" t="s">
        <v>695</v>
      </c>
      <c r="G382" t="s">
        <v>1231</v>
      </c>
      <c r="H382" t="s">
        <v>1696</v>
      </c>
      <c r="I382" t="s">
        <v>2024</v>
      </c>
      <c r="J382" t="s">
        <v>2205</v>
      </c>
      <c r="K382">
        <v>11225</v>
      </c>
      <c r="N382" t="s">
        <v>2233</v>
      </c>
      <c r="O382" t="s">
        <v>2494</v>
      </c>
      <c r="P382" t="s">
        <v>2930</v>
      </c>
      <c r="R382">
        <v>1</v>
      </c>
      <c r="S382">
        <v>0</v>
      </c>
      <c r="T382">
        <v>255.35</v>
      </c>
      <c r="W382">
        <v>31000</v>
      </c>
      <c r="X382" t="s">
        <v>3558</v>
      </c>
      <c r="Y382">
        <v>0</v>
      </c>
      <c r="AA382" t="s">
        <v>70</v>
      </c>
      <c r="AC382" t="s">
        <v>3942</v>
      </c>
      <c r="AD382" t="s">
        <v>3982</v>
      </c>
      <c r="AF382" t="s">
        <v>4059</v>
      </c>
      <c r="AH382" t="s">
        <v>4078</v>
      </c>
      <c r="AJ382" t="s">
        <v>3942</v>
      </c>
      <c r="AK382" t="s">
        <v>4084</v>
      </c>
      <c r="AM382" t="s">
        <v>2230</v>
      </c>
      <c r="AO382">
        <v>1393.19</v>
      </c>
      <c r="AQ382">
        <v>89</v>
      </c>
      <c r="AS382" t="s">
        <v>4113</v>
      </c>
      <c r="AU382" t="s">
        <v>4128</v>
      </c>
      <c r="AW382">
        <v>7</v>
      </c>
      <c r="AY382" t="s">
        <v>4140</v>
      </c>
      <c r="BB382" t="s">
        <v>4154</v>
      </c>
      <c r="BF382" t="s">
        <v>4281</v>
      </c>
      <c r="BM382" t="s">
        <v>4627</v>
      </c>
    </row>
    <row r="383" spans="1:65">
      <c r="A383" s="1">
        <f>HYPERLINK("https://lsnyc.legalserver.org/matter/dynamic-profile/view/1867296","18-1867296")</f>
        <v>0</v>
      </c>
      <c r="B383" t="s">
        <v>75</v>
      </c>
      <c r="C383" t="s">
        <v>93</v>
      </c>
      <c r="D383" t="s">
        <v>271</v>
      </c>
      <c r="F383" t="s">
        <v>696</v>
      </c>
      <c r="G383" t="s">
        <v>1228</v>
      </c>
      <c r="H383" t="s">
        <v>1700</v>
      </c>
      <c r="I383" t="s">
        <v>1934</v>
      </c>
      <c r="J383" t="s">
        <v>2205</v>
      </c>
      <c r="K383">
        <v>11212</v>
      </c>
      <c r="N383" t="s">
        <v>2233</v>
      </c>
      <c r="O383" t="s">
        <v>2489</v>
      </c>
      <c r="Q383" t="s">
        <v>3154</v>
      </c>
      <c r="R383">
        <v>1</v>
      </c>
      <c r="S383">
        <v>1</v>
      </c>
      <c r="T383">
        <v>255.16</v>
      </c>
      <c r="W383">
        <v>42000</v>
      </c>
      <c r="Y383">
        <v>0</v>
      </c>
      <c r="AA383" t="s">
        <v>90</v>
      </c>
      <c r="AC383" t="s">
        <v>3942</v>
      </c>
      <c r="AD383" t="s">
        <v>3947</v>
      </c>
      <c r="AF383" t="s">
        <v>4061</v>
      </c>
      <c r="AH383" t="s">
        <v>4080</v>
      </c>
      <c r="AJ383" t="s">
        <v>3942</v>
      </c>
      <c r="AL383" t="s">
        <v>4070</v>
      </c>
      <c r="AM383" t="s">
        <v>2230</v>
      </c>
      <c r="AO383">
        <v>983.42</v>
      </c>
      <c r="AQ383">
        <v>32</v>
      </c>
      <c r="AS383" t="s">
        <v>4113</v>
      </c>
      <c r="AT383" t="s">
        <v>4127</v>
      </c>
      <c r="AW383">
        <v>11</v>
      </c>
      <c r="AY383" t="s">
        <v>4140</v>
      </c>
      <c r="BB383" t="s">
        <v>4154</v>
      </c>
      <c r="BF383" t="s">
        <v>4281</v>
      </c>
      <c r="BM383" t="s">
        <v>4627</v>
      </c>
    </row>
    <row r="384" spans="1:65">
      <c r="A384" s="1">
        <f>HYPERLINK("https://lsnyc.legalserver.org/matter/dynamic-profile/view/1907774","19-1907774")</f>
        <v>0</v>
      </c>
      <c r="B384" t="s">
        <v>75</v>
      </c>
      <c r="C384" t="s">
        <v>93</v>
      </c>
      <c r="D384" t="s">
        <v>157</v>
      </c>
      <c r="F384" t="s">
        <v>697</v>
      </c>
      <c r="G384" t="s">
        <v>1232</v>
      </c>
      <c r="H384" t="s">
        <v>1605</v>
      </c>
      <c r="I384" t="s">
        <v>2020</v>
      </c>
      <c r="J384" t="s">
        <v>2205</v>
      </c>
      <c r="K384">
        <v>11212</v>
      </c>
      <c r="N384" t="s">
        <v>2233</v>
      </c>
      <c r="O384" t="s">
        <v>2495</v>
      </c>
      <c r="Q384" t="s">
        <v>3158</v>
      </c>
      <c r="R384">
        <v>2</v>
      </c>
      <c r="S384">
        <v>0</v>
      </c>
      <c r="T384">
        <v>4.99</v>
      </c>
      <c r="W384">
        <v>843</v>
      </c>
      <c r="Y384">
        <v>0.08</v>
      </c>
      <c r="Z384" t="s">
        <v>3838</v>
      </c>
      <c r="AA384" t="s">
        <v>70</v>
      </c>
      <c r="AC384" t="s">
        <v>3942</v>
      </c>
      <c r="AD384" t="s">
        <v>3997</v>
      </c>
      <c r="AF384" t="s">
        <v>4061</v>
      </c>
      <c r="AH384" t="s">
        <v>3510</v>
      </c>
      <c r="AJ384" t="s">
        <v>3942</v>
      </c>
      <c r="AL384" t="s">
        <v>4087</v>
      </c>
      <c r="AM384" t="s">
        <v>2230</v>
      </c>
      <c r="AO384">
        <v>1047.01</v>
      </c>
      <c r="AQ384">
        <v>96</v>
      </c>
      <c r="AS384" t="s">
        <v>4113</v>
      </c>
      <c r="AU384" t="s">
        <v>4128</v>
      </c>
      <c r="AW384">
        <v>30</v>
      </c>
      <c r="AY384" t="s">
        <v>4140</v>
      </c>
      <c r="BA384" t="s">
        <v>4149</v>
      </c>
      <c r="BC384" t="s">
        <v>4155</v>
      </c>
      <c r="BF384" t="s">
        <v>4281</v>
      </c>
      <c r="BG384" t="s">
        <v>4128</v>
      </c>
      <c r="BM384" t="s">
        <v>4627</v>
      </c>
    </row>
    <row r="385" spans="1:65">
      <c r="A385" s="1">
        <f>HYPERLINK("https://lsnyc.legalserver.org/matter/dynamic-profile/view/1887835","19-1887835")</f>
        <v>0</v>
      </c>
      <c r="B385" t="s">
        <v>75</v>
      </c>
      <c r="C385" t="s">
        <v>93</v>
      </c>
      <c r="D385" t="s">
        <v>208</v>
      </c>
      <c r="F385" t="s">
        <v>698</v>
      </c>
      <c r="G385" t="s">
        <v>1233</v>
      </c>
      <c r="H385" t="s">
        <v>1696</v>
      </c>
      <c r="I385" t="s">
        <v>2025</v>
      </c>
      <c r="J385" t="s">
        <v>2205</v>
      </c>
      <c r="K385">
        <v>11225</v>
      </c>
      <c r="N385" t="s">
        <v>2233</v>
      </c>
      <c r="O385" t="s">
        <v>2496</v>
      </c>
      <c r="Q385" t="s">
        <v>3159</v>
      </c>
      <c r="R385">
        <v>1</v>
      </c>
      <c r="S385">
        <v>0</v>
      </c>
      <c r="T385">
        <v>247.12</v>
      </c>
      <c r="W385">
        <v>30000</v>
      </c>
      <c r="Y385">
        <v>0</v>
      </c>
      <c r="AA385" t="s">
        <v>70</v>
      </c>
      <c r="AC385" t="s">
        <v>3942</v>
      </c>
      <c r="AD385" t="s">
        <v>3982</v>
      </c>
      <c r="AF385" t="s">
        <v>4059</v>
      </c>
      <c r="AH385" t="s">
        <v>4078</v>
      </c>
      <c r="AJ385" t="s">
        <v>3942</v>
      </c>
      <c r="AL385" t="s">
        <v>4089</v>
      </c>
      <c r="AM385" t="s">
        <v>2230</v>
      </c>
      <c r="AO385">
        <v>1895</v>
      </c>
      <c r="AP385" t="s">
        <v>4108</v>
      </c>
      <c r="AQ385" t="s">
        <v>4110</v>
      </c>
      <c r="AS385" t="s">
        <v>4113</v>
      </c>
      <c r="AU385" t="s">
        <v>4128</v>
      </c>
      <c r="AW385">
        <v>1</v>
      </c>
      <c r="AY385" t="s">
        <v>4140</v>
      </c>
      <c r="BB385" t="s">
        <v>4154</v>
      </c>
      <c r="BF385" t="s">
        <v>4281</v>
      </c>
      <c r="BM385" t="s">
        <v>4627</v>
      </c>
    </row>
    <row r="386" spans="1:65">
      <c r="A386" s="1">
        <f>HYPERLINK("https://lsnyc.legalserver.org/matter/dynamic-profile/view/1887906","19-1887906")</f>
        <v>0</v>
      </c>
      <c r="B386" t="s">
        <v>75</v>
      </c>
      <c r="C386" t="s">
        <v>93</v>
      </c>
      <c r="D386" t="s">
        <v>282</v>
      </c>
      <c r="F386" t="s">
        <v>699</v>
      </c>
      <c r="G386" t="s">
        <v>1234</v>
      </c>
      <c r="H386" t="s">
        <v>1698</v>
      </c>
      <c r="I386" t="s">
        <v>1930</v>
      </c>
      <c r="J386" t="s">
        <v>2205</v>
      </c>
      <c r="K386">
        <v>11213</v>
      </c>
      <c r="N386" t="s">
        <v>2233</v>
      </c>
      <c r="O386" t="s">
        <v>2497</v>
      </c>
      <c r="Q386" t="s">
        <v>3160</v>
      </c>
      <c r="R386">
        <v>2</v>
      </c>
      <c r="S386">
        <v>2</v>
      </c>
      <c r="T386">
        <v>4.06</v>
      </c>
      <c r="W386">
        <v>1020</v>
      </c>
      <c r="Y386">
        <v>0</v>
      </c>
      <c r="AA386" t="s">
        <v>70</v>
      </c>
      <c r="AC386" t="s">
        <v>3942</v>
      </c>
      <c r="AD386" t="s">
        <v>3998</v>
      </c>
      <c r="AF386" t="s">
        <v>4059</v>
      </c>
      <c r="AH386" t="s">
        <v>4078</v>
      </c>
      <c r="AJ386" t="s">
        <v>3942</v>
      </c>
      <c r="AL386" t="s">
        <v>4070</v>
      </c>
      <c r="AM386" t="s">
        <v>2230</v>
      </c>
      <c r="AO386">
        <v>643.51</v>
      </c>
      <c r="AQ386">
        <v>19</v>
      </c>
      <c r="AS386" t="s">
        <v>4113</v>
      </c>
      <c r="AU386" t="s">
        <v>4128</v>
      </c>
      <c r="AW386">
        <v>7</v>
      </c>
      <c r="AY386" t="s">
        <v>4140</v>
      </c>
      <c r="BB386" t="s">
        <v>4154</v>
      </c>
      <c r="BF386" t="s">
        <v>4281</v>
      </c>
      <c r="BM386" t="s">
        <v>4627</v>
      </c>
    </row>
    <row r="387" spans="1:65">
      <c r="A387" s="1">
        <f>HYPERLINK("https://lsnyc.legalserver.org/matter/dynamic-profile/view/1878609","18-1878609")</f>
        <v>0</v>
      </c>
      <c r="B387" t="s">
        <v>75</v>
      </c>
      <c r="C387" t="s">
        <v>93</v>
      </c>
      <c r="D387" t="s">
        <v>278</v>
      </c>
      <c r="F387" t="s">
        <v>502</v>
      </c>
      <c r="G387" t="s">
        <v>1037</v>
      </c>
      <c r="H387" t="s">
        <v>1558</v>
      </c>
      <c r="I387" t="s">
        <v>1934</v>
      </c>
      <c r="J387" t="s">
        <v>2205</v>
      </c>
      <c r="K387">
        <v>11221</v>
      </c>
      <c r="N387" t="s">
        <v>2233</v>
      </c>
      <c r="O387" t="s">
        <v>2267</v>
      </c>
      <c r="Q387" t="s">
        <v>2954</v>
      </c>
      <c r="R387">
        <v>1</v>
      </c>
      <c r="S387">
        <v>1</v>
      </c>
      <c r="T387">
        <v>243.01</v>
      </c>
      <c r="W387">
        <v>40000</v>
      </c>
      <c r="X387" t="s">
        <v>3559</v>
      </c>
      <c r="Y387">
        <v>12.08</v>
      </c>
      <c r="Z387" t="s">
        <v>145</v>
      </c>
      <c r="AA387" t="s">
        <v>90</v>
      </c>
      <c r="AC387" t="s">
        <v>3942</v>
      </c>
      <c r="AD387" t="s">
        <v>3972</v>
      </c>
      <c r="AF387" t="s">
        <v>4058</v>
      </c>
      <c r="AH387" t="s">
        <v>4076</v>
      </c>
      <c r="AJ387" t="s">
        <v>3942</v>
      </c>
      <c r="AL387" t="s">
        <v>4087</v>
      </c>
      <c r="AM387" t="s">
        <v>2230</v>
      </c>
      <c r="AO387">
        <v>880.65</v>
      </c>
      <c r="AQ387">
        <v>12</v>
      </c>
      <c r="AS387" t="s">
        <v>4113</v>
      </c>
      <c r="AU387" t="s">
        <v>4128</v>
      </c>
      <c r="AW387">
        <v>17</v>
      </c>
      <c r="AY387" t="s">
        <v>4140</v>
      </c>
      <c r="BB387" t="s">
        <v>4154</v>
      </c>
      <c r="BG387" t="s">
        <v>4416</v>
      </c>
      <c r="BM387" t="s">
        <v>4627</v>
      </c>
    </row>
    <row r="388" spans="1:65">
      <c r="A388" s="1">
        <f>HYPERLINK("https://lsnyc.legalserver.org/matter/dynamic-profile/view/1878601","18-1878601")</f>
        <v>0</v>
      </c>
      <c r="B388" t="s">
        <v>75</v>
      </c>
      <c r="C388" t="s">
        <v>93</v>
      </c>
      <c r="D388" t="s">
        <v>278</v>
      </c>
      <c r="F388" t="s">
        <v>502</v>
      </c>
      <c r="G388" t="s">
        <v>1037</v>
      </c>
      <c r="H388" t="s">
        <v>1558</v>
      </c>
      <c r="I388" t="s">
        <v>1934</v>
      </c>
      <c r="J388" t="s">
        <v>2205</v>
      </c>
      <c r="K388">
        <v>11221</v>
      </c>
      <c r="N388" t="s">
        <v>2233</v>
      </c>
      <c r="O388" t="s">
        <v>2267</v>
      </c>
      <c r="Q388" t="s">
        <v>2954</v>
      </c>
      <c r="R388">
        <v>1</v>
      </c>
      <c r="S388">
        <v>1</v>
      </c>
      <c r="T388">
        <v>243.01</v>
      </c>
      <c r="W388">
        <v>40000</v>
      </c>
      <c r="X388" t="s">
        <v>3559</v>
      </c>
      <c r="Y388">
        <v>6.5</v>
      </c>
      <c r="Z388" t="s">
        <v>210</v>
      </c>
      <c r="AA388" t="s">
        <v>90</v>
      </c>
      <c r="AC388" t="s">
        <v>3942</v>
      </c>
      <c r="AD388" t="s">
        <v>3973</v>
      </c>
      <c r="AF388" t="s">
        <v>4059</v>
      </c>
      <c r="AH388" t="s">
        <v>4078</v>
      </c>
      <c r="AJ388" t="s">
        <v>3942</v>
      </c>
      <c r="AL388" t="s">
        <v>4087</v>
      </c>
      <c r="AM388" t="s">
        <v>2230</v>
      </c>
      <c r="AO388">
        <v>880.65</v>
      </c>
      <c r="AQ388">
        <v>12</v>
      </c>
      <c r="AS388" t="s">
        <v>4113</v>
      </c>
      <c r="AU388" t="s">
        <v>4128</v>
      </c>
      <c r="AW388">
        <v>17</v>
      </c>
      <c r="AY388" t="s">
        <v>4140</v>
      </c>
      <c r="BB388" t="s">
        <v>4154</v>
      </c>
      <c r="BF388" t="s">
        <v>4281</v>
      </c>
      <c r="BM388" t="s">
        <v>4627</v>
      </c>
    </row>
    <row r="389" spans="1:65">
      <c r="A389" s="1">
        <f>HYPERLINK("https://lsnyc.legalserver.org/matter/dynamic-profile/view/1885163","18-1885163")</f>
        <v>0</v>
      </c>
      <c r="B389" t="s">
        <v>75</v>
      </c>
      <c r="C389" t="s">
        <v>93</v>
      </c>
      <c r="D389" t="s">
        <v>273</v>
      </c>
      <c r="F389" t="s">
        <v>700</v>
      </c>
      <c r="G389" t="s">
        <v>1235</v>
      </c>
      <c r="H389" t="s">
        <v>1698</v>
      </c>
      <c r="I389" t="s">
        <v>1939</v>
      </c>
      <c r="J389" t="s">
        <v>2205</v>
      </c>
      <c r="K389">
        <v>11213</v>
      </c>
      <c r="N389" t="s">
        <v>2233</v>
      </c>
      <c r="O389" t="s">
        <v>2498</v>
      </c>
      <c r="Q389" t="s">
        <v>3161</v>
      </c>
      <c r="R389">
        <v>1</v>
      </c>
      <c r="S389">
        <v>0</v>
      </c>
      <c r="T389">
        <v>59.31</v>
      </c>
      <c r="W389">
        <v>7200</v>
      </c>
      <c r="X389" t="s">
        <v>3560</v>
      </c>
      <c r="Y389">
        <v>0</v>
      </c>
      <c r="AA389" t="s">
        <v>90</v>
      </c>
      <c r="AC389" t="s">
        <v>3942</v>
      </c>
      <c r="AD389" t="s">
        <v>3999</v>
      </c>
      <c r="AF389" t="s">
        <v>4059</v>
      </c>
      <c r="AH389" t="s">
        <v>4078</v>
      </c>
      <c r="AJ389" t="s">
        <v>3942</v>
      </c>
      <c r="AL389" t="s">
        <v>4100</v>
      </c>
      <c r="AM389" t="s">
        <v>2230</v>
      </c>
      <c r="AO389">
        <v>1229.5</v>
      </c>
      <c r="AQ389">
        <v>19</v>
      </c>
      <c r="AS389" t="s">
        <v>4113</v>
      </c>
      <c r="AU389" t="s">
        <v>4129</v>
      </c>
      <c r="AW389">
        <v>25</v>
      </c>
      <c r="AY389" t="s">
        <v>4140</v>
      </c>
      <c r="BA389" t="s">
        <v>4149</v>
      </c>
      <c r="BB389" t="s">
        <v>4154</v>
      </c>
      <c r="BE389" t="s">
        <v>4128</v>
      </c>
      <c r="BF389" t="s">
        <v>4281</v>
      </c>
      <c r="BG389" t="s">
        <v>4054</v>
      </c>
      <c r="BM389" t="s">
        <v>4627</v>
      </c>
    </row>
    <row r="390" spans="1:65">
      <c r="A390" s="1">
        <f>HYPERLINK("https://lsnyc.legalserver.org/matter/dynamic-profile/view/1885151","18-1885151")</f>
        <v>0</v>
      </c>
      <c r="B390" t="s">
        <v>75</v>
      </c>
      <c r="C390" t="s">
        <v>93</v>
      </c>
      <c r="D390" t="s">
        <v>273</v>
      </c>
      <c r="F390" t="s">
        <v>700</v>
      </c>
      <c r="G390" t="s">
        <v>1235</v>
      </c>
      <c r="H390" t="s">
        <v>1698</v>
      </c>
      <c r="I390" t="s">
        <v>1939</v>
      </c>
      <c r="J390" t="s">
        <v>2205</v>
      </c>
      <c r="K390">
        <v>11213</v>
      </c>
      <c r="N390" t="s">
        <v>2233</v>
      </c>
      <c r="O390" t="s">
        <v>2498</v>
      </c>
      <c r="Q390" t="s">
        <v>3161</v>
      </c>
      <c r="R390">
        <v>1</v>
      </c>
      <c r="S390">
        <v>0</v>
      </c>
      <c r="T390">
        <v>59.31</v>
      </c>
      <c r="W390">
        <v>7200</v>
      </c>
      <c r="X390" t="s">
        <v>3561</v>
      </c>
      <c r="Y390">
        <v>0</v>
      </c>
      <c r="AA390" t="s">
        <v>90</v>
      </c>
      <c r="AC390" t="s">
        <v>3942</v>
      </c>
      <c r="AD390" t="s">
        <v>3981</v>
      </c>
      <c r="AF390" t="s">
        <v>4058</v>
      </c>
      <c r="AH390" t="s">
        <v>4076</v>
      </c>
      <c r="AJ390" t="s">
        <v>3942</v>
      </c>
      <c r="AL390" t="s">
        <v>4100</v>
      </c>
      <c r="AM390" t="s">
        <v>2230</v>
      </c>
      <c r="AO390">
        <v>1229.5</v>
      </c>
      <c r="AQ390">
        <v>19</v>
      </c>
      <c r="AS390" t="s">
        <v>4113</v>
      </c>
      <c r="AU390" t="s">
        <v>4129</v>
      </c>
      <c r="AW390">
        <v>25</v>
      </c>
      <c r="AY390" t="s">
        <v>4140</v>
      </c>
      <c r="BA390" t="s">
        <v>4149</v>
      </c>
      <c r="BB390" t="s">
        <v>4154</v>
      </c>
      <c r="BE390" t="s">
        <v>4162</v>
      </c>
      <c r="BF390" t="s">
        <v>4281</v>
      </c>
      <c r="BM390" t="s">
        <v>4627</v>
      </c>
    </row>
    <row r="391" spans="1:65">
      <c r="A391" s="1">
        <f>HYPERLINK("https://lsnyc.legalserver.org/matter/dynamic-profile/view/1876080","18-1876080")</f>
        <v>0</v>
      </c>
      <c r="B391" t="s">
        <v>75</v>
      </c>
      <c r="C391" t="s">
        <v>93</v>
      </c>
      <c r="D391" t="s">
        <v>283</v>
      </c>
      <c r="F391" t="s">
        <v>560</v>
      </c>
      <c r="G391" t="s">
        <v>1236</v>
      </c>
      <c r="H391" t="s">
        <v>1698</v>
      </c>
      <c r="I391" t="s">
        <v>1948</v>
      </c>
      <c r="J391" t="s">
        <v>2205</v>
      </c>
      <c r="K391">
        <v>11213</v>
      </c>
      <c r="N391" t="s">
        <v>2233</v>
      </c>
      <c r="O391" t="s">
        <v>2499</v>
      </c>
      <c r="Q391" t="s">
        <v>3162</v>
      </c>
      <c r="R391">
        <v>2</v>
      </c>
      <c r="S391">
        <v>1</v>
      </c>
      <c r="T391">
        <v>240.62</v>
      </c>
      <c r="U391" t="s">
        <v>249</v>
      </c>
      <c r="V391" t="s">
        <v>3458</v>
      </c>
      <c r="W391">
        <v>50000</v>
      </c>
      <c r="Y391">
        <v>0</v>
      </c>
      <c r="AA391" t="s">
        <v>92</v>
      </c>
      <c r="AC391" t="s">
        <v>3942</v>
      </c>
      <c r="AD391" t="s">
        <v>126</v>
      </c>
      <c r="AF391" t="s">
        <v>4058</v>
      </c>
      <c r="AH391" t="s">
        <v>4076</v>
      </c>
      <c r="AJ391" t="s">
        <v>3942</v>
      </c>
      <c r="AL391" t="s">
        <v>4100</v>
      </c>
      <c r="AM391" t="s">
        <v>2230</v>
      </c>
      <c r="AO391">
        <v>693</v>
      </c>
      <c r="AQ391">
        <v>19</v>
      </c>
      <c r="AS391" t="s">
        <v>4113</v>
      </c>
      <c r="AU391" t="s">
        <v>4128</v>
      </c>
      <c r="AW391">
        <v>20</v>
      </c>
      <c r="AY391" t="s">
        <v>4140</v>
      </c>
      <c r="BB391" t="s">
        <v>4154</v>
      </c>
      <c r="BG391" t="s">
        <v>4425</v>
      </c>
      <c r="BM391" t="s">
        <v>4627</v>
      </c>
    </row>
    <row r="392" spans="1:65">
      <c r="A392" s="1">
        <f>HYPERLINK("https://lsnyc.legalserver.org/matter/dynamic-profile/view/1887831","19-1887831")</f>
        <v>0</v>
      </c>
      <c r="B392" t="s">
        <v>75</v>
      </c>
      <c r="C392" t="s">
        <v>93</v>
      </c>
      <c r="D392" t="s">
        <v>208</v>
      </c>
      <c r="F392" t="s">
        <v>701</v>
      </c>
      <c r="G392" t="s">
        <v>1237</v>
      </c>
      <c r="H392" t="s">
        <v>1696</v>
      </c>
      <c r="I392" t="s">
        <v>2026</v>
      </c>
      <c r="J392" t="s">
        <v>2205</v>
      </c>
      <c r="K392">
        <v>11225</v>
      </c>
      <c r="N392" t="s">
        <v>2233</v>
      </c>
      <c r="O392" t="s">
        <v>2500</v>
      </c>
      <c r="Q392" t="s">
        <v>3163</v>
      </c>
      <c r="R392">
        <v>2</v>
      </c>
      <c r="S392">
        <v>0</v>
      </c>
      <c r="T392">
        <v>60.66</v>
      </c>
      <c r="W392">
        <v>9984</v>
      </c>
      <c r="Y392">
        <v>12.7</v>
      </c>
      <c r="Z392" t="s">
        <v>111</v>
      </c>
      <c r="AA392" t="s">
        <v>70</v>
      </c>
      <c r="AC392" t="s">
        <v>3942</v>
      </c>
      <c r="AD392" t="s">
        <v>3984</v>
      </c>
      <c r="AF392" t="s">
        <v>4059</v>
      </c>
      <c r="AH392" t="s">
        <v>4078</v>
      </c>
      <c r="AJ392" t="s">
        <v>3942</v>
      </c>
      <c r="AL392" t="s">
        <v>4087</v>
      </c>
      <c r="AM392" t="s">
        <v>2230</v>
      </c>
      <c r="AO392">
        <v>795.52</v>
      </c>
      <c r="AQ392">
        <v>89</v>
      </c>
      <c r="AS392" t="s">
        <v>4113</v>
      </c>
      <c r="AU392" t="s">
        <v>4129</v>
      </c>
      <c r="AW392">
        <v>35</v>
      </c>
      <c r="AY392" t="s">
        <v>4140</v>
      </c>
      <c r="BB392" t="s">
        <v>4154</v>
      </c>
      <c r="BG392" t="s">
        <v>4420</v>
      </c>
      <c r="BM392" t="s">
        <v>4627</v>
      </c>
    </row>
    <row r="393" spans="1:65">
      <c r="A393" s="1">
        <f>HYPERLINK("https://lsnyc.legalserver.org/matter/dynamic-profile/view/1875921","18-1875921")</f>
        <v>0</v>
      </c>
      <c r="B393" t="s">
        <v>75</v>
      </c>
      <c r="C393" t="s">
        <v>93</v>
      </c>
      <c r="D393" t="s">
        <v>284</v>
      </c>
      <c r="F393" t="s">
        <v>701</v>
      </c>
      <c r="G393" t="s">
        <v>1237</v>
      </c>
      <c r="H393" t="s">
        <v>1696</v>
      </c>
      <c r="I393" t="s">
        <v>2026</v>
      </c>
      <c r="J393" t="s">
        <v>2205</v>
      </c>
      <c r="K393">
        <v>11225</v>
      </c>
      <c r="N393" t="s">
        <v>2233</v>
      </c>
      <c r="O393" t="s">
        <v>2500</v>
      </c>
      <c r="Q393" t="s">
        <v>3163</v>
      </c>
      <c r="R393">
        <v>2</v>
      </c>
      <c r="S393">
        <v>0</v>
      </c>
      <c r="T393">
        <v>60.66</v>
      </c>
      <c r="W393">
        <v>9984</v>
      </c>
      <c r="X393" t="s">
        <v>3473</v>
      </c>
      <c r="Y393">
        <v>0</v>
      </c>
      <c r="AA393" t="s">
        <v>90</v>
      </c>
      <c r="AC393" t="s">
        <v>3942</v>
      </c>
      <c r="AF393" t="s">
        <v>4054</v>
      </c>
      <c r="AH393" t="s">
        <v>3510</v>
      </c>
      <c r="AJ393" t="s">
        <v>3943</v>
      </c>
      <c r="AL393" t="s">
        <v>4087</v>
      </c>
      <c r="AM393" t="s">
        <v>2230</v>
      </c>
      <c r="AO393">
        <v>795.52</v>
      </c>
      <c r="AQ393">
        <v>89</v>
      </c>
      <c r="AS393" t="s">
        <v>4113</v>
      </c>
      <c r="AU393" t="s">
        <v>4129</v>
      </c>
      <c r="AW393">
        <v>35</v>
      </c>
      <c r="AY393" t="s">
        <v>4140</v>
      </c>
      <c r="AZ393" t="s">
        <v>4148</v>
      </c>
      <c r="BB393" t="s">
        <v>4154</v>
      </c>
      <c r="BF393" t="s">
        <v>4281</v>
      </c>
      <c r="BG393" t="s">
        <v>4054</v>
      </c>
      <c r="BM393" t="s">
        <v>4627</v>
      </c>
    </row>
    <row r="394" spans="1:65">
      <c r="A394" s="1">
        <f>HYPERLINK("https://lsnyc.legalserver.org/matter/dynamic-profile/view/1867088","18-1867088")</f>
        <v>0</v>
      </c>
      <c r="B394" t="s">
        <v>75</v>
      </c>
      <c r="C394" t="s">
        <v>93</v>
      </c>
      <c r="D394" t="s">
        <v>267</v>
      </c>
      <c r="F394" t="s">
        <v>687</v>
      </c>
      <c r="G394" t="s">
        <v>1223</v>
      </c>
      <c r="H394" t="s">
        <v>1700</v>
      </c>
      <c r="I394" t="s">
        <v>1959</v>
      </c>
      <c r="J394" t="s">
        <v>2205</v>
      </c>
      <c r="K394">
        <v>11212</v>
      </c>
      <c r="N394" t="s">
        <v>2233</v>
      </c>
      <c r="O394" t="s">
        <v>2485</v>
      </c>
      <c r="Q394" t="s">
        <v>3151</v>
      </c>
      <c r="R394">
        <v>2</v>
      </c>
      <c r="S394">
        <v>0</v>
      </c>
      <c r="T394">
        <v>60.73</v>
      </c>
      <c r="W394">
        <v>9996</v>
      </c>
      <c r="Y394">
        <v>0</v>
      </c>
      <c r="AA394" t="s">
        <v>90</v>
      </c>
      <c r="AC394" t="s">
        <v>3942</v>
      </c>
      <c r="AD394" t="s">
        <v>3947</v>
      </c>
      <c r="AF394" t="s">
        <v>4059</v>
      </c>
      <c r="AH394" t="s">
        <v>4078</v>
      </c>
      <c r="AJ394" t="s">
        <v>3942</v>
      </c>
      <c r="AL394" t="s">
        <v>4070</v>
      </c>
      <c r="AM394" t="s">
        <v>2230</v>
      </c>
      <c r="AO394">
        <v>840</v>
      </c>
      <c r="AQ394">
        <v>32</v>
      </c>
      <c r="AS394" t="s">
        <v>4113</v>
      </c>
      <c r="AT394" t="s">
        <v>4127</v>
      </c>
      <c r="AW394">
        <v>19</v>
      </c>
      <c r="AY394" t="s">
        <v>4140</v>
      </c>
      <c r="BB394" t="s">
        <v>4154</v>
      </c>
      <c r="BF394" t="s">
        <v>4281</v>
      </c>
      <c r="BM394" t="s">
        <v>4627</v>
      </c>
    </row>
    <row r="395" spans="1:65">
      <c r="A395" s="1">
        <f>HYPERLINK("https://lsnyc.legalserver.org/matter/dynamic-profile/view/1851832","17-1851832")</f>
        <v>0</v>
      </c>
      <c r="B395" t="s">
        <v>75</v>
      </c>
      <c r="C395" t="s">
        <v>93</v>
      </c>
      <c r="D395" t="s">
        <v>285</v>
      </c>
      <c r="F395" t="s">
        <v>666</v>
      </c>
      <c r="G395" t="s">
        <v>1238</v>
      </c>
      <c r="H395" t="s">
        <v>1695</v>
      </c>
      <c r="I395" t="s">
        <v>1951</v>
      </c>
      <c r="J395" t="s">
        <v>2205</v>
      </c>
      <c r="K395">
        <v>11206</v>
      </c>
      <c r="N395" t="s">
        <v>2233</v>
      </c>
      <c r="O395" t="s">
        <v>2501</v>
      </c>
      <c r="Q395" t="s">
        <v>3164</v>
      </c>
      <c r="R395">
        <v>2</v>
      </c>
      <c r="S395">
        <v>0</v>
      </c>
      <c r="T395">
        <v>54.16</v>
      </c>
      <c r="W395">
        <v>8796</v>
      </c>
      <c r="Y395">
        <v>0</v>
      </c>
      <c r="AA395" t="s">
        <v>3897</v>
      </c>
      <c r="AC395" t="s">
        <v>3942</v>
      </c>
      <c r="AD395" t="s">
        <v>3983</v>
      </c>
      <c r="AF395" t="s">
        <v>4061</v>
      </c>
      <c r="AH395" t="s">
        <v>3510</v>
      </c>
      <c r="AJ395" t="s">
        <v>3942</v>
      </c>
      <c r="AK395" t="s">
        <v>4084</v>
      </c>
      <c r="AM395" t="s">
        <v>2230</v>
      </c>
      <c r="AO395">
        <v>1119</v>
      </c>
      <c r="AQ395">
        <v>25</v>
      </c>
      <c r="AS395" t="s">
        <v>4113</v>
      </c>
      <c r="AU395" t="s">
        <v>4135</v>
      </c>
      <c r="AW395">
        <v>-1</v>
      </c>
      <c r="AY395" t="s">
        <v>4140</v>
      </c>
      <c r="BB395" t="s">
        <v>4154</v>
      </c>
      <c r="BF395" t="s">
        <v>4281</v>
      </c>
      <c r="BM395" t="s">
        <v>4627</v>
      </c>
    </row>
    <row r="396" spans="1:65">
      <c r="A396" s="1">
        <f>HYPERLINK("https://lsnyc.legalserver.org/matter/dynamic-profile/view/1896749","19-1896749")</f>
        <v>0</v>
      </c>
      <c r="B396" t="s">
        <v>75</v>
      </c>
      <c r="C396" t="s">
        <v>93</v>
      </c>
      <c r="D396" t="s">
        <v>274</v>
      </c>
      <c r="F396" t="s">
        <v>602</v>
      </c>
      <c r="G396" t="s">
        <v>1134</v>
      </c>
      <c r="H396" t="s">
        <v>1663</v>
      </c>
      <c r="I396" t="s">
        <v>1945</v>
      </c>
      <c r="J396" t="s">
        <v>2205</v>
      </c>
      <c r="K396">
        <v>11213</v>
      </c>
      <c r="N396" t="s">
        <v>2233</v>
      </c>
      <c r="O396" t="s">
        <v>2379</v>
      </c>
      <c r="Q396" t="s">
        <v>3055</v>
      </c>
      <c r="R396">
        <v>2</v>
      </c>
      <c r="S396">
        <v>0</v>
      </c>
      <c r="T396">
        <v>49.67</v>
      </c>
      <c r="W396">
        <v>8400</v>
      </c>
      <c r="X396" t="s">
        <v>3562</v>
      </c>
      <c r="Y396">
        <v>2</v>
      </c>
      <c r="Z396" t="s">
        <v>246</v>
      </c>
      <c r="AA396" t="s">
        <v>70</v>
      </c>
      <c r="AC396" t="s">
        <v>3942</v>
      </c>
      <c r="AD396" t="s">
        <v>3971</v>
      </c>
      <c r="AF396" t="s">
        <v>4059</v>
      </c>
      <c r="AH396" t="s">
        <v>4078</v>
      </c>
      <c r="AJ396" t="s">
        <v>3942</v>
      </c>
      <c r="AL396" t="s">
        <v>4087</v>
      </c>
      <c r="AM396" t="s">
        <v>2230</v>
      </c>
      <c r="AO396">
        <v>551</v>
      </c>
      <c r="AQ396">
        <v>6</v>
      </c>
      <c r="AS396" t="s">
        <v>4113</v>
      </c>
      <c r="AU396" t="s">
        <v>4128</v>
      </c>
      <c r="AW396">
        <v>15</v>
      </c>
      <c r="AY396" t="s">
        <v>4140</v>
      </c>
      <c r="BC396" t="s">
        <v>4155</v>
      </c>
      <c r="BF396" t="s">
        <v>4281</v>
      </c>
      <c r="BG396" t="s">
        <v>4128</v>
      </c>
      <c r="BM396" t="s">
        <v>4627</v>
      </c>
    </row>
    <row r="397" spans="1:65">
      <c r="A397" s="1">
        <f>HYPERLINK("https://lsnyc.legalserver.org/matter/dynamic-profile/view/1896744","19-1896744")</f>
        <v>0</v>
      </c>
      <c r="B397" t="s">
        <v>75</v>
      </c>
      <c r="C397" t="s">
        <v>93</v>
      </c>
      <c r="D397" t="s">
        <v>274</v>
      </c>
      <c r="F397" t="s">
        <v>602</v>
      </c>
      <c r="G397" t="s">
        <v>1134</v>
      </c>
      <c r="H397" t="s">
        <v>1663</v>
      </c>
      <c r="I397" t="s">
        <v>1945</v>
      </c>
      <c r="J397" t="s">
        <v>2205</v>
      </c>
      <c r="K397">
        <v>11213</v>
      </c>
      <c r="N397" t="s">
        <v>2233</v>
      </c>
      <c r="O397" t="s">
        <v>2379</v>
      </c>
      <c r="Q397" t="s">
        <v>3055</v>
      </c>
      <c r="R397">
        <v>2</v>
      </c>
      <c r="S397">
        <v>0</v>
      </c>
      <c r="T397">
        <v>49.67</v>
      </c>
      <c r="W397">
        <v>8400</v>
      </c>
      <c r="X397" t="s">
        <v>3553</v>
      </c>
      <c r="Y397">
        <v>2</v>
      </c>
      <c r="Z397" t="s">
        <v>138</v>
      </c>
      <c r="AA397" t="s">
        <v>70</v>
      </c>
      <c r="AC397" t="s">
        <v>3942</v>
      </c>
      <c r="AD397" t="s">
        <v>446</v>
      </c>
      <c r="AF397" t="s">
        <v>4059</v>
      </c>
      <c r="AH397" t="s">
        <v>4078</v>
      </c>
      <c r="AJ397" t="s">
        <v>3942</v>
      </c>
      <c r="AL397" t="s">
        <v>4087</v>
      </c>
      <c r="AM397" t="s">
        <v>2230</v>
      </c>
      <c r="AO397">
        <v>551</v>
      </c>
      <c r="AQ397">
        <v>6</v>
      </c>
      <c r="AS397" t="s">
        <v>4113</v>
      </c>
      <c r="AU397" t="s">
        <v>4128</v>
      </c>
      <c r="AW397">
        <v>15</v>
      </c>
      <c r="AY397" t="s">
        <v>4140</v>
      </c>
      <c r="BC397" t="s">
        <v>4155</v>
      </c>
      <c r="BF397" t="s">
        <v>4281</v>
      </c>
      <c r="BG397" t="s">
        <v>4429</v>
      </c>
      <c r="BM397" t="s">
        <v>4627</v>
      </c>
    </row>
    <row r="398" spans="1:65">
      <c r="A398" s="1">
        <f>HYPERLINK("https://lsnyc.legalserver.org/matter/dynamic-profile/view/1907792","19-1907792")</f>
        <v>0</v>
      </c>
      <c r="B398" t="s">
        <v>75</v>
      </c>
      <c r="C398" t="s">
        <v>93</v>
      </c>
      <c r="D398" t="s">
        <v>157</v>
      </c>
      <c r="F398" t="s">
        <v>702</v>
      </c>
      <c r="G398" t="s">
        <v>1239</v>
      </c>
      <c r="H398" t="s">
        <v>1605</v>
      </c>
      <c r="I398" t="s">
        <v>2018</v>
      </c>
      <c r="J398" t="s">
        <v>2205</v>
      </c>
      <c r="K398">
        <v>11212</v>
      </c>
      <c r="N398" t="s">
        <v>2233</v>
      </c>
      <c r="O398" t="s">
        <v>2502</v>
      </c>
      <c r="Q398" t="s">
        <v>3165</v>
      </c>
      <c r="R398">
        <v>1</v>
      </c>
      <c r="S398">
        <v>0</v>
      </c>
      <c r="T398">
        <v>264.21</v>
      </c>
      <c r="W398">
        <v>33000</v>
      </c>
      <c r="Y398">
        <v>0.75</v>
      </c>
      <c r="Z398" t="s">
        <v>3838</v>
      </c>
      <c r="AA398" t="s">
        <v>70</v>
      </c>
      <c r="AC398" t="s">
        <v>3942</v>
      </c>
      <c r="AD398" t="s">
        <v>237</v>
      </c>
      <c r="AF398" t="s">
        <v>4061</v>
      </c>
      <c r="AH398" t="s">
        <v>3510</v>
      </c>
      <c r="AJ398" t="s">
        <v>3942</v>
      </c>
      <c r="AL398" t="s">
        <v>4087</v>
      </c>
      <c r="AM398" t="s">
        <v>2230</v>
      </c>
      <c r="AO398">
        <v>250</v>
      </c>
      <c r="AQ398">
        <v>96</v>
      </c>
      <c r="AS398" t="s">
        <v>4113</v>
      </c>
      <c r="AU398" t="s">
        <v>4070</v>
      </c>
      <c r="AW398">
        <v>2</v>
      </c>
      <c r="AY398" t="s">
        <v>4140</v>
      </c>
      <c r="BA398" t="s">
        <v>4149</v>
      </c>
      <c r="BC398" t="s">
        <v>4155</v>
      </c>
      <c r="BF398" t="s">
        <v>4281</v>
      </c>
      <c r="BG398" t="s">
        <v>4128</v>
      </c>
      <c r="BM398" t="s">
        <v>4627</v>
      </c>
    </row>
    <row r="399" spans="1:65">
      <c r="A399" s="1">
        <f>HYPERLINK("https://lsnyc.legalserver.org/matter/dynamic-profile/view/1871632","18-1871632")</f>
        <v>0</v>
      </c>
      <c r="B399" t="s">
        <v>75</v>
      </c>
      <c r="C399" t="s">
        <v>93</v>
      </c>
      <c r="D399" t="s">
        <v>261</v>
      </c>
      <c r="F399" t="s">
        <v>676</v>
      </c>
      <c r="G399" t="s">
        <v>1212</v>
      </c>
      <c r="H399" t="s">
        <v>1700</v>
      </c>
      <c r="I399" t="s">
        <v>2016</v>
      </c>
      <c r="J399" t="s">
        <v>2205</v>
      </c>
      <c r="K399">
        <v>11212</v>
      </c>
      <c r="N399" t="s">
        <v>2233</v>
      </c>
      <c r="O399" t="s">
        <v>2469</v>
      </c>
      <c r="Q399" t="s">
        <v>3136</v>
      </c>
      <c r="R399">
        <v>2</v>
      </c>
      <c r="S399">
        <v>0</v>
      </c>
      <c r="T399">
        <v>21.87</v>
      </c>
      <c r="W399">
        <v>3600</v>
      </c>
      <c r="Y399">
        <v>0</v>
      </c>
      <c r="AA399" t="s">
        <v>3913</v>
      </c>
      <c r="AC399" t="s">
        <v>3942</v>
      </c>
      <c r="AD399" t="s">
        <v>3986</v>
      </c>
      <c r="AF399" t="s">
        <v>4054</v>
      </c>
      <c r="AH399" t="s">
        <v>3510</v>
      </c>
      <c r="AJ399" t="s">
        <v>3942</v>
      </c>
      <c r="AL399" t="s">
        <v>4070</v>
      </c>
      <c r="AM399" t="s">
        <v>2230</v>
      </c>
      <c r="AO399">
        <v>1135</v>
      </c>
      <c r="AQ399">
        <v>32</v>
      </c>
      <c r="AS399" t="s">
        <v>4113</v>
      </c>
      <c r="AU399" t="s">
        <v>4128</v>
      </c>
      <c r="AW399">
        <v>20</v>
      </c>
      <c r="AY399" t="s">
        <v>4140</v>
      </c>
      <c r="BB399" t="s">
        <v>4154</v>
      </c>
      <c r="BF399" t="s">
        <v>4281</v>
      </c>
      <c r="BM399" t="s">
        <v>4627</v>
      </c>
    </row>
    <row r="400" spans="1:65">
      <c r="A400" s="1">
        <f>HYPERLINK("https://lsnyc.legalserver.org/matter/dynamic-profile/view/1905081","19-1905081")</f>
        <v>0</v>
      </c>
      <c r="B400" t="s">
        <v>75</v>
      </c>
      <c r="C400" t="s">
        <v>93</v>
      </c>
      <c r="D400" t="s">
        <v>252</v>
      </c>
      <c r="F400" t="s">
        <v>703</v>
      </c>
      <c r="G400" t="s">
        <v>1240</v>
      </c>
      <c r="H400" t="s">
        <v>1563</v>
      </c>
      <c r="I400" t="s">
        <v>1921</v>
      </c>
      <c r="J400" t="s">
        <v>2205</v>
      </c>
      <c r="K400">
        <v>11221</v>
      </c>
      <c r="N400" t="s">
        <v>2236</v>
      </c>
      <c r="O400" t="s">
        <v>2503</v>
      </c>
      <c r="P400" t="s">
        <v>2930</v>
      </c>
      <c r="R400">
        <v>2</v>
      </c>
      <c r="S400">
        <v>2</v>
      </c>
      <c r="T400">
        <v>427.18</v>
      </c>
      <c r="W400">
        <v>110000</v>
      </c>
      <c r="X400" t="s">
        <v>3563</v>
      </c>
      <c r="Y400">
        <v>0</v>
      </c>
      <c r="AA400" t="s">
        <v>90</v>
      </c>
      <c r="AC400" t="s">
        <v>3942</v>
      </c>
      <c r="AD400" t="s">
        <v>168</v>
      </c>
      <c r="AF400" t="s">
        <v>4061</v>
      </c>
      <c r="AH400" t="s">
        <v>3510</v>
      </c>
      <c r="AJ400" t="s">
        <v>3942</v>
      </c>
      <c r="AL400" t="s">
        <v>4087</v>
      </c>
      <c r="AM400" t="s">
        <v>2230</v>
      </c>
      <c r="AO400">
        <v>700</v>
      </c>
      <c r="AQ400">
        <v>13</v>
      </c>
      <c r="AS400" t="s">
        <v>4113</v>
      </c>
      <c r="AU400" t="s">
        <v>4128</v>
      </c>
      <c r="AW400">
        <v>14</v>
      </c>
      <c r="AY400" t="s">
        <v>4140</v>
      </c>
      <c r="BA400" t="s">
        <v>4149</v>
      </c>
      <c r="BC400" t="s">
        <v>4155</v>
      </c>
      <c r="BE400" t="s">
        <v>4128</v>
      </c>
      <c r="BF400" t="s">
        <v>4281</v>
      </c>
      <c r="BG400" t="s">
        <v>4159</v>
      </c>
      <c r="BM400" t="s">
        <v>4627</v>
      </c>
    </row>
    <row r="401" spans="1:65">
      <c r="A401" s="1">
        <f>HYPERLINK("https://lsnyc.legalserver.org/matter/dynamic-profile/view/1905727","19-1905727")</f>
        <v>0</v>
      </c>
      <c r="B401" t="s">
        <v>75</v>
      </c>
      <c r="C401" t="s">
        <v>93</v>
      </c>
      <c r="D401" t="s">
        <v>154</v>
      </c>
      <c r="F401" t="s">
        <v>703</v>
      </c>
      <c r="G401" t="s">
        <v>1240</v>
      </c>
      <c r="H401" t="s">
        <v>1563</v>
      </c>
      <c r="I401" t="s">
        <v>1921</v>
      </c>
      <c r="J401" t="s">
        <v>2205</v>
      </c>
      <c r="K401">
        <v>11221</v>
      </c>
      <c r="N401" t="s">
        <v>2233</v>
      </c>
      <c r="O401" t="s">
        <v>2503</v>
      </c>
      <c r="P401" t="s">
        <v>2930</v>
      </c>
      <c r="R401">
        <v>2</v>
      </c>
      <c r="S401">
        <v>2</v>
      </c>
      <c r="T401">
        <v>427.18</v>
      </c>
      <c r="W401">
        <v>110000</v>
      </c>
      <c r="X401" t="s">
        <v>3564</v>
      </c>
      <c r="Y401">
        <v>0</v>
      </c>
      <c r="AA401" t="s">
        <v>70</v>
      </c>
      <c r="AC401" t="s">
        <v>3942</v>
      </c>
      <c r="AD401" t="s">
        <v>404</v>
      </c>
      <c r="AF401" t="s">
        <v>4054</v>
      </c>
      <c r="AH401" t="s">
        <v>3510</v>
      </c>
      <c r="AJ401" t="s">
        <v>3942</v>
      </c>
      <c r="AL401" t="s">
        <v>4087</v>
      </c>
      <c r="AM401" t="s">
        <v>2230</v>
      </c>
      <c r="AO401">
        <v>700</v>
      </c>
      <c r="AQ401">
        <v>13</v>
      </c>
      <c r="AS401" t="s">
        <v>4113</v>
      </c>
      <c r="AU401" t="s">
        <v>4128</v>
      </c>
      <c r="AW401">
        <v>14</v>
      </c>
      <c r="AY401" t="s">
        <v>4140</v>
      </c>
      <c r="BA401" t="s">
        <v>4149</v>
      </c>
      <c r="BC401" t="s">
        <v>4155</v>
      </c>
      <c r="BF401" t="s">
        <v>4281</v>
      </c>
      <c r="BG401" t="s">
        <v>4303</v>
      </c>
      <c r="BM401" t="s">
        <v>4627</v>
      </c>
    </row>
    <row r="402" spans="1:65">
      <c r="A402" s="1">
        <f>HYPERLINK("https://lsnyc.legalserver.org/matter/dynamic-profile/view/1887822","19-1887822")</f>
        <v>0</v>
      </c>
      <c r="B402" t="s">
        <v>75</v>
      </c>
      <c r="C402" t="s">
        <v>93</v>
      </c>
      <c r="D402" t="s">
        <v>208</v>
      </c>
      <c r="F402" t="s">
        <v>704</v>
      </c>
      <c r="G402" t="s">
        <v>1162</v>
      </c>
      <c r="H402" t="s">
        <v>1696</v>
      </c>
      <c r="I402" t="s">
        <v>2027</v>
      </c>
      <c r="J402" t="s">
        <v>2205</v>
      </c>
      <c r="K402">
        <v>11225</v>
      </c>
      <c r="N402" t="s">
        <v>2233</v>
      </c>
      <c r="O402" t="s">
        <v>2491</v>
      </c>
      <c r="Q402" t="s">
        <v>3166</v>
      </c>
      <c r="R402">
        <v>6</v>
      </c>
      <c r="S402">
        <v>1</v>
      </c>
      <c r="T402">
        <v>420.39</v>
      </c>
      <c r="W402">
        <v>160000</v>
      </c>
      <c r="Y402">
        <v>0</v>
      </c>
      <c r="AA402" t="s">
        <v>70</v>
      </c>
      <c r="AC402" t="s">
        <v>3942</v>
      </c>
      <c r="AD402" t="s">
        <v>3982</v>
      </c>
      <c r="AF402" t="s">
        <v>4059</v>
      </c>
      <c r="AH402" t="s">
        <v>4078</v>
      </c>
      <c r="AJ402" t="s">
        <v>3942</v>
      </c>
      <c r="AL402" t="s">
        <v>4089</v>
      </c>
      <c r="AM402" t="s">
        <v>2230</v>
      </c>
      <c r="AO402">
        <v>1416</v>
      </c>
      <c r="AQ402">
        <v>89</v>
      </c>
      <c r="AS402" t="s">
        <v>4113</v>
      </c>
      <c r="AU402" t="s">
        <v>4128</v>
      </c>
      <c r="AW402">
        <v>1</v>
      </c>
      <c r="AY402" t="s">
        <v>4140</v>
      </c>
      <c r="BB402" t="s">
        <v>4154</v>
      </c>
      <c r="BF402" t="s">
        <v>4281</v>
      </c>
      <c r="BM402" t="s">
        <v>4627</v>
      </c>
    </row>
    <row r="403" spans="1:65">
      <c r="A403" s="1">
        <f>HYPERLINK("https://lsnyc.legalserver.org/matter/dynamic-profile/view/1878953","18-1878953")</f>
        <v>0</v>
      </c>
      <c r="B403" t="s">
        <v>75</v>
      </c>
      <c r="C403" t="s">
        <v>93</v>
      </c>
      <c r="D403" t="s">
        <v>248</v>
      </c>
      <c r="F403" t="s">
        <v>705</v>
      </c>
      <c r="G403" t="s">
        <v>1241</v>
      </c>
      <c r="H403" t="s">
        <v>1558</v>
      </c>
      <c r="I403" t="s">
        <v>1926</v>
      </c>
      <c r="J403" t="s">
        <v>2205</v>
      </c>
      <c r="K403">
        <v>11221</v>
      </c>
      <c r="N403" t="s">
        <v>2233</v>
      </c>
      <c r="O403" t="s">
        <v>2504</v>
      </c>
      <c r="Q403" t="s">
        <v>3167</v>
      </c>
      <c r="R403">
        <v>3</v>
      </c>
      <c r="S403">
        <v>0</v>
      </c>
      <c r="T403">
        <v>409.05</v>
      </c>
      <c r="W403">
        <v>85000</v>
      </c>
      <c r="X403" t="s">
        <v>3473</v>
      </c>
      <c r="Y403">
        <v>2</v>
      </c>
      <c r="Z403" t="s">
        <v>137</v>
      </c>
      <c r="AA403" t="s">
        <v>90</v>
      </c>
      <c r="AC403" t="s">
        <v>3942</v>
      </c>
      <c r="AD403" t="s">
        <v>126</v>
      </c>
      <c r="AF403" t="s">
        <v>4058</v>
      </c>
      <c r="AH403" t="s">
        <v>4076</v>
      </c>
      <c r="AJ403" t="s">
        <v>3942</v>
      </c>
      <c r="AL403" t="s">
        <v>4087</v>
      </c>
      <c r="AM403" t="s">
        <v>2230</v>
      </c>
      <c r="AO403">
        <v>632.48</v>
      </c>
      <c r="AQ403">
        <v>12</v>
      </c>
      <c r="AS403" t="s">
        <v>4113</v>
      </c>
      <c r="AU403" t="s">
        <v>4128</v>
      </c>
      <c r="AW403">
        <v>18</v>
      </c>
      <c r="AY403" t="s">
        <v>4140</v>
      </c>
      <c r="BB403" t="s">
        <v>4154</v>
      </c>
      <c r="BF403" t="s">
        <v>4281</v>
      </c>
      <c r="BM403" t="s">
        <v>4627</v>
      </c>
    </row>
    <row r="404" spans="1:65">
      <c r="A404" s="1">
        <f>HYPERLINK("https://lsnyc.legalserver.org/matter/dynamic-profile/view/1878950","18-1878950")</f>
        <v>0</v>
      </c>
      <c r="B404" t="s">
        <v>75</v>
      </c>
      <c r="C404" t="s">
        <v>93</v>
      </c>
      <c r="D404" t="s">
        <v>248</v>
      </c>
      <c r="F404" t="s">
        <v>705</v>
      </c>
      <c r="G404" t="s">
        <v>1241</v>
      </c>
      <c r="H404" t="s">
        <v>1558</v>
      </c>
      <c r="I404" t="s">
        <v>1926</v>
      </c>
      <c r="J404" t="s">
        <v>2205</v>
      </c>
      <c r="K404">
        <v>11221</v>
      </c>
      <c r="N404" t="s">
        <v>2233</v>
      </c>
      <c r="O404" t="s">
        <v>2504</v>
      </c>
      <c r="Q404" t="s">
        <v>3167</v>
      </c>
      <c r="R404">
        <v>3</v>
      </c>
      <c r="S404">
        <v>0</v>
      </c>
      <c r="T404">
        <v>409.05</v>
      </c>
      <c r="W404">
        <v>85000</v>
      </c>
      <c r="Y404">
        <v>0</v>
      </c>
      <c r="AA404" t="s">
        <v>90</v>
      </c>
      <c r="AC404" t="s">
        <v>3942</v>
      </c>
      <c r="AD404" t="s">
        <v>4000</v>
      </c>
      <c r="AF404" t="s">
        <v>4059</v>
      </c>
      <c r="AH404" t="s">
        <v>4078</v>
      </c>
      <c r="AJ404" t="s">
        <v>3942</v>
      </c>
      <c r="AL404" t="s">
        <v>4087</v>
      </c>
      <c r="AM404" t="s">
        <v>2230</v>
      </c>
      <c r="AO404">
        <v>632.48</v>
      </c>
      <c r="AQ404">
        <v>12</v>
      </c>
      <c r="AS404" t="s">
        <v>4113</v>
      </c>
      <c r="AU404" t="s">
        <v>4128</v>
      </c>
      <c r="AW404">
        <v>18</v>
      </c>
      <c r="AY404" t="s">
        <v>4140</v>
      </c>
      <c r="BB404" t="s">
        <v>4154</v>
      </c>
      <c r="BF404" t="s">
        <v>4281</v>
      </c>
      <c r="BM404" t="s">
        <v>4627</v>
      </c>
    </row>
    <row r="405" spans="1:65">
      <c r="A405" s="1">
        <f>HYPERLINK("https://lsnyc.legalserver.org/matter/dynamic-profile/view/1905733","19-1905733")</f>
        <v>0</v>
      </c>
      <c r="B405" t="s">
        <v>75</v>
      </c>
      <c r="C405" t="s">
        <v>93</v>
      </c>
      <c r="D405" t="s">
        <v>154</v>
      </c>
      <c r="F405" t="s">
        <v>705</v>
      </c>
      <c r="G405" t="s">
        <v>1241</v>
      </c>
      <c r="H405" t="s">
        <v>1558</v>
      </c>
      <c r="I405" t="s">
        <v>1926</v>
      </c>
      <c r="J405" t="s">
        <v>2205</v>
      </c>
      <c r="K405">
        <v>11221</v>
      </c>
      <c r="N405" t="s">
        <v>2233</v>
      </c>
      <c r="O405" t="s">
        <v>2504</v>
      </c>
      <c r="Q405" t="s">
        <v>3167</v>
      </c>
      <c r="R405">
        <v>3</v>
      </c>
      <c r="S405">
        <v>0</v>
      </c>
      <c r="T405">
        <v>398.5</v>
      </c>
      <c r="W405">
        <v>85000</v>
      </c>
      <c r="X405" t="s">
        <v>3565</v>
      </c>
      <c r="Y405">
        <v>0</v>
      </c>
      <c r="AA405" t="s">
        <v>70</v>
      </c>
      <c r="AC405" t="s">
        <v>3942</v>
      </c>
      <c r="AD405" t="s">
        <v>404</v>
      </c>
      <c r="AF405" t="s">
        <v>4054</v>
      </c>
      <c r="AH405" t="s">
        <v>3510</v>
      </c>
      <c r="AJ405" t="s">
        <v>3942</v>
      </c>
      <c r="AL405" t="s">
        <v>4087</v>
      </c>
      <c r="AM405" t="s">
        <v>2230</v>
      </c>
      <c r="AO405">
        <v>632.48</v>
      </c>
      <c r="AQ405">
        <v>12</v>
      </c>
      <c r="AS405" t="s">
        <v>4113</v>
      </c>
      <c r="AU405" t="s">
        <v>4128</v>
      </c>
      <c r="AW405">
        <v>18</v>
      </c>
      <c r="AY405" t="s">
        <v>4140</v>
      </c>
      <c r="BA405" t="s">
        <v>4149</v>
      </c>
      <c r="BC405" t="s">
        <v>4155</v>
      </c>
      <c r="BE405" t="s">
        <v>4128</v>
      </c>
      <c r="BF405" t="s">
        <v>4281</v>
      </c>
      <c r="BG405" t="s">
        <v>4054</v>
      </c>
      <c r="BM405" t="s">
        <v>4627</v>
      </c>
    </row>
    <row r="406" spans="1:65">
      <c r="A406" s="1">
        <f>HYPERLINK("https://lsnyc.legalserver.org/matter/dynamic-profile/view/1878674","18-1878674")</f>
        <v>0</v>
      </c>
      <c r="B406" t="s">
        <v>75</v>
      </c>
      <c r="C406" t="s">
        <v>93</v>
      </c>
      <c r="D406" t="s">
        <v>278</v>
      </c>
      <c r="F406" t="s">
        <v>501</v>
      </c>
      <c r="G406" t="s">
        <v>1036</v>
      </c>
      <c r="H406" t="s">
        <v>1558</v>
      </c>
      <c r="I406" t="s">
        <v>1933</v>
      </c>
      <c r="J406" t="s">
        <v>2205</v>
      </c>
      <c r="K406">
        <v>11221</v>
      </c>
      <c r="N406" t="s">
        <v>2233</v>
      </c>
      <c r="O406" t="s">
        <v>2266</v>
      </c>
      <c r="Q406" t="s">
        <v>2953</v>
      </c>
      <c r="R406">
        <v>1</v>
      </c>
      <c r="S406">
        <v>0</v>
      </c>
      <c r="T406">
        <v>395.39</v>
      </c>
      <c r="W406">
        <v>48000</v>
      </c>
      <c r="X406" t="s">
        <v>3566</v>
      </c>
      <c r="Y406">
        <v>0.2</v>
      </c>
      <c r="Z406" t="s">
        <v>464</v>
      </c>
      <c r="AA406" t="s">
        <v>90</v>
      </c>
      <c r="AC406" t="s">
        <v>3942</v>
      </c>
      <c r="AD406" t="s">
        <v>3972</v>
      </c>
      <c r="AF406" t="s">
        <v>4059</v>
      </c>
      <c r="AH406" t="s">
        <v>4078</v>
      </c>
      <c r="AJ406" t="s">
        <v>3942</v>
      </c>
      <c r="AL406" t="s">
        <v>4087</v>
      </c>
      <c r="AM406" t="s">
        <v>2230</v>
      </c>
      <c r="AO406">
        <v>780</v>
      </c>
      <c r="AQ406">
        <v>12</v>
      </c>
      <c r="AS406" t="s">
        <v>4113</v>
      </c>
      <c r="AU406" t="s">
        <v>4128</v>
      </c>
      <c r="AW406">
        <v>15</v>
      </c>
      <c r="AY406" t="s">
        <v>4140</v>
      </c>
      <c r="BB406" t="s">
        <v>4154</v>
      </c>
      <c r="BF406" t="s">
        <v>4281</v>
      </c>
      <c r="BM406" t="s">
        <v>4627</v>
      </c>
    </row>
    <row r="407" spans="1:65">
      <c r="A407" s="1">
        <f>HYPERLINK("https://lsnyc.legalserver.org/matter/dynamic-profile/view/1904268","19-1904268")</f>
        <v>0</v>
      </c>
      <c r="B407" t="s">
        <v>75</v>
      </c>
      <c r="C407" t="s">
        <v>93</v>
      </c>
      <c r="D407" t="s">
        <v>249</v>
      </c>
      <c r="F407" t="s">
        <v>501</v>
      </c>
      <c r="G407" t="s">
        <v>1036</v>
      </c>
      <c r="H407" t="s">
        <v>1558</v>
      </c>
      <c r="I407" t="s">
        <v>1933</v>
      </c>
      <c r="J407" t="s">
        <v>2205</v>
      </c>
      <c r="K407">
        <v>11221</v>
      </c>
      <c r="N407" t="s">
        <v>2236</v>
      </c>
      <c r="O407" t="s">
        <v>2266</v>
      </c>
      <c r="Q407" t="s">
        <v>2953</v>
      </c>
      <c r="R407">
        <v>1</v>
      </c>
      <c r="S407">
        <v>0</v>
      </c>
      <c r="T407">
        <v>384.31</v>
      </c>
      <c r="W407">
        <v>48000</v>
      </c>
      <c r="Y407">
        <v>0</v>
      </c>
      <c r="AA407" t="s">
        <v>90</v>
      </c>
      <c r="AC407" t="s">
        <v>3942</v>
      </c>
      <c r="AD407" t="s">
        <v>168</v>
      </c>
      <c r="AF407" t="s">
        <v>4061</v>
      </c>
      <c r="AH407" t="s">
        <v>3510</v>
      </c>
      <c r="AJ407" t="s">
        <v>3942</v>
      </c>
      <c r="AL407" t="s">
        <v>4087</v>
      </c>
      <c r="AM407" t="s">
        <v>2230</v>
      </c>
      <c r="AO407">
        <v>780</v>
      </c>
      <c r="AQ407">
        <v>12</v>
      </c>
      <c r="AS407" t="s">
        <v>4113</v>
      </c>
      <c r="AU407" t="s">
        <v>4128</v>
      </c>
      <c r="AW407">
        <v>15</v>
      </c>
      <c r="AY407" t="s">
        <v>4140</v>
      </c>
      <c r="BA407" t="s">
        <v>4149</v>
      </c>
      <c r="BB407" t="s">
        <v>4154</v>
      </c>
      <c r="BC407" t="s">
        <v>4128</v>
      </c>
      <c r="BE407" t="s">
        <v>4128</v>
      </c>
      <c r="BF407" t="s">
        <v>4281</v>
      </c>
      <c r="BG407" t="s">
        <v>4054</v>
      </c>
      <c r="BM407" t="s">
        <v>4627</v>
      </c>
    </row>
    <row r="408" spans="1:65">
      <c r="A408" s="1">
        <f>HYPERLINK("https://lsnyc.legalserver.org/matter/dynamic-profile/view/0830179","17-0830179")</f>
        <v>0</v>
      </c>
      <c r="B408" t="s">
        <v>75</v>
      </c>
      <c r="C408" t="s">
        <v>93</v>
      </c>
      <c r="D408" t="s">
        <v>264</v>
      </c>
      <c r="F408" t="s">
        <v>706</v>
      </c>
      <c r="G408" t="s">
        <v>1242</v>
      </c>
      <c r="H408" t="s">
        <v>1700</v>
      </c>
      <c r="I408" t="s">
        <v>1980</v>
      </c>
      <c r="J408" t="s">
        <v>2205</v>
      </c>
      <c r="K408">
        <v>11212</v>
      </c>
      <c r="N408" t="s">
        <v>2233</v>
      </c>
      <c r="O408" t="s">
        <v>2505</v>
      </c>
      <c r="Q408" t="s">
        <v>3143</v>
      </c>
      <c r="R408">
        <v>1</v>
      </c>
      <c r="S408">
        <v>1</v>
      </c>
      <c r="T408">
        <v>381.77</v>
      </c>
      <c r="W408">
        <v>62000</v>
      </c>
      <c r="Y408">
        <v>0.25</v>
      </c>
      <c r="Z408" t="s">
        <v>330</v>
      </c>
      <c r="AA408" t="s">
        <v>75</v>
      </c>
      <c r="AC408" t="s">
        <v>3942</v>
      </c>
      <c r="AD408" t="s">
        <v>264</v>
      </c>
      <c r="AF408" t="s">
        <v>4054</v>
      </c>
      <c r="AH408" t="s">
        <v>4078</v>
      </c>
      <c r="AJ408" t="s">
        <v>3942</v>
      </c>
      <c r="AL408" t="s">
        <v>4070</v>
      </c>
      <c r="AM408" t="s">
        <v>2230</v>
      </c>
      <c r="AO408">
        <v>1377</v>
      </c>
      <c r="AQ408">
        <v>32</v>
      </c>
      <c r="AS408" t="s">
        <v>4113</v>
      </c>
      <c r="AT408" t="s">
        <v>4127</v>
      </c>
      <c r="AW408">
        <v>2</v>
      </c>
      <c r="AY408" t="s">
        <v>4140</v>
      </c>
      <c r="BB408" t="s">
        <v>4154</v>
      </c>
      <c r="BG408" t="s">
        <v>4423</v>
      </c>
      <c r="BM408" t="s">
        <v>4627</v>
      </c>
    </row>
    <row r="409" spans="1:65">
      <c r="A409" s="1">
        <f>HYPERLINK("https://lsnyc.legalserver.org/matter/dynamic-profile/view/0828960","17-0828960")</f>
        <v>0</v>
      </c>
      <c r="B409" t="s">
        <v>75</v>
      </c>
      <c r="C409" t="s">
        <v>93</v>
      </c>
      <c r="D409" t="s">
        <v>276</v>
      </c>
      <c r="F409" t="s">
        <v>707</v>
      </c>
      <c r="G409" t="s">
        <v>1214</v>
      </c>
      <c r="H409" t="s">
        <v>1700</v>
      </c>
      <c r="I409" t="s">
        <v>2007</v>
      </c>
      <c r="J409" t="s">
        <v>2205</v>
      </c>
      <c r="K409">
        <v>11212</v>
      </c>
      <c r="N409" t="s">
        <v>2233</v>
      </c>
      <c r="O409" t="s">
        <v>2506</v>
      </c>
      <c r="Q409" t="s">
        <v>3168</v>
      </c>
      <c r="R409">
        <v>2</v>
      </c>
      <c r="S409">
        <v>0</v>
      </c>
      <c r="T409">
        <v>369.46</v>
      </c>
      <c r="W409">
        <v>60000</v>
      </c>
      <c r="Y409">
        <v>0.25</v>
      </c>
      <c r="Z409" t="s">
        <v>330</v>
      </c>
      <c r="AA409" t="s">
        <v>75</v>
      </c>
      <c r="AC409" t="s">
        <v>3942</v>
      </c>
      <c r="AD409" t="s">
        <v>260</v>
      </c>
      <c r="AF409" t="s">
        <v>4054</v>
      </c>
      <c r="AH409" t="s">
        <v>4078</v>
      </c>
      <c r="AJ409" t="s">
        <v>3942</v>
      </c>
      <c r="AL409" t="s">
        <v>4070</v>
      </c>
      <c r="AM409" t="s">
        <v>2230</v>
      </c>
      <c r="AO409">
        <v>1248.12</v>
      </c>
      <c r="AQ409">
        <v>32</v>
      </c>
      <c r="AS409" t="s">
        <v>4113</v>
      </c>
      <c r="AT409" t="s">
        <v>4127</v>
      </c>
      <c r="AW409">
        <v>10</v>
      </c>
      <c r="AY409" t="s">
        <v>4140</v>
      </c>
      <c r="BB409" t="s">
        <v>4154</v>
      </c>
      <c r="BG409" t="s">
        <v>4423</v>
      </c>
      <c r="BM409" t="s">
        <v>4627</v>
      </c>
    </row>
    <row r="410" spans="1:65">
      <c r="A410" s="1">
        <f>HYPERLINK("https://lsnyc.legalserver.org/matter/dynamic-profile/view/1870547","18-1870547")</f>
        <v>0</v>
      </c>
      <c r="B410" t="s">
        <v>75</v>
      </c>
      <c r="C410" t="s">
        <v>93</v>
      </c>
      <c r="D410" t="s">
        <v>281</v>
      </c>
      <c r="F410" t="s">
        <v>707</v>
      </c>
      <c r="G410" t="s">
        <v>1214</v>
      </c>
      <c r="H410" t="s">
        <v>1700</v>
      </c>
      <c r="I410" t="s">
        <v>2007</v>
      </c>
      <c r="J410" t="s">
        <v>2205</v>
      </c>
      <c r="K410">
        <v>11212</v>
      </c>
      <c r="N410" t="s">
        <v>2233</v>
      </c>
      <c r="O410" t="s">
        <v>2506</v>
      </c>
      <c r="Q410" t="s">
        <v>3168</v>
      </c>
      <c r="R410">
        <v>2</v>
      </c>
      <c r="S410">
        <v>0</v>
      </c>
      <c r="T410">
        <v>364.52</v>
      </c>
      <c r="W410">
        <v>60000</v>
      </c>
      <c r="X410" t="s">
        <v>3567</v>
      </c>
      <c r="Y410">
        <v>0</v>
      </c>
      <c r="AA410" t="s">
        <v>90</v>
      </c>
      <c r="AC410" t="s">
        <v>3942</v>
      </c>
      <c r="AD410" t="s">
        <v>260</v>
      </c>
      <c r="AE410" t="s">
        <v>4049</v>
      </c>
      <c r="AH410" t="s">
        <v>4078</v>
      </c>
      <c r="AJ410" t="s">
        <v>3942</v>
      </c>
      <c r="AL410" t="s">
        <v>4086</v>
      </c>
      <c r="AM410" t="s">
        <v>2230</v>
      </c>
      <c r="AO410">
        <v>1248.12</v>
      </c>
      <c r="AQ410">
        <v>32</v>
      </c>
      <c r="AS410" t="s">
        <v>4113</v>
      </c>
      <c r="AU410" t="s">
        <v>4128</v>
      </c>
      <c r="AW410">
        <v>10</v>
      </c>
      <c r="AY410" t="s">
        <v>4140</v>
      </c>
      <c r="BB410" t="s">
        <v>4154</v>
      </c>
      <c r="BF410" t="s">
        <v>4281</v>
      </c>
      <c r="BM410" t="s">
        <v>4627</v>
      </c>
    </row>
    <row r="411" spans="1:65">
      <c r="A411" s="1">
        <f>HYPERLINK("https://lsnyc.legalserver.org/matter/dynamic-profile/view/1871564","18-1871564")</f>
        <v>0</v>
      </c>
      <c r="B411" t="s">
        <v>75</v>
      </c>
      <c r="C411" t="s">
        <v>93</v>
      </c>
      <c r="D411" t="s">
        <v>268</v>
      </c>
      <c r="F411" t="s">
        <v>678</v>
      </c>
      <c r="G411" t="s">
        <v>1213</v>
      </c>
      <c r="H411" t="s">
        <v>1700</v>
      </c>
      <c r="I411" t="s">
        <v>2017</v>
      </c>
      <c r="J411" t="s">
        <v>2205</v>
      </c>
      <c r="K411">
        <v>11212</v>
      </c>
      <c r="N411" t="s">
        <v>2233</v>
      </c>
      <c r="O411" t="s">
        <v>2471</v>
      </c>
      <c r="Q411" t="s">
        <v>3138</v>
      </c>
      <c r="R411">
        <v>1</v>
      </c>
      <c r="S411">
        <v>2</v>
      </c>
      <c r="T411">
        <v>37.65</v>
      </c>
      <c r="W411">
        <v>15648</v>
      </c>
      <c r="Y411">
        <v>0</v>
      </c>
      <c r="AA411" t="s">
        <v>3913</v>
      </c>
      <c r="AC411" t="s">
        <v>3942</v>
      </c>
      <c r="AD411" t="s">
        <v>3986</v>
      </c>
      <c r="AF411" t="s">
        <v>4054</v>
      </c>
      <c r="AH411" t="s">
        <v>3510</v>
      </c>
      <c r="AJ411" t="s">
        <v>3942</v>
      </c>
      <c r="AL411" t="s">
        <v>4070</v>
      </c>
      <c r="AM411" t="s">
        <v>2230</v>
      </c>
      <c r="AO411">
        <v>939.42</v>
      </c>
      <c r="AQ411">
        <v>32</v>
      </c>
      <c r="AS411" t="s">
        <v>4113</v>
      </c>
      <c r="AU411" t="s">
        <v>4134</v>
      </c>
      <c r="AW411">
        <v>19</v>
      </c>
      <c r="AY411" t="s">
        <v>4140</v>
      </c>
      <c r="BB411" t="s">
        <v>4154</v>
      </c>
      <c r="BF411" t="s">
        <v>4281</v>
      </c>
      <c r="BM411" t="s">
        <v>4627</v>
      </c>
    </row>
    <row r="412" spans="1:65">
      <c r="A412" s="1">
        <f>HYPERLINK("https://lsnyc.legalserver.org/matter/dynamic-profile/view/1871738","18-1871738")</f>
        <v>0</v>
      </c>
      <c r="B412" t="s">
        <v>75</v>
      </c>
      <c r="C412" t="s">
        <v>93</v>
      </c>
      <c r="D412" t="s">
        <v>270</v>
      </c>
      <c r="F412" t="s">
        <v>708</v>
      </c>
      <c r="G412" t="s">
        <v>1243</v>
      </c>
      <c r="H412" t="s">
        <v>1697</v>
      </c>
      <c r="I412" t="s">
        <v>1921</v>
      </c>
      <c r="J412" t="s">
        <v>2205</v>
      </c>
      <c r="K412">
        <v>11206</v>
      </c>
      <c r="N412" t="s">
        <v>2233</v>
      </c>
      <c r="O412" t="s">
        <v>2507</v>
      </c>
      <c r="Q412" t="s">
        <v>3169</v>
      </c>
      <c r="R412">
        <v>3</v>
      </c>
      <c r="S412">
        <v>0</v>
      </c>
      <c r="T412">
        <v>38.2</v>
      </c>
      <c r="W412">
        <v>7938</v>
      </c>
      <c r="X412" t="s">
        <v>3568</v>
      </c>
      <c r="Y412">
        <v>11.45</v>
      </c>
      <c r="Z412" t="s">
        <v>3844</v>
      </c>
      <c r="AA412" t="s">
        <v>3913</v>
      </c>
      <c r="AC412" t="s">
        <v>3942</v>
      </c>
      <c r="AD412" t="s">
        <v>270</v>
      </c>
      <c r="AF412" t="s">
        <v>4059</v>
      </c>
      <c r="AH412" t="s">
        <v>4078</v>
      </c>
      <c r="AJ412" t="s">
        <v>3942</v>
      </c>
      <c r="AK412" t="s">
        <v>4084</v>
      </c>
      <c r="AM412" t="s">
        <v>2230</v>
      </c>
      <c r="AO412">
        <v>1291.45</v>
      </c>
      <c r="AQ412">
        <v>29</v>
      </c>
      <c r="AS412" t="s">
        <v>4113</v>
      </c>
      <c r="AU412" t="s">
        <v>4129</v>
      </c>
      <c r="AW412">
        <v>23</v>
      </c>
      <c r="AY412" t="s">
        <v>4140</v>
      </c>
      <c r="BB412" t="s">
        <v>4154</v>
      </c>
      <c r="BG412" t="s">
        <v>4417</v>
      </c>
      <c r="BM412" t="s">
        <v>4627</v>
      </c>
    </row>
    <row r="413" spans="1:65">
      <c r="A413" s="1">
        <f>HYPERLINK("https://lsnyc.legalserver.org/matter/dynamic-profile/view/1857233","18-1857233")</f>
        <v>0</v>
      </c>
      <c r="B413" t="s">
        <v>75</v>
      </c>
      <c r="C413" t="s">
        <v>93</v>
      </c>
      <c r="D413" t="s">
        <v>265</v>
      </c>
      <c r="F413" t="s">
        <v>708</v>
      </c>
      <c r="G413" t="s">
        <v>1243</v>
      </c>
      <c r="H413" t="s">
        <v>1697</v>
      </c>
      <c r="I413" t="s">
        <v>1921</v>
      </c>
      <c r="J413" t="s">
        <v>2205</v>
      </c>
      <c r="K413">
        <v>11206</v>
      </c>
      <c r="N413" t="s">
        <v>2233</v>
      </c>
      <c r="O413" t="s">
        <v>2507</v>
      </c>
      <c r="Q413" t="s">
        <v>3169</v>
      </c>
      <c r="R413">
        <v>3</v>
      </c>
      <c r="S413">
        <v>0</v>
      </c>
      <c r="T413">
        <v>38.87</v>
      </c>
      <c r="W413">
        <v>7938</v>
      </c>
      <c r="X413" t="s">
        <v>3568</v>
      </c>
      <c r="Y413">
        <v>15.25</v>
      </c>
      <c r="Z413" t="s">
        <v>281</v>
      </c>
      <c r="AA413" t="s">
        <v>90</v>
      </c>
      <c r="AC413" t="s">
        <v>3942</v>
      </c>
      <c r="AD413" t="s">
        <v>4001</v>
      </c>
      <c r="AF413" t="s">
        <v>4058</v>
      </c>
      <c r="AH413" t="s">
        <v>4076</v>
      </c>
      <c r="AJ413" t="s">
        <v>3942</v>
      </c>
      <c r="AK413" t="s">
        <v>4084</v>
      </c>
      <c r="AM413" t="s">
        <v>2230</v>
      </c>
      <c r="AO413">
        <v>1291.45</v>
      </c>
      <c r="AQ413">
        <v>29</v>
      </c>
      <c r="AS413" t="s">
        <v>4113</v>
      </c>
      <c r="AU413" t="s">
        <v>4129</v>
      </c>
      <c r="AW413">
        <v>23</v>
      </c>
      <c r="AY413" t="s">
        <v>4140</v>
      </c>
      <c r="BB413" t="s">
        <v>4154</v>
      </c>
      <c r="BF413" t="s">
        <v>4281</v>
      </c>
      <c r="BM413" t="s">
        <v>4627</v>
      </c>
    </row>
    <row r="414" spans="1:65">
      <c r="A414" s="1">
        <f>HYPERLINK("https://lsnyc.legalserver.org/matter/dynamic-profile/view/1887903","19-1887903")</f>
        <v>0</v>
      </c>
      <c r="B414" t="s">
        <v>75</v>
      </c>
      <c r="C414" t="s">
        <v>93</v>
      </c>
      <c r="D414" t="s">
        <v>282</v>
      </c>
      <c r="F414" t="s">
        <v>699</v>
      </c>
      <c r="G414" t="s">
        <v>1234</v>
      </c>
      <c r="H414" t="s">
        <v>1698</v>
      </c>
      <c r="I414" t="s">
        <v>1930</v>
      </c>
      <c r="J414" t="s">
        <v>2205</v>
      </c>
      <c r="K414">
        <v>11213</v>
      </c>
      <c r="N414" t="s">
        <v>2233</v>
      </c>
      <c r="O414" t="s">
        <v>2497</v>
      </c>
      <c r="Q414" t="s">
        <v>3160</v>
      </c>
      <c r="R414">
        <v>2</v>
      </c>
      <c r="S414">
        <v>2</v>
      </c>
      <c r="T414">
        <v>40.64</v>
      </c>
      <c r="W414">
        <v>10200</v>
      </c>
      <c r="Y414">
        <v>0</v>
      </c>
      <c r="AA414" t="s">
        <v>70</v>
      </c>
      <c r="AC414" t="s">
        <v>3942</v>
      </c>
      <c r="AD414" t="s">
        <v>140</v>
      </c>
      <c r="AF414" t="s">
        <v>4058</v>
      </c>
      <c r="AH414" t="s">
        <v>4076</v>
      </c>
      <c r="AJ414" t="s">
        <v>3942</v>
      </c>
      <c r="AL414" t="s">
        <v>4070</v>
      </c>
      <c r="AM414" t="s">
        <v>2230</v>
      </c>
      <c r="AO414">
        <v>643.51</v>
      </c>
      <c r="AQ414">
        <v>19</v>
      </c>
      <c r="AS414" t="s">
        <v>4113</v>
      </c>
      <c r="AU414" t="s">
        <v>4128</v>
      </c>
      <c r="AW414">
        <v>7</v>
      </c>
      <c r="AY414" t="s">
        <v>4140</v>
      </c>
      <c r="BB414" t="s">
        <v>4154</v>
      </c>
      <c r="BG414" t="s">
        <v>4425</v>
      </c>
      <c r="BM414" t="s">
        <v>4627</v>
      </c>
    </row>
    <row r="415" spans="1:65">
      <c r="A415" s="1">
        <f>HYPERLINK("https://lsnyc.legalserver.org/matter/dynamic-profile/view/1887834","19-1887834")</f>
        <v>0</v>
      </c>
      <c r="B415" t="s">
        <v>75</v>
      </c>
      <c r="C415" t="s">
        <v>93</v>
      </c>
      <c r="D415" t="s">
        <v>208</v>
      </c>
      <c r="F415" t="s">
        <v>585</v>
      </c>
      <c r="G415" t="s">
        <v>1017</v>
      </c>
      <c r="H415" t="s">
        <v>1696</v>
      </c>
      <c r="I415" t="s">
        <v>2028</v>
      </c>
      <c r="J415" t="s">
        <v>2205</v>
      </c>
      <c r="K415">
        <v>11225</v>
      </c>
      <c r="N415" t="s">
        <v>2233</v>
      </c>
      <c r="O415" t="s">
        <v>2508</v>
      </c>
      <c r="Q415" t="s">
        <v>3170</v>
      </c>
      <c r="R415">
        <v>2</v>
      </c>
      <c r="S415">
        <v>1</v>
      </c>
      <c r="T415">
        <v>336.86</v>
      </c>
      <c r="W415">
        <v>70000</v>
      </c>
      <c r="Y415">
        <v>0</v>
      </c>
      <c r="AA415" t="s">
        <v>70</v>
      </c>
      <c r="AC415" t="s">
        <v>3942</v>
      </c>
      <c r="AD415" t="s">
        <v>3982</v>
      </c>
      <c r="AF415" t="s">
        <v>4059</v>
      </c>
      <c r="AH415" t="s">
        <v>4078</v>
      </c>
      <c r="AJ415" t="s">
        <v>3942</v>
      </c>
      <c r="AK415" t="s">
        <v>4084</v>
      </c>
      <c r="AM415" t="s">
        <v>2230</v>
      </c>
      <c r="AO415">
        <v>2725</v>
      </c>
      <c r="AQ415">
        <v>89</v>
      </c>
      <c r="AS415" t="s">
        <v>4113</v>
      </c>
      <c r="AU415" t="s">
        <v>4128</v>
      </c>
      <c r="AW415">
        <v>1</v>
      </c>
      <c r="AX415" t="s">
        <v>4139</v>
      </c>
      <c r="BB415" t="s">
        <v>4154</v>
      </c>
      <c r="BF415" t="s">
        <v>4281</v>
      </c>
      <c r="BM415" t="s">
        <v>4627</v>
      </c>
    </row>
    <row r="416" spans="1:65">
      <c r="A416" s="1">
        <f>HYPERLINK("https://lsnyc.legalserver.org/matter/dynamic-profile/view/1887829","19-1887829")</f>
        <v>0</v>
      </c>
      <c r="B416" t="s">
        <v>75</v>
      </c>
      <c r="C416" t="s">
        <v>93</v>
      </c>
      <c r="D416" t="s">
        <v>208</v>
      </c>
      <c r="F416" t="s">
        <v>495</v>
      </c>
      <c r="G416" t="s">
        <v>1244</v>
      </c>
      <c r="H416" t="s">
        <v>1696</v>
      </c>
      <c r="I416" t="s">
        <v>2029</v>
      </c>
      <c r="J416" t="s">
        <v>2205</v>
      </c>
      <c r="K416">
        <v>11225</v>
      </c>
      <c r="N416" t="s">
        <v>2233</v>
      </c>
      <c r="O416" t="s">
        <v>2509</v>
      </c>
      <c r="Q416" t="s">
        <v>3171</v>
      </c>
      <c r="R416">
        <v>2</v>
      </c>
      <c r="S416">
        <v>0</v>
      </c>
      <c r="T416">
        <v>309.84</v>
      </c>
      <c r="W416">
        <v>51000.01</v>
      </c>
      <c r="Y416">
        <v>0</v>
      </c>
      <c r="AA416" t="s">
        <v>70</v>
      </c>
      <c r="AC416" t="s">
        <v>3942</v>
      </c>
      <c r="AD416" t="s">
        <v>3982</v>
      </c>
      <c r="AF416" t="s">
        <v>4059</v>
      </c>
      <c r="AH416" t="s">
        <v>4078</v>
      </c>
      <c r="AJ416" t="s">
        <v>3942</v>
      </c>
      <c r="AL416" t="s">
        <v>4089</v>
      </c>
      <c r="AM416" t="s">
        <v>2230</v>
      </c>
      <c r="AO416">
        <v>744</v>
      </c>
      <c r="AQ416">
        <v>89</v>
      </c>
      <c r="AS416" t="s">
        <v>4113</v>
      </c>
      <c r="AU416" t="s">
        <v>4128</v>
      </c>
      <c r="AW416">
        <v>38</v>
      </c>
      <c r="AY416" t="s">
        <v>4140</v>
      </c>
      <c r="BB416" t="s">
        <v>4154</v>
      </c>
      <c r="BF416" t="s">
        <v>4281</v>
      </c>
      <c r="BM416" t="s">
        <v>4627</v>
      </c>
    </row>
    <row r="417" spans="1:65">
      <c r="A417" s="1">
        <f>HYPERLINK("https://lsnyc.legalserver.org/matter/dynamic-profile/view/1871756","18-1871756")</f>
        <v>0</v>
      </c>
      <c r="B417" t="s">
        <v>75</v>
      </c>
      <c r="C417" t="s">
        <v>93</v>
      </c>
      <c r="D417" t="s">
        <v>270</v>
      </c>
      <c r="F417" t="s">
        <v>709</v>
      </c>
      <c r="G417" t="s">
        <v>1162</v>
      </c>
      <c r="H417" t="s">
        <v>1695</v>
      </c>
      <c r="I417" t="s">
        <v>2030</v>
      </c>
      <c r="J417" t="s">
        <v>2205</v>
      </c>
      <c r="K417">
        <v>11206</v>
      </c>
      <c r="N417" t="s">
        <v>2233</v>
      </c>
      <c r="O417" t="s">
        <v>2510</v>
      </c>
      <c r="P417" t="s">
        <v>2930</v>
      </c>
      <c r="R417">
        <v>1</v>
      </c>
      <c r="S417">
        <v>0</v>
      </c>
      <c r="T417">
        <v>304.78</v>
      </c>
      <c r="U417" t="s">
        <v>3447</v>
      </c>
      <c r="W417">
        <v>37000</v>
      </c>
      <c r="Y417">
        <v>0</v>
      </c>
      <c r="AA417" t="s">
        <v>3913</v>
      </c>
      <c r="AC417" t="s">
        <v>3942</v>
      </c>
      <c r="AD417" t="s">
        <v>3987</v>
      </c>
      <c r="AF417" t="s">
        <v>4059</v>
      </c>
      <c r="AH417" t="s">
        <v>4078</v>
      </c>
      <c r="AJ417" t="s">
        <v>3942</v>
      </c>
      <c r="AK417" t="s">
        <v>4084</v>
      </c>
      <c r="AM417" t="s">
        <v>2230</v>
      </c>
      <c r="AO417">
        <v>955</v>
      </c>
      <c r="AQ417">
        <v>29</v>
      </c>
      <c r="AS417" t="s">
        <v>4113</v>
      </c>
      <c r="AT417" t="s">
        <v>4127</v>
      </c>
      <c r="AW417">
        <v>17</v>
      </c>
      <c r="AY417" t="s">
        <v>4140</v>
      </c>
      <c r="BB417" t="s">
        <v>4154</v>
      </c>
      <c r="BG417" t="s">
        <v>4424</v>
      </c>
      <c r="BM417" t="s">
        <v>4627</v>
      </c>
    </row>
    <row r="418" spans="1:65">
      <c r="A418" s="1">
        <f>HYPERLINK("https://lsnyc.legalserver.org/matter/dynamic-profile/view/1867061","18-1867061")</f>
        <v>0</v>
      </c>
      <c r="B418" t="s">
        <v>75</v>
      </c>
      <c r="C418" t="s">
        <v>93</v>
      </c>
      <c r="D418" t="s">
        <v>267</v>
      </c>
      <c r="F418" t="s">
        <v>707</v>
      </c>
      <c r="G418" t="s">
        <v>1214</v>
      </c>
      <c r="H418" t="s">
        <v>1700</v>
      </c>
      <c r="I418" t="s">
        <v>2007</v>
      </c>
      <c r="J418" t="s">
        <v>2205</v>
      </c>
      <c r="K418">
        <v>11212</v>
      </c>
      <c r="N418" t="s">
        <v>2233</v>
      </c>
      <c r="O418" t="s">
        <v>2506</v>
      </c>
      <c r="Q418" t="s">
        <v>3168</v>
      </c>
      <c r="R418">
        <v>2</v>
      </c>
      <c r="S418">
        <v>0</v>
      </c>
      <c r="T418">
        <v>288.18</v>
      </c>
      <c r="U418" t="s">
        <v>3447</v>
      </c>
      <c r="W418">
        <v>46800</v>
      </c>
      <c r="Y418">
        <v>0.25</v>
      </c>
      <c r="Z418" t="s">
        <v>267</v>
      </c>
      <c r="AA418" t="s">
        <v>75</v>
      </c>
      <c r="AC418" t="s">
        <v>3942</v>
      </c>
      <c r="AD418" t="s">
        <v>4002</v>
      </c>
      <c r="AF418" t="s">
        <v>4054</v>
      </c>
      <c r="AH418" t="s">
        <v>4078</v>
      </c>
      <c r="AJ418" t="s">
        <v>3942</v>
      </c>
      <c r="AK418" t="s">
        <v>4084</v>
      </c>
      <c r="AM418" t="s">
        <v>2230</v>
      </c>
      <c r="AO418">
        <v>1248.12</v>
      </c>
      <c r="AP418" t="s">
        <v>4108</v>
      </c>
      <c r="AQ418" t="s">
        <v>4110</v>
      </c>
      <c r="AS418" t="s">
        <v>4113</v>
      </c>
      <c r="AT418" t="s">
        <v>4127</v>
      </c>
      <c r="AW418">
        <v>8</v>
      </c>
      <c r="AY418" t="s">
        <v>4140</v>
      </c>
      <c r="BB418" t="s">
        <v>4154</v>
      </c>
      <c r="BF418" t="s">
        <v>4281</v>
      </c>
      <c r="BM418" t="s">
        <v>4627</v>
      </c>
    </row>
    <row r="419" spans="1:65">
      <c r="A419" s="1">
        <f>HYPERLINK("https://lsnyc.legalserver.org/matter/dynamic-profile/view/1871539","18-1871539")</f>
        <v>0</v>
      </c>
      <c r="B419" t="s">
        <v>75</v>
      </c>
      <c r="C419" t="s">
        <v>93</v>
      </c>
      <c r="D419" t="s">
        <v>268</v>
      </c>
      <c r="F419" t="s">
        <v>585</v>
      </c>
      <c r="G419" t="s">
        <v>1206</v>
      </c>
      <c r="H419" t="s">
        <v>1700</v>
      </c>
      <c r="I419" t="s">
        <v>2002</v>
      </c>
      <c r="J419" t="s">
        <v>2205</v>
      </c>
      <c r="K419">
        <v>11212</v>
      </c>
      <c r="N419" t="s">
        <v>2233</v>
      </c>
      <c r="O419" t="s">
        <v>2462</v>
      </c>
      <c r="Q419" t="s">
        <v>3129</v>
      </c>
      <c r="R419">
        <v>3</v>
      </c>
      <c r="S419">
        <v>0</v>
      </c>
      <c r="T419">
        <v>275.26</v>
      </c>
      <c r="W419">
        <v>57200</v>
      </c>
      <c r="X419" t="s">
        <v>3542</v>
      </c>
      <c r="Y419">
        <v>0</v>
      </c>
      <c r="AA419" t="s">
        <v>3913</v>
      </c>
      <c r="AC419" t="s">
        <v>3942</v>
      </c>
      <c r="AD419" t="s">
        <v>3986</v>
      </c>
      <c r="AF419" t="s">
        <v>4054</v>
      </c>
      <c r="AH419" t="s">
        <v>3510</v>
      </c>
      <c r="AJ419" t="s">
        <v>3942</v>
      </c>
      <c r="AL419" t="s">
        <v>4070</v>
      </c>
      <c r="AM419" t="s">
        <v>2230</v>
      </c>
      <c r="AO419">
        <v>893.61</v>
      </c>
      <c r="AQ419">
        <v>32</v>
      </c>
      <c r="AS419" t="s">
        <v>4113</v>
      </c>
      <c r="AT419" t="s">
        <v>4127</v>
      </c>
      <c r="AW419">
        <v>8</v>
      </c>
      <c r="AY419" t="s">
        <v>4140</v>
      </c>
      <c r="BB419" t="s">
        <v>4154</v>
      </c>
      <c r="BF419" t="s">
        <v>4281</v>
      </c>
      <c r="BM419" t="s">
        <v>4627</v>
      </c>
    </row>
    <row r="420" spans="1:65">
      <c r="A420" s="1">
        <f>HYPERLINK("https://lsnyc.legalserver.org/matter/dynamic-profile/view/1879060","18-1879060")</f>
        <v>0</v>
      </c>
      <c r="B420" t="s">
        <v>75</v>
      </c>
      <c r="C420" t="s">
        <v>93</v>
      </c>
      <c r="D420" t="s">
        <v>256</v>
      </c>
      <c r="F420" t="s">
        <v>494</v>
      </c>
      <c r="G420" t="s">
        <v>1029</v>
      </c>
      <c r="H420" t="s">
        <v>1563</v>
      </c>
      <c r="I420" t="s">
        <v>1931</v>
      </c>
      <c r="J420" t="s">
        <v>2205</v>
      </c>
      <c r="K420">
        <v>11221</v>
      </c>
      <c r="N420" t="s">
        <v>2233</v>
      </c>
      <c r="O420" t="s">
        <v>2259</v>
      </c>
      <c r="Q420" t="s">
        <v>2946</v>
      </c>
      <c r="R420">
        <v>3</v>
      </c>
      <c r="S420">
        <v>2</v>
      </c>
      <c r="T420">
        <v>271.92</v>
      </c>
      <c r="W420">
        <v>80000</v>
      </c>
      <c r="X420" t="s">
        <v>3569</v>
      </c>
      <c r="Y420">
        <v>0</v>
      </c>
      <c r="AA420" t="s">
        <v>90</v>
      </c>
      <c r="AC420" t="s">
        <v>3942</v>
      </c>
      <c r="AD420" t="s">
        <v>4003</v>
      </c>
      <c r="AF420" t="s">
        <v>4058</v>
      </c>
      <c r="AH420" t="s">
        <v>4076</v>
      </c>
      <c r="AJ420" t="s">
        <v>3942</v>
      </c>
      <c r="AL420" t="s">
        <v>4087</v>
      </c>
      <c r="AM420" t="s">
        <v>2230</v>
      </c>
      <c r="AO420">
        <v>732</v>
      </c>
      <c r="AQ420">
        <v>13</v>
      </c>
      <c r="AS420" t="s">
        <v>4113</v>
      </c>
      <c r="AU420" t="s">
        <v>4128</v>
      </c>
      <c r="AW420">
        <v>25</v>
      </c>
      <c r="AY420" t="s">
        <v>4140</v>
      </c>
      <c r="BB420" t="s">
        <v>4154</v>
      </c>
      <c r="BF420" t="s">
        <v>4281</v>
      </c>
      <c r="BG420" t="s">
        <v>4421</v>
      </c>
      <c r="BM420" t="s">
        <v>4627</v>
      </c>
    </row>
    <row r="421" spans="1:65">
      <c r="A421" s="1">
        <f>HYPERLINK("https://lsnyc.legalserver.org/matter/dynamic-profile/view/1879059","18-1879059")</f>
        <v>0</v>
      </c>
      <c r="B421" t="s">
        <v>75</v>
      </c>
      <c r="C421" t="s">
        <v>93</v>
      </c>
      <c r="D421" t="s">
        <v>256</v>
      </c>
      <c r="F421" t="s">
        <v>494</v>
      </c>
      <c r="G421" t="s">
        <v>1029</v>
      </c>
      <c r="H421" t="s">
        <v>1563</v>
      </c>
      <c r="I421" t="s">
        <v>1931</v>
      </c>
      <c r="J421" t="s">
        <v>2205</v>
      </c>
      <c r="K421">
        <v>11221</v>
      </c>
      <c r="N421" t="s">
        <v>2233</v>
      </c>
      <c r="O421" t="s">
        <v>2259</v>
      </c>
      <c r="Q421" t="s">
        <v>2946</v>
      </c>
      <c r="R421">
        <v>3</v>
      </c>
      <c r="S421">
        <v>2</v>
      </c>
      <c r="T421">
        <v>271.92</v>
      </c>
      <c r="W421">
        <v>80000</v>
      </c>
      <c r="X421" t="s">
        <v>3569</v>
      </c>
      <c r="Y421">
        <v>0</v>
      </c>
      <c r="AA421" t="s">
        <v>90</v>
      </c>
      <c r="AC421" t="s">
        <v>3942</v>
      </c>
      <c r="AD421" t="s">
        <v>4000</v>
      </c>
      <c r="AF421" t="s">
        <v>4059</v>
      </c>
      <c r="AH421" t="s">
        <v>4078</v>
      </c>
      <c r="AJ421" t="s">
        <v>3942</v>
      </c>
      <c r="AL421" t="s">
        <v>4087</v>
      </c>
      <c r="AM421" t="s">
        <v>2230</v>
      </c>
      <c r="AO421">
        <v>732</v>
      </c>
      <c r="AQ421">
        <v>13</v>
      </c>
      <c r="AS421" t="s">
        <v>4113</v>
      </c>
      <c r="AU421" t="s">
        <v>4128</v>
      </c>
      <c r="AW421">
        <v>25</v>
      </c>
      <c r="AY421" t="s">
        <v>4140</v>
      </c>
      <c r="BB421" t="s">
        <v>4154</v>
      </c>
      <c r="BF421" t="s">
        <v>4281</v>
      </c>
      <c r="BM421" t="s">
        <v>4627</v>
      </c>
    </row>
    <row r="422" spans="1:65">
      <c r="A422" s="1">
        <f>HYPERLINK("https://lsnyc.legalserver.org/matter/dynamic-profile/view/1866845","18-1866845")</f>
        <v>0</v>
      </c>
      <c r="B422" t="s">
        <v>75</v>
      </c>
      <c r="C422" t="s">
        <v>93</v>
      </c>
      <c r="D422" t="s">
        <v>286</v>
      </c>
      <c r="F422" t="s">
        <v>674</v>
      </c>
      <c r="G422" t="s">
        <v>1208</v>
      </c>
      <c r="H422" t="s">
        <v>1700</v>
      </c>
      <c r="I422" t="s">
        <v>1948</v>
      </c>
      <c r="J422" t="s">
        <v>2205</v>
      </c>
      <c r="K422">
        <v>11212</v>
      </c>
      <c r="N422" t="s">
        <v>2233</v>
      </c>
      <c r="O422" t="s">
        <v>2465</v>
      </c>
      <c r="Q422" t="s">
        <v>3132</v>
      </c>
      <c r="R422">
        <v>2</v>
      </c>
      <c r="S422">
        <v>0</v>
      </c>
      <c r="T422">
        <v>482.65</v>
      </c>
      <c r="W422">
        <v>78382</v>
      </c>
      <c r="Y422">
        <v>0.25</v>
      </c>
      <c r="Z422" t="s">
        <v>286</v>
      </c>
      <c r="AA422" t="s">
        <v>75</v>
      </c>
      <c r="AC422" t="s">
        <v>3942</v>
      </c>
      <c r="AD422" t="s">
        <v>386</v>
      </c>
      <c r="AF422" t="s">
        <v>4054</v>
      </c>
      <c r="AH422" t="s">
        <v>4078</v>
      </c>
      <c r="AJ422" t="s">
        <v>3942</v>
      </c>
      <c r="AK422" t="s">
        <v>4084</v>
      </c>
      <c r="AM422" t="s">
        <v>2230</v>
      </c>
      <c r="AO422">
        <v>1120</v>
      </c>
      <c r="AQ422">
        <v>31</v>
      </c>
      <c r="AS422" t="s">
        <v>4113</v>
      </c>
      <c r="AT422" t="s">
        <v>4127</v>
      </c>
      <c r="AW422">
        <v>13</v>
      </c>
      <c r="AY422" t="s">
        <v>4140</v>
      </c>
      <c r="BB422" t="s">
        <v>4154</v>
      </c>
      <c r="BF422" t="s">
        <v>4281</v>
      </c>
      <c r="BM422" t="s">
        <v>4627</v>
      </c>
    </row>
    <row r="423" spans="1:65">
      <c r="A423" s="1">
        <f>HYPERLINK("https://lsnyc.legalserver.org/matter/dynamic-profile/view/1915079","19-1915079")</f>
        <v>0</v>
      </c>
      <c r="B423" t="s">
        <v>75</v>
      </c>
      <c r="C423" t="s">
        <v>93</v>
      </c>
      <c r="D423" t="s">
        <v>156</v>
      </c>
      <c r="F423" t="s">
        <v>520</v>
      </c>
      <c r="G423" t="s">
        <v>1245</v>
      </c>
      <c r="H423" t="s">
        <v>1698</v>
      </c>
      <c r="I423" t="s">
        <v>1925</v>
      </c>
      <c r="J423" t="s">
        <v>2205</v>
      </c>
      <c r="K423">
        <v>11213</v>
      </c>
      <c r="N423" t="s">
        <v>2233</v>
      </c>
      <c r="O423" t="s">
        <v>2511</v>
      </c>
      <c r="Q423" t="s">
        <v>3172</v>
      </c>
      <c r="R423">
        <v>3</v>
      </c>
      <c r="S423">
        <v>2</v>
      </c>
      <c r="T423">
        <v>267.82</v>
      </c>
      <c r="W423">
        <v>80800</v>
      </c>
      <c r="Y423">
        <v>1</v>
      </c>
      <c r="Z423" t="s">
        <v>173</v>
      </c>
      <c r="AA423" t="s">
        <v>90</v>
      </c>
      <c r="AC423" t="s">
        <v>3942</v>
      </c>
      <c r="AD423" t="s">
        <v>173</v>
      </c>
      <c r="AF423" t="s">
        <v>4054</v>
      </c>
      <c r="AH423" t="s">
        <v>4081</v>
      </c>
      <c r="AJ423" t="s">
        <v>3943</v>
      </c>
      <c r="AL423" t="s">
        <v>4089</v>
      </c>
      <c r="AM423" t="s">
        <v>2230</v>
      </c>
      <c r="AN423" t="s">
        <v>4107</v>
      </c>
      <c r="AO423">
        <v>0</v>
      </c>
      <c r="AQ423">
        <v>19</v>
      </c>
      <c r="AS423" t="s">
        <v>4113</v>
      </c>
      <c r="AU423" t="s">
        <v>4128</v>
      </c>
      <c r="AV423" t="s">
        <v>4137</v>
      </c>
      <c r="AW423">
        <v>0</v>
      </c>
      <c r="AY423" t="s">
        <v>4140</v>
      </c>
      <c r="BA423" t="s">
        <v>4149</v>
      </c>
      <c r="BC423" t="s">
        <v>4155</v>
      </c>
      <c r="BE423" t="s">
        <v>4159</v>
      </c>
      <c r="BF423" t="s">
        <v>4281</v>
      </c>
      <c r="BG423" t="s">
        <v>4327</v>
      </c>
      <c r="BM423" t="s">
        <v>4627</v>
      </c>
    </row>
    <row r="424" spans="1:65">
      <c r="A424" s="1">
        <f>HYPERLINK("https://lsnyc.legalserver.org/matter/dynamic-profile/view/1905794","19-1905794")</f>
        <v>0</v>
      </c>
      <c r="B424" t="s">
        <v>75</v>
      </c>
      <c r="C424" t="s">
        <v>93</v>
      </c>
      <c r="D424" t="s">
        <v>154</v>
      </c>
      <c r="F424" t="s">
        <v>511</v>
      </c>
      <c r="G424" t="s">
        <v>1044</v>
      </c>
      <c r="H424" t="s">
        <v>1563</v>
      </c>
      <c r="I424" t="s">
        <v>1939</v>
      </c>
      <c r="J424" t="s">
        <v>2205</v>
      </c>
      <c r="K424">
        <v>11221</v>
      </c>
      <c r="N424" t="s">
        <v>2233</v>
      </c>
      <c r="O424" t="s">
        <v>2276</v>
      </c>
      <c r="Q424" t="s">
        <v>2960</v>
      </c>
      <c r="R424">
        <v>1</v>
      </c>
      <c r="S424">
        <v>1</v>
      </c>
      <c r="T424">
        <v>266.11</v>
      </c>
      <c r="W424">
        <v>45000</v>
      </c>
      <c r="X424" t="s">
        <v>3570</v>
      </c>
      <c r="Y424">
        <v>0</v>
      </c>
      <c r="AA424" t="s">
        <v>70</v>
      </c>
      <c r="AC424" t="s">
        <v>3942</v>
      </c>
      <c r="AD424" t="s">
        <v>404</v>
      </c>
      <c r="AF424" t="s">
        <v>4054</v>
      </c>
      <c r="AH424" t="s">
        <v>3510</v>
      </c>
      <c r="AJ424" t="s">
        <v>3942</v>
      </c>
      <c r="AL424" t="s">
        <v>4070</v>
      </c>
      <c r="AM424" t="s">
        <v>2230</v>
      </c>
      <c r="AO424">
        <v>863.91</v>
      </c>
      <c r="AQ424">
        <v>16</v>
      </c>
      <c r="AS424" t="s">
        <v>4113</v>
      </c>
      <c r="AU424" t="s">
        <v>4128</v>
      </c>
      <c r="AW424">
        <v>25</v>
      </c>
      <c r="AY424" t="s">
        <v>4140</v>
      </c>
      <c r="BA424" t="s">
        <v>4149</v>
      </c>
      <c r="BC424" t="s">
        <v>4155</v>
      </c>
      <c r="BE424" t="s">
        <v>4128</v>
      </c>
      <c r="BF424" t="s">
        <v>4281</v>
      </c>
      <c r="BG424" t="s">
        <v>4054</v>
      </c>
      <c r="BM424" t="s">
        <v>4627</v>
      </c>
    </row>
    <row r="425" spans="1:65">
      <c r="A425" s="1">
        <f>HYPERLINK("https://lsnyc.legalserver.org/matter/dynamic-profile/view/1904256","19-1904256")</f>
        <v>0</v>
      </c>
      <c r="B425" t="s">
        <v>75</v>
      </c>
      <c r="C425" t="s">
        <v>93</v>
      </c>
      <c r="D425" t="s">
        <v>249</v>
      </c>
      <c r="F425" t="s">
        <v>494</v>
      </c>
      <c r="G425" t="s">
        <v>1029</v>
      </c>
      <c r="H425" t="s">
        <v>1563</v>
      </c>
      <c r="I425" t="s">
        <v>1931</v>
      </c>
      <c r="J425" t="s">
        <v>2205</v>
      </c>
      <c r="K425">
        <v>11221</v>
      </c>
      <c r="N425" t="s">
        <v>2236</v>
      </c>
      <c r="O425" t="s">
        <v>2259</v>
      </c>
      <c r="Q425" t="s">
        <v>2946</v>
      </c>
      <c r="R425">
        <v>3</v>
      </c>
      <c r="S425">
        <v>2</v>
      </c>
      <c r="T425">
        <v>265.16</v>
      </c>
      <c r="W425">
        <v>80000</v>
      </c>
      <c r="Y425">
        <v>0</v>
      </c>
      <c r="AA425" t="s">
        <v>90</v>
      </c>
      <c r="AB425" t="s">
        <v>3941</v>
      </c>
      <c r="AC425" t="s">
        <v>3943</v>
      </c>
      <c r="AD425" t="s">
        <v>168</v>
      </c>
      <c r="AF425" t="s">
        <v>4061</v>
      </c>
      <c r="AH425" t="s">
        <v>3510</v>
      </c>
      <c r="AJ425" t="s">
        <v>3942</v>
      </c>
      <c r="AL425" t="s">
        <v>4087</v>
      </c>
      <c r="AM425" t="s">
        <v>2230</v>
      </c>
      <c r="AO425">
        <v>732</v>
      </c>
      <c r="AQ425">
        <v>13</v>
      </c>
      <c r="AS425" t="s">
        <v>4113</v>
      </c>
      <c r="AU425" t="s">
        <v>4128</v>
      </c>
      <c r="AW425">
        <v>25</v>
      </c>
      <c r="AY425" t="s">
        <v>4140</v>
      </c>
      <c r="BA425" t="s">
        <v>4149</v>
      </c>
      <c r="BB425" t="s">
        <v>4154</v>
      </c>
      <c r="BC425" t="s">
        <v>4128</v>
      </c>
      <c r="BE425" t="s">
        <v>4128</v>
      </c>
      <c r="BF425" t="s">
        <v>4281</v>
      </c>
      <c r="BG425" t="s">
        <v>4303</v>
      </c>
      <c r="BM425" t="s">
        <v>4627</v>
      </c>
    </row>
    <row r="426" spans="1:65">
      <c r="A426" s="1">
        <f>HYPERLINK("https://lsnyc.legalserver.org/matter/dynamic-profile/view/1856001","18-1856001")</f>
        <v>0</v>
      </c>
      <c r="B426" t="s">
        <v>75</v>
      </c>
      <c r="C426" t="s">
        <v>93</v>
      </c>
      <c r="D426" t="s">
        <v>287</v>
      </c>
      <c r="F426" t="s">
        <v>710</v>
      </c>
      <c r="G426" t="s">
        <v>1246</v>
      </c>
      <c r="H426" t="s">
        <v>1695</v>
      </c>
      <c r="I426" t="s">
        <v>1968</v>
      </c>
      <c r="J426" t="s">
        <v>2205</v>
      </c>
      <c r="K426">
        <v>11206</v>
      </c>
      <c r="N426" t="s">
        <v>2233</v>
      </c>
      <c r="O426" t="s">
        <v>2512</v>
      </c>
      <c r="Q426" t="s">
        <v>3173</v>
      </c>
      <c r="R426">
        <v>2</v>
      </c>
      <c r="S426">
        <v>1</v>
      </c>
      <c r="T426">
        <v>264.45</v>
      </c>
      <c r="U426" t="s">
        <v>3447</v>
      </c>
      <c r="W426">
        <v>54000</v>
      </c>
      <c r="Y426">
        <v>0</v>
      </c>
      <c r="AA426" t="s">
        <v>90</v>
      </c>
      <c r="AC426" t="s">
        <v>3942</v>
      </c>
      <c r="AD426" t="s">
        <v>3860</v>
      </c>
      <c r="AF426" t="s">
        <v>4059</v>
      </c>
      <c r="AH426" t="s">
        <v>4078</v>
      </c>
      <c r="AJ426" t="s">
        <v>3942</v>
      </c>
      <c r="AL426" t="s">
        <v>4089</v>
      </c>
      <c r="AM426" t="s">
        <v>2230</v>
      </c>
      <c r="AO426">
        <v>435</v>
      </c>
      <c r="AQ426">
        <v>29</v>
      </c>
      <c r="AS426" t="s">
        <v>4113</v>
      </c>
      <c r="AU426" t="s">
        <v>4128</v>
      </c>
      <c r="AW426">
        <v>7</v>
      </c>
      <c r="AY426" t="s">
        <v>4140</v>
      </c>
      <c r="BB426" t="s">
        <v>4154</v>
      </c>
      <c r="BG426" t="s">
        <v>4424</v>
      </c>
      <c r="BM426" t="s">
        <v>4627</v>
      </c>
    </row>
    <row r="427" spans="1:65">
      <c r="A427" s="1">
        <f>HYPERLINK("https://lsnyc.legalserver.org/matter/dynamic-profile/view/1904004","19-1904004")</f>
        <v>0</v>
      </c>
      <c r="B427" t="s">
        <v>75</v>
      </c>
      <c r="C427" t="s">
        <v>93</v>
      </c>
      <c r="D427" t="s">
        <v>148</v>
      </c>
      <c r="F427" t="s">
        <v>691</v>
      </c>
      <c r="G427" t="s">
        <v>1229</v>
      </c>
      <c r="H427" t="s">
        <v>1698</v>
      </c>
      <c r="I427" t="s">
        <v>1931</v>
      </c>
      <c r="J427" t="s">
        <v>2205</v>
      </c>
      <c r="K427">
        <v>11213</v>
      </c>
      <c r="N427" t="s">
        <v>2236</v>
      </c>
      <c r="O427" t="s">
        <v>2490</v>
      </c>
      <c r="Q427" t="s">
        <v>3155</v>
      </c>
      <c r="R427">
        <v>3</v>
      </c>
      <c r="S427">
        <v>0</v>
      </c>
      <c r="T427">
        <v>48.76</v>
      </c>
      <c r="W427">
        <v>10400</v>
      </c>
      <c r="X427" t="s">
        <v>3571</v>
      </c>
      <c r="Y427">
        <v>0</v>
      </c>
      <c r="AA427" t="s">
        <v>70</v>
      </c>
      <c r="AC427" t="s">
        <v>3942</v>
      </c>
      <c r="AD427" t="s">
        <v>168</v>
      </c>
      <c r="AF427" t="s">
        <v>4061</v>
      </c>
      <c r="AH427" t="s">
        <v>3510</v>
      </c>
      <c r="AJ427" t="s">
        <v>3942</v>
      </c>
      <c r="AL427" t="s">
        <v>4100</v>
      </c>
      <c r="AM427" t="s">
        <v>2230</v>
      </c>
      <c r="AO427">
        <v>412</v>
      </c>
      <c r="AQ427">
        <v>19</v>
      </c>
      <c r="AS427" t="s">
        <v>4113</v>
      </c>
      <c r="AU427" t="s">
        <v>4128</v>
      </c>
      <c r="AW427">
        <v>12</v>
      </c>
      <c r="AY427" t="s">
        <v>4140</v>
      </c>
      <c r="BA427" t="s">
        <v>4149</v>
      </c>
      <c r="BC427" t="s">
        <v>4155</v>
      </c>
      <c r="BF427" t="s">
        <v>4281</v>
      </c>
      <c r="BG427" t="s">
        <v>4128</v>
      </c>
      <c r="BM427" t="s">
        <v>4627</v>
      </c>
    </row>
    <row r="428" spans="1:65">
      <c r="A428" s="1">
        <f>HYPERLINK("https://lsnyc.legalserver.org/matter/dynamic-profile/view/1885019","18-1885019")</f>
        <v>0</v>
      </c>
      <c r="B428" t="s">
        <v>75</v>
      </c>
      <c r="C428" t="s">
        <v>93</v>
      </c>
      <c r="D428" t="s">
        <v>253</v>
      </c>
      <c r="F428" t="s">
        <v>560</v>
      </c>
      <c r="G428" t="s">
        <v>1236</v>
      </c>
      <c r="H428" t="s">
        <v>1698</v>
      </c>
      <c r="I428" t="s">
        <v>1948</v>
      </c>
      <c r="J428" t="s">
        <v>2205</v>
      </c>
      <c r="K428">
        <v>11213</v>
      </c>
      <c r="N428" t="s">
        <v>2233</v>
      </c>
      <c r="O428" t="s">
        <v>2499</v>
      </c>
      <c r="Q428" t="s">
        <v>3162</v>
      </c>
      <c r="R428">
        <v>2</v>
      </c>
      <c r="S428">
        <v>1</v>
      </c>
      <c r="T428">
        <v>240.62</v>
      </c>
      <c r="U428" t="s">
        <v>3451</v>
      </c>
      <c r="V428" t="s">
        <v>3458</v>
      </c>
      <c r="W428">
        <v>50000</v>
      </c>
      <c r="Y428">
        <v>0</v>
      </c>
      <c r="AA428" t="s">
        <v>70</v>
      </c>
      <c r="AC428" t="s">
        <v>3942</v>
      </c>
      <c r="AD428" t="s">
        <v>3995</v>
      </c>
      <c r="AF428" t="s">
        <v>4059</v>
      </c>
      <c r="AH428" t="s">
        <v>4078</v>
      </c>
      <c r="AJ428" t="s">
        <v>3942</v>
      </c>
      <c r="AL428" t="s">
        <v>4100</v>
      </c>
      <c r="AM428" t="s">
        <v>2230</v>
      </c>
      <c r="AO428">
        <v>693</v>
      </c>
      <c r="AQ428">
        <v>19</v>
      </c>
      <c r="AS428" t="s">
        <v>4113</v>
      </c>
      <c r="AU428" t="s">
        <v>4128</v>
      </c>
      <c r="AW428">
        <v>20</v>
      </c>
      <c r="AY428" t="s">
        <v>4140</v>
      </c>
      <c r="BB428" t="s">
        <v>4154</v>
      </c>
      <c r="BF428" t="s">
        <v>4281</v>
      </c>
      <c r="BM428" t="s">
        <v>4627</v>
      </c>
    </row>
    <row r="429" spans="1:65">
      <c r="A429" s="1">
        <f>HYPERLINK("https://lsnyc.legalserver.org/matter/dynamic-profile/view/0830073","17-0830073")</f>
        <v>0</v>
      </c>
      <c r="B429" t="s">
        <v>75</v>
      </c>
      <c r="C429" t="s">
        <v>93</v>
      </c>
      <c r="D429" t="s">
        <v>264</v>
      </c>
      <c r="F429" t="s">
        <v>687</v>
      </c>
      <c r="G429" t="s">
        <v>1223</v>
      </c>
      <c r="H429" t="s">
        <v>1700</v>
      </c>
      <c r="I429" t="s">
        <v>1959</v>
      </c>
      <c r="J429" t="s">
        <v>2205</v>
      </c>
      <c r="K429">
        <v>11212</v>
      </c>
      <c r="N429" t="s">
        <v>2233</v>
      </c>
      <c r="O429" t="s">
        <v>2485</v>
      </c>
      <c r="Q429" t="s">
        <v>3151</v>
      </c>
      <c r="R429">
        <v>2</v>
      </c>
      <c r="S429">
        <v>0</v>
      </c>
      <c r="T429">
        <v>61.55</v>
      </c>
      <c r="W429">
        <v>9996</v>
      </c>
      <c r="Y429">
        <v>0.25</v>
      </c>
      <c r="Z429" t="s">
        <v>3845</v>
      </c>
      <c r="AA429" t="s">
        <v>75</v>
      </c>
      <c r="AC429" t="s">
        <v>3942</v>
      </c>
      <c r="AD429" t="s">
        <v>264</v>
      </c>
      <c r="AF429" t="s">
        <v>4054</v>
      </c>
      <c r="AH429" t="s">
        <v>3510</v>
      </c>
      <c r="AJ429" t="s">
        <v>3942</v>
      </c>
      <c r="AL429" t="s">
        <v>4070</v>
      </c>
      <c r="AM429" t="s">
        <v>2230</v>
      </c>
      <c r="AO429">
        <v>840</v>
      </c>
      <c r="AQ429">
        <v>32</v>
      </c>
      <c r="AS429" t="s">
        <v>4113</v>
      </c>
      <c r="AT429" t="s">
        <v>4127</v>
      </c>
      <c r="AW429">
        <v>19</v>
      </c>
      <c r="AY429" t="s">
        <v>4140</v>
      </c>
      <c r="BB429" t="s">
        <v>4154</v>
      </c>
      <c r="BG429" t="s">
        <v>4423</v>
      </c>
      <c r="BM429" t="s">
        <v>4627</v>
      </c>
    </row>
    <row r="430" spans="1:65">
      <c r="A430" s="1">
        <f>HYPERLINK("https://lsnyc.legalserver.org/matter/dynamic-profile/view/1905871","19-1905871")</f>
        <v>0</v>
      </c>
      <c r="B430" t="s">
        <v>75</v>
      </c>
      <c r="C430" t="s">
        <v>93</v>
      </c>
      <c r="D430" t="s">
        <v>142</v>
      </c>
      <c r="F430" t="s">
        <v>693</v>
      </c>
      <c r="G430" t="s">
        <v>1059</v>
      </c>
      <c r="H430" t="s">
        <v>1663</v>
      </c>
      <c r="I430" t="s">
        <v>1950</v>
      </c>
      <c r="J430" t="s">
        <v>2205</v>
      </c>
      <c r="K430">
        <v>11213</v>
      </c>
      <c r="N430" t="s">
        <v>2233</v>
      </c>
      <c r="O430" t="s">
        <v>2492</v>
      </c>
      <c r="P430" t="s">
        <v>2930</v>
      </c>
      <c r="R430">
        <v>1</v>
      </c>
      <c r="S430">
        <v>1</v>
      </c>
      <c r="T430">
        <v>52.58</v>
      </c>
      <c r="W430">
        <v>8892</v>
      </c>
      <c r="Y430">
        <v>0</v>
      </c>
      <c r="AA430" t="s">
        <v>90</v>
      </c>
      <c r="AC430" t="s">
        <v>3942</v>
      </c>
      <c r="AD430" t="s">
        <v>404</v>
      </c>
      <c r="AF430" t="s">
        <v>4061</v>
      </c>
      <c r="AH430" t="s">
        <v>3510</v>
      </c>
      <c r="AJ430" t="s">
        <v>3942</v>
      </c>
      <c r="AL430" t="s">
        <v>4086</v>
      </c>
      <c r="AM430" t="s">
        <v>2230</v>
      </c>
      <c r="AO430">
        <v>855.86</v>
      </c>
      <c r="AQ430">
        <v>6</v>
      </c>
      <c r="AS430" t="s">
        <v>4113</v>
      </c>
      <c r="AU430" t="s">
        <v>4128</v>
      </c>
      <c r="AW430">
        <v>26</v>
      </c>
      <c r="AY430" t="s">
        <v>4140</v>
      </c>
      <c r="BA430" t="s">
        <v>4149</v>
      </c>
      <c r="BC430" t="s">
        <v>4155</v>
      </c>
      <c r="BE430" t="s">
        <v>4128</v>
      </c>
      <c r="BF430" t="s">
        <v>4281</v>
      </c>
      <c r="BG430" t="s">
        <v>4159</v>
      </c>
      <c r="BM430" t="s">
        <v>4627</v>
      </c>
    </row>
    <row r="431" spans="1:65">
      <c r="A431" s="1">
        <f>HYPERLINK("https://lsnyc.legalserver.org/matter/dynamic-profile/view/1855010","18-1855010")</f>
        <v>0</v>
      </c>
      <c r="B431" t="s">
        <v>75</v>
      </c>
      <c r="C431" t="s">
        <v>93</v>
      </c>
      <c r="D431" t="s">
        <v>288</v>
      </c>
      <c r="F431" t="s">
        <v>537</v>
      </c>
      <c r="G431" t="s">
        <v>1247</v>
      </c>
      <c r="H431" t="s">
        <v>1697</v>
      </c>
      <c r="I431" t="s">
        <v>2031</v>
      </c>
      <c r="J431" t="s">
        <v>2205</v>
      </c>
      <c r="K431">
        <v>11206</v>
      </c>
      <c r="N431" t="s">
        <v>2233</v>
      </c>
      <c r="O431" t="s">
        <v>2513</v>
      </c>
      <c r="Q431" t="s">
        <v>3174</v>
      </c>
      <c r="R431">
        <v>1</v>
      </c>
      <c r="S431">
        <v>0</v>
      </c>
      <c r="T431">
        <v>228.86</v>
      </c>
      <c r="W431">
        <v>27600</v>
      </c>
      <c r="Y431">
        <v>0.5</v>
      </c>
      <c r="Z431" t="s">
        <v>3846</v>
      </c>
      <c r="AA431" t="s">
        <v>90</v>
      </c>
      <c r="AC431" t="s">
        <v>3942</v>
      </c>
      <c r="AD431" t="s">
        <v>3947</v>
      </c>
      <c r="AF431" t="s">
        <v>4058</v>
      </c>
      <c r="AH431" t="s">
        <v>4076</v>
      </c>
      <c r="AI431" t="s">
        <v>4082</v>
      </c>
      <c r="AL431" t="s">
        <v>4087</v>
      </c>
      <c r="AM431" t="s">
        <v>2230</v>
      </c>
      <c r="AO431">
        <v>572.7</v>
      </c>
      <c r="AQ431">
        <v>11</v>
      </c>
      <c r="AS431" t="s">
        <v>4113</v>
      </c>
      <c r="AU431" t="s">
        <v>4128</v>
      </c>
      <c r="AW431">
        <v>26</v>
      </c>
      <c r="AY431" t="s">
        <v>4140</v>
      </c>
      <c r="BB431" t="s">
        <v>4154</v>
      </c>
      <c r="BF431" t="s">
        <v>4281</v>
      </c>
      <c r="BM431" t="s">
        <v>4627</v>
      </c>
    </row>
    <row r="432" spans="1:65">
      <c r="A432" s="1">
        <f>HYPERLINK("https://lsnyc.legalserver.org/matter/dynamic-profile/view/1872527","18-1872527")</f>
        <v>0</v>
      </c>
      <c r="B432" t="s">
        <v>75</v>
      </c>
      <c r="C432" t="s">
        <v>93</v>
      </c>
      <c r="D432" t="s">
        <v>289</v>
      </c>
      <c r="F432" t="s">
        <v>711</v>
      </c>
      <c r="G432" t="s">
        <v>1248</v>
      </c>
      <c r="H432" t="s">
        <v>1696</v>
      </c>
      <c r="I432" t="s">
        <v>2032</v>
      </c>
      <c r="J432" t="s">
        <v>2205</v>
      </c>
      <c r="K432">
        <v>11225</v>
      </c>
      <c r="N432" t="s">
        <v>2233</v>
      </c>
      <c r="O432" t="s">
        <v>2514</v>
      </c>
      <c r="Q432" t="s">
        <v>3175</v>
      </c>
      <c r="R432">
        <v>2</v>
      </c>
      <c r="S432">
        <v>0</v>
      </c>
      <c r="T432">
        <v>65.83</v>
      </c>
      <c r="W432">
        <v>10836</v>
      </c>
      <c r="Y432">
        <v>0</v>
      </c>
      <c r="AA432" t="s">
        <v>90</v>
      </c>
      <c r="AC432" t="s">
        <v>3942</v>
      </c>
      <c r="AD432" t="s">
        <v>3982</v>
      </c>
      <c r="AF432" t="s">
        <v>4061</v>
      </c>
      <c r="AH432" t="s">
        <v>3510</v>
      </c>
      <c r="AJ432" t="s">
        <v>3942</v>
      </c>
      <c r="AL432" t="s">
        <v>4089</v>
      </c>
      <c r="AM432" t="s">
        <v>2230</v>
      </c>
      <c r="AO432">
        <v>432.05</v>
      </c>
      <c r="AQ432">
        <v>89</v>
      </c>
      <c r="AS432" t="s">
        <v>4113</v>
      </c>
      <c r="AU432" t="s">
        <v>4134</v>
      </c>
      <c r="AW432">
        <v>34</v>
      </c>
      <c r="AY432" t="s">
        <v>4140</v>
      </c>
      <c r="BB432" t="s">
        <v>4154</v>
      </c>
      <c r="BE432" t="s">
        <v>4163</v>
      </c>
      <c r="BF432" t="s">
        <v>4281</v>
      </c>
      <c r="BM432" t="s">
        <v>4627</v>
      </c>
    </row>
    <row r="433" spans="1:65">
      <c r="A433" s="1">
        <f>HYPERLINK("https://lsnyc.legalserver.org/matter/dynamic-profile/view/1905764","19-1905764")</f>
        <v>0</v>
      </c>
      <c r="B433" t="s">
        <v>75</v>
      </c>
      <c r="C433" t="s">
        <v>93</v>
      </c>
      <c r="D433" t="s">
        <v>154</v>
      </c>
      <c r="F433" t="s">
        <v>514</v>
      </c>
      <c r="G433" t="s">
        <v>1047</v>
      </c>
      <c r="H433" t="s">
        <v>1586</v>
      </c>
      <c r="I433" t="s">
        <v>1921</v>
      </c>
      <c r="J433" t="s">
        <v>2205</v>
      </c>
      <c r="K433">
        <v>11221</v>
      </c>
      <c r="N433" t="s">
        <v>2233</v>
      </c>
      <c r="O433" t="s">
        <v>2279</v>
      </c>
      <c r="Q433" t="s">
        <v>2962</v>
      </c>
      <c r="R433">
        <v>3</v>
      </c>
      <c r="S433">
        <v>2</v>
      </c>
      <c r="T433">
        <v>229.11</v>
      </c>
      <c r="W433">
        <v>69122</v>
      </c>
      <c r="X433" t="s">
        <v>3572</v>
      </c>
      <c r="Y433">
        <v>0</v>
      </c>
      <c r="AA433" t="s">
        <v>70</v>
      </c>
      <c r="AC433" t="s">
        <v>3942</v>
      </c>
      <c r="AD433" t="s">
        <v>404</v>
      </c>
      <c r="AF433" t="s">
        <v>4054</v>
      </c>
      <c r="AH433" t="s">
        <v>3510</v>
      </c>
      <c r="AJ433" t="s">
        <v>3942</v>
      </c>
      <c r="AL433" t="s">
        <v>4070</v>
      </c>
      <c r="AM433" t="s">
        <v>2230</v>
      </c>
      <c r="AO433">
        <v>757</v>
      </c>
      <c r="AQ433">
        <v>16</v>
      </c>
      <c r="AS433" t="s">
        <v>4113</v>
      </c>
      <c r="AU433" t="s">
        <v>4128</v>
      </c>
      <c r="AW433">
        <v>27</v>
      </c>
      <c r="AY433" t="s">
        <v>4140</v>
      </c>
      <c r="BA433" t="s">
        <v>4149</v>
      </c>
      <c r="BC433" t="s">
        <v>4155</v>
      </c>
      <c r="BE433" t="s">
        <v>4128</v>
      </c>
      <c r="BF433" t="s">
        <v>4281</v>
      </c>
      <c r="BG433" t="s">
        <v>4054</v>
      </c>
      <c r="BM433" t="s">
        <v>4627</v>
      </c>
    </row>
    <row r="434" spans="1:65">
      <c r="A434" s="1">
        <f>HYPERLINK("https://lsnyc.legalserver.org/matter/dynamic-profile/view/1905757","19-1905757")</f>
        <v>0</v>
      </c>
      <c r="B434" t="s">
        <v>75</v>
      </c>
      <c r="C434" t="s">
        <v>93</v>
      </c>
      <c r="D434" t="s">
        <v>154</v>
      </c>
      <c r="F434" t="s">
        <v>517</v>
      </c>
      <c r="G434" t="s">
        <v>1049</v>
      </c>
      <c r="H434" t="s">
        <v>1558</v>
      </c>
      <c r="I434" t="s">
        <v>1939</v>
      </c>
      <c r="J434" t="s">
        <v>2205</v>
      </c>
      <c r="K434">
        <v>11221</v>
      </c>
      <c r="N434" t="s">
        <v>2233</v>
      </c>
      <c r="O434" t="s">
        <v>2282</v>
      </c>
      <c r="Q434" t="s">
        <v>2964</v>
      </c>
      <c r="R434">
        <v>1</v>
      </c>
      <c r="S434">
        <v>0</v>
      </c>
      <c r="T434">
        <v>72.86</v>
      </c>
      <c r="W434">
        <v>9100</v>
      </c>
      <c r="X434" t="s">
        <v>3573</v>
      </c>
      <c r="Y434">
        <v>0</v>
      </c>
      <c r="AA434" t="s">
        <v>70</v>
      </c>
      <c r="AC434" t="s">
        <v>3942</v>
      </c>
      <c r="AD434" t="s">
        <v>404</v>
      </c>
      <c r="AF434" t="s">
        <v>4054</v>
      </c>
      <c r="AH434" t="s">
        <v>3510</v>
      </c>
      <c r="AJ434" t="s">
        <v>3942</v>
      </c>
      <c r="AL434" t="s">
        <v>4087</v>
      </c>
      <c r="AM434" t="s">
        <v>2230</v>
      </c>
      <c r="AO434">
        <v>793</v>
      </c>
      <c r="AQ434">
        <v>12</v>
      </c>
      <c r="AS434" t="s">
        <v>4113</v>
      </c>
      <c r="AU434" t="s">
        <v>4128</v>
      </c>
      <c r="AW434">
        <v>15</v>
      </c>
      <c r="AY434" t="s">
        <v>4140</v>
      </c>
      <c r="BA434" t="s">
        <v>4149</v>
      </c>
      <c r="BC434" t="s">
        <v>4155</v>
      </c>
      <c r="BE434" t="s">
        <v>4128</v>
      </c>
      <c r="BF434" t="s">
        <v>4281</v>
      </c>
      <c r="BG434" t="s">
        <v>4054</v>
      </c>
      <c r="BM434" t="s">
        <v>4627</v>
      </c>
    </row>
    <row r="435" spans="1:65">
      <c r="A435" s="1">
        <f>HYPERLINK("https://lsnyc.legalserver.org/matter/dynamic-profile/view/1904273","19-1904273")</f>
        <v>0</v>
      </c>
      <c r="B435" t="s">
        <v>75</v>
      </c>
      <c r="C435" t="s">
        <v>93</v>
      </c>
      <c r="D435" t="s">
        <v>249</v>
      </c>
      <c r="F435" t="s">
        <v>517</v>
      </c>
      <c r="G435" t="s">
        <v>1049</v>
      </c>
      <c r="H435" t="s">
        <v>1558</v>
      </c>
      <c r="I435" t="s">
        <v>1939</v>
      </c>
      <c r="J435" t="s">
        <v>2205</v>
      </c>
      <c r="K435">
        <v>11221</v>
      </c>
      <c r="N435" t="s">
        <v>2236</v>
      </c>
      <c r="O435" t="s">
        <v>2282</v>
      </c>
      <c r="Q435" t="s">
        <v>2964</v>
      </c>
      <c r="R435">
        <v>1</v>
      </c>
      <c r="S435">
        <v>0</v>
      </c>
      <c r="T435">
        <v>72.86</v>
      </c>
      <c r="W435">
        <v>9100</v>
      </c>
      <c r="X435" t="s">
        <v>3471</v>
      </c>
      <c r="Y435">
        <v>0</v>
      </c>
      <c r="AA435" t="s">
        <v>90</v>
      </c>
      <c r="AC435" t="s">
        <v>3942</v>
      </c>
      <c r="AD435" t="s">
        <v>168</v>
      </c>
      <c r="AF435" t="s">
        <v>4061</v>
      </c>
      <c r="AH435" t="s">
        <v>3510</v>
      </c>
      <c r="AJ435" t="s">
        <v>3942</v>
      </c>
      <c r="AL435" t="s">
        <v>4087</v>
      </c>
      <c r="AM435" t="s">
        <v>2230</v>
      </c>
      <c r="AO435">
        <v>793</v>
      </c>
      <c r="AQ435">
        <v>12</v>
      </c>
      <c r="AS435" t="s">
        <v>4113</v>
      </c>
      <c r="AU435" t="s">
        <v>4128</v>
      </c>
      <c r="AW435">
        <v>15</v>
      </c>
      <c r="AY435" t="s">
        <v>4140</v>
      </c>
      <c r="BA435" t="s">
        <v>4149</v>
      </c>
      <c r="BC435" t="s">
        <v>4155</v>
      </c>
      <c r="BE435" t="s">
        <v>4159</v>
      </c>
      <c r="BF435" t="s">
        <v>4281</v>
      </c>
      <c r="BG435" t="s">
        <v>4303</v>
      </c>
      <c r="BM435" t="s">
        <v>4627</v>
      </c>
    </row>
    <row r="436" spans="1:65">
      <c r="A436" s="1">
        <f>HYPERLINK("https://lsnyc.legalserver.org/matter/dynamic-profile/view/1871730","18-1871730")</f>
        <v>0</v>
      </c>
      <c r="B436" t="s">
        <v>75</v>
      </c>
      <c r="C436" t="s">
        <v>93</v>
      </c>
      <c r="D436" t="s">
        <v>270</v>
      </c>
      <c r="F436" t="s">
        <v>524</v>
      </c>
      <c r="G436" t="s">
        <v>1089</v>
      </c>
      <c r="H436" t="s">
        <v>1697</v>
      </c>
      <c r="I436" t="s">
        <v>1930</v>
      </c>
      <c r="J436" t="s">
        <v>2205</v>
      </c>
      <c r="K436">
        <v>11206</v>
      </c>
      <c r="N436" t="s">
        <v>2233</v>
      </c>
      <c r="O436" t="s">
        <v>2515</v>
      </c>
      <c r="Q436" t="s">
        <v>3176</v>
      </c>
      <c r="R436">
        <v>2</v>
      </c>
      <c r="S436">
        <v>0</v>
      </c>
      <c r="T436">
        <v>62.11</v>
      </c>
      <c r="W436">
        <v>10224</v>
      </c>
      <c r="X436" t="s">
        <v>3473</v>
      </c>
      <c r="Y436">
        <v>0</v>
      </c>
      <c r="AA436" t="s">
        <v>3913</v>
      </c>
      <c r="AC436" t="s">
        <v>3942</v>
      </c>
      <c r="AD436" t="s">
        <v>3987</v>
      </c>
      <c r="AF436" t="s">
        <v>4059</v>
      </c>
      <c r="AH436" t="s">
        <v>4078</v>
      </c>
      <c r="AJ436" t="s">
        <v>3942</v>
      </c>
      <c r="AK436" t="s">
        <v>4084</v>
      </c>
      <c r="AM436" t="s">
        <v>2230</v>
      </c>
      <c r="AO436">
        <v>1283</v>
      </c>
      <c r="AQ436">
        <v>29</v>
      </c>
      <c r="AS436" t="s">
        <v>4113</v>
      </c>
      <c r="AU436" t="s">
        <v>4132</v>
      </c>
      <c r="AW436">
        <v>2</v>
      </c>
      <c r="AY436" t="s">
        <v>4140</v>
      </c>
      <c r="BB436" t="s">
        <v>4154</v>
      </c>
      <c r="BG436" t="s">
        <v>4417</v>
      </c>
      <c r="BM436" t="s">
        <v>4627</v>
      </c>
    </row>
    <row r="437" spans="1:65">
      <c r="A437" s="1">
        <f>HYPERLINK("https://lsnyc.legalserver.org/matter/dynamic-profile/view/1868231","18-1868231")</f>
        <v>0</v>
      </c>
      <c r="B437" t="s">
        <v>75</v>
      </c>
      <c r="C437" t="s">
        <v>93</v>
      </c>
      <c r="D437" t="s">
        <v>290</v>
      </c>
      <c r="F437" t="s">
        <v>712</v>
      </c>
      <c r="G437" t="s">
        <v>1249</v>
      </c>
      <c r="H437" t="s">
        <v>1703</v>
      </c>
      <c r="I437" t="s">
        <v>2033</v>
      </c>
      <c r="J437" t="s">
        <v>2205</v>
      </c>
      <c r="K437">
        <v>11211</v>
      </c>
      <c r="N437" t="s">
        <v>2233</v>
      </c>
      <c r="O437" t="s">
        <v>2516</v>
      </c>
      <c r="Q437" t="s">
        <v>3177</v>
      </c>
      <c r="R437">
        <v>2</v>
      </c>
      <c r="S437">
        <v>0</v>
      </c>
      <c r="T437">
        <v>74.12</v>
      </c>
      <c r="W437">
        <v>12200</v>
      </c>
      <c r="Y437">
        <v>17.51</v>
      </c>
      <c r="Z437" t="s">
        <v>157</v>
      </c>
      <c r="AA437" t="s">
        <v>3901</v>
      </c>
      <c r="AC437" t="s">
        <v>3942</v>
      </c>
      <c r="AD437" t="s">
        <v>290</v>
      </c>
      <c r="AE437" t="s">
        <v>4049</v>
      </c>
      <c r="AH437" t="s">
        <v>3510</v>
      </c>
      <c r="AI437" t="s">
        <v>4082</v>
      </c>
      <c r="AL437" t="s">
        <v>4099</v>
      </c>
      <c r="AM437" t="s">
        <v>2230</v>
      </c>
      <c r="AO437">
        <v>630</v>
      </c>
      <c r="AQ437">
        <v>20</v>
      </c>
      <c r="AS437" t="s">
        <v>4122</v>
      </c>
      <c r="AT437" t="s">
        <v>4127</v>
      </c>
      <c r="AW437">
        <v>35</v>
      </c>
      <c r="AY437" t="s">
        <v>4140</v>
      </c>
      <c r="BB437" t="s">
        <v>4154</v>
      </c>
      <c r="BF437" t="s">
        <v>4281</v>
      </c>
      <c r="BM437" t="s">
        <v>4627</v>
      </c>
    </row>
    <row r="438" spans="1:65">
      <c r="A438" s="1">
        <f>HYPERLINK("https://lsnyc.legalserver.org/matter/dynamic-profile/view/1887820","19-1887820")</f>
        <v>0</v>
      </c>
      <c r="B438" t="s">
        <v>75</v>
      </c>
      <c r="C438" t="s">
        <v>93</v>
      </c>
      <c r="D438" t="s">
        <v>208</v>
      </c>
      <c r="F438" t="s">
        <v>543</v>
      </c>
      <c r="G438" t="s">
        <v>1250</v>
      </c>
      <c r="H438" t="s">
        <v>1696</v>
      </c>
      <c r="I438" t="s">
        <v>2034</v>
      </c>
      <c r="J438" t="s">
        <v>2205</v>
      </c>
      <c r="K438">
        <v>11225</v>
      </c>
      <c r="N438" t="s">
        <v>2233</v>
      </c>
      <c r="O438" t="s">
        <v>2517</v>
      </c>
      <c r="Q438" t="s">
        <v>3178</v>
      </c>
      <c r="R438">
        <v>1</v>
      </c>
      <c r="S438">
        <v>0</v>
      </c>
      <c r="T438">
        <v>502.47</v>
      </c>
      <c r="W438">
        <v>61000</v>
      </c>
      <c r="Y438">
        <v>0</v>
      </c>
      <c r="AA438" t="s">
        <v>70</v>
      </c>
      <c r="AC438" t="s">
        <v>3942</v>
      </c>
      <c r="AD438" t="s">
        <v>3982</v>
      </c>
      <c r="AF438" t="s">
        <v>4059</v>
      </c>
      <c r="AH438" t="s">
        <v>4078</v>
      </c>
      <c r="AJ438" t="s">
        <v>3942</v>
      </c>
      <c r="AL438" t="s">
        <v>4089</v>
      </c>
      <c r="AM438" t="s">
        <v>2230</v>
      </c>
      <c r="AO438">
        <v>1552.37</v>
      </c>
      <c r="AQ438">
        <v>89</v>
      </c>
      <c r="AS438" t="s">
        <v>4113</v>
      </c>
      <c r="AU438" t="s">
        <v>4128</v>
      </c>
      <c r="AW438">
        <v>3</v>
      </c>
      <c r="AY438" t="s">
        <v>4140</v>
      </c>
      <c r="BB438" t="s">
        <v>4154</v>
      </c>
      <c r="BF438" t="s">
        <v>4281</v>
      </c>
      <c r="BM438" t="s">
        <v>4627</v>
      </c>
    </row>
    <row r="439" spans="1:65">
      <c r="A439" s="1">
        <f>HYPERLINK("https://lsnyc.legalserver.org/matter/dynamic-profile/view/1887824","19-1887824")</f>
        <v>0</v>
      </c>
      <c r="B439" t="s">
        <v>75</v>
      </c>
      <c r="C439" t="s">
        <v>93</v>
      </c>
      <c r="D439" t="s">
        <v>208</v>
      </c>
      <c r="F439" t="s">
        <v>711</v>
      </c>
      <c r="G439" t="s">
        <v>1248</v>
      </c>
      <c r="H439" t="s">
        <v>1696</v>
      </c>
      <c r="I439" t="s">
        <v>2032</v>
      </c>
      <c r="J439" t="s">
        <v>2205</v>
      </c>
      <c r="K439">
        <v>11225</v>
      </c>
      <c r="N439" t="s">
        <v>2233</v>
      </c>
      <c r="O439" t="s">
        <v>2514</v>
      </c>
      <c r="Q439" t="s">
        <v>3175</v>
      </c>
      <c r="R439">
        <v>2</v>
      </c>
      <c r="S439">
        <v>0</v>
      </c>
      <c r="T439">
        <v>65.83</v>
      </c>
      <c r="W439">
        <v>10836</v>
      </c>
      <c r="Y439">
        <v>0</v>
      </c>
      <c r="AA439" t="s">
        <v>70</v>
      </c>
      <c r="AC439" t="s">
        <v>3942</v>
      </c>
      <c r="AD439" t="s">
        <v>3982</v>
      </c>
      <c r="AF439" t="s">
        <v>4059</v>
      </c>
      <c r="AH439" t="s">
        <v>4078</v>
      </c>
      <c r="AJ439" t="s">
        <v>3942</v>
      </c>
      <c r="AL439" t="s">
        <v>4089</v>
      </c>
      <c r="AM439" t="s">
        <v>2230</v>
      </c>
      <c r="AO439">
        <v>432.05</v>
      </c>
      <c r="AQ439">
        <v>89</v>
      </c>
      <c r="AS439" t="s">
        <v>4113</v>
      </c>
      <c r="AU439" t="s">
        <v>4134</v>
      </c>
      <c r="AW439">
        <v>34</v>
      </c>
      <c r="AY439" t="s">
        <v>4140</v>
      </c>
      <c r="BB439" t="s">
        <v>4154</v>
      </c>
      <c r="BF439" t="s">
        <v>4281</v>
      </c>
      <c r="BM439" t="s">
        <v>4627</v>
      </c>
    </row>
    <row r="440" spans="1:65">
      <c r="A440" s="1">
        <f>HYPERLINK("https://lsnyc.legalserver.org/matter/dynamic-profile/view/1878656","18-1878656")</f>
        <v>0</v>
      </c>
      <c r="B440" t="s">
        <v>75</v>
      </c>
      <c r="C440" t="s">
        <v>93</v>
      </c>
      <c r="D440" t="s">
        <v>278</v>
      </c>
      <c r="F440" t="s">
        <v>517</v>
      </c>
      <c r="G440" t="s">
        <v>1049</v>
      </c>
      <c r="H440" t="s">
        <v>1558</v>
      </c>
      <c r="I440" t="s">
        <v>1939</v>
      </c>
      <c r="J440" t="s">
        <v>2205</v>
      </c>
      <c r="K440">
        <v>11221</v>
      </c>
      <c r="N440" t="s">
        <v>2233</v>
      </c>
      <c r="O440" t="s">
        <v>2282</v>
      </c>
      <c r="Q440" t="s">
        <v>2964</v>
      </c>
      <c r="R440">
        <v>1</v>
      </c>
      <c r="S440">
        <v>0</v>
      </c>
      <c r="T440">
        <v>74.95999999999999</v>
      </c>
      <c r="W440">
        <v>9100</v>
      </c>
      <c r="X440" t="s">
        <v>3574</v>
      </c>
      <c r="Y440">
        <v>0</v>
      </c>
      <c r="AA440" t="s">
        <v>90</v>
      </c>
      <c r="AC440" t="s">
        <v>3942</v>
      </c>
      <c r="AD440" t="s">
        <v>107</v>
      </c>
      <c r="AF440" t="s">
        <v>4059</v>
      </c>
      <c r="AH440" t="s">
        <v>4078</v>
      </c>
      <c r="AJ440" t="s">
        <v>3942</v>
      </c>
      <c r="AL440" t="s">
        <v>4087</v>
      </c>
      <c r="AM440" t="s">
        <v>2230</v>
      </c>
      <c r="AO440">
        <v>793</v>
      </c>
      <c r="AQ440">
        <v>12</v>
      </c>
      <c r="AS440" t="s">
        <v>4113</v>
      </c>
      <c r="AU440" t="s">
        <v>4128</v>
      </c>
      <c r="AW440">
        <v>15</v>
      </c>
      <c r="AY440" t="s">
        <v>4140</v>
      </c>
      <c r="BB440" t="s">
        <v>4154</v>
      </c>
      <c r="BF440" t="s">
        <v>4281</v>
      </c>
      <c r="BM440" t="s">
        <v>4627</v>
      </c>
    </row>
    <row r="441" spans="1:65">
      <c r="A441" s="1">
        <f>HYPERLINK("https://lsnyc.legalserver.org/matter/dynamic-profile/view/1864002","18-1864002")</f>
        <v>0</v>
      </c>
      <c r="B441" t="s">
        <v>75</v>
      </c>
      <c r="C441" t="s">
        <v>93</v>
      </c>
      <c r="D441" t="s">
        <v>291</v>
      </c>
      <c r="F441" t="s">
        <v>713</v>
      </c>
      <c r="G441" t="s">
        <v>1153</v>
      </c>
      <c r="H441" t="s">
        <v>1695</v>
      </c>
      <c r="I441" t="s">
        <v>2035</v>
      </c>
      <c r="J441" t="s">
        <v>2205</v>
      </c>
      <c r="K441">
        <v>11206</v>
      </c>
      <c r="N441" t="s">
        <v>2233</v>
      </c>
      <c r="O441" t="s">
        <v>2518</v>
      </c>
      <c r="Q441" t="s">
        <v>3179</v>
      </c>
      <c r="R441">
        <v>1</v>
      </c>
      <c r="S441">
        <v>0</v>
      </c>
      <c r="T441">
        <v>219.44</v>
      </c>
      <c r="V441" t="s">
        <v>3458</v>
      </c>
      <c r="W441">
        <v>26640</v>
      </c>
      <c r="X441" t="s">
        <v>3575</v>
      </c>
      <c r="Y441">
        <v>0</v>
      </c>
      <c r="AA441" t="s">
        <v>90</v>
      </c>
      <c r="AC441" t="s">
        <v>3942</v>
      </c>
      <c r="AD441" t="s">
        <v>3870</v>
      </c>
      <c r="AF441" t="s">
        <v>4059</v>
      </c>
      <c r="AH441" t="s">
        <v>4078</v>
      </c>
      <c r="AJ441" t="s">
        <v>3942</v>
      </c>
      <c r="AL441" t="s">
        <v>4089</v>
      </c>
      <c r="AM441" t="s">
        <v>2230</v>
      </c>
      <c r="AO441">
        <v>850</v>
      </c>
      <c r="AQ441">
        <v>11</v>
      </c>
      <c r="AS441" t="s">
        <v>4113</v>
      </c>
      <c r="AU441" t="s">
        <v>4129</v>
      </c>
      <c r="AW441">
        <v>25</v>
      </c>
      <c r="AY441" t="s">
        <v>4141</v>
      </c>
      <c r="BB441" t="s">
        <v>4154</v>
      </c>
      <c r="BG441" t="s">
        <v>4424</v>
      </c>
      <c r="BM441" t="s">
        <v>4627</v>
      </c>
    </row>
    <row r="442" spans="1:65">
      <c r="A442" s="1">
        <f>HYPERLINK("https://lsnyc.legalserver.org/matter/dynamic-profile/view/1907769","19-1907769")</f>
        <v>0</v>
      </c>
      <c r="B442" t="s">
        <v>75</v>
      </c>
      <c r="C442" t="s">
        <v>93</v>
      </c>
      <c r="D442" t="s">
        <v>157</v>
      </c>
      <c r="F442" t="s">
        <v>714</v>
      </c>
      <c r="G442" t="s">
        <v>1251</v>
      </c>
      <c r="H442" t="s">
        <v>1605</v>
      </c>
      <c r="I442" t="s">
        <v>1920</v>
      </c>
      <c r="J442" t="s">
        <v>2205</v>
      </c>
      <c r="K442">
        <v>11212</v>
      </c>
      <c r="N442" t="s">
        <v>2233</v>
      </c>
      <c r="O442" t="s">
        <v>2458</v>
      </c>
      <c r="Q442" t="s">
        <v>3180</v>
      </c>
      <c r="R442">
        <v>1</v>
      </c>
      <c r="S442">
        <v>0</v>
      </c>
      <c r="T442">
        <v>76</v>
      </c>
      <c r="W442">
        <v>9492</v>
      </c>
      <c r="Y442">
        <v>0.08</v>
      </c>
      <c r="Z442" t="s">
        <v>3838</v>
      </c>
      <c r="AA442" t="s">
        <v>70</v>
      </c>
      <c r="AC442" t="s">
        <v>3942</v>
      </c>
      <c r="AD442" t="s">
        <v>3885</v>
      </c>
      <c r="AF442" t="s">
        <v>4061</v>
      </c>
      <c r="AH442" t="s">
        <v>3510</v>
      </c>
      <c r="AJ442" t="s">
        <v>3942</v>
      </c>
      <c r="AL442" t="s">
        <v>4087</v>
      </c>
      <c r="AM442" t="s">
        <v>2230</v>
      </c>
      <c r="AO442">
        <v>257</v>
      </c>
      <c r="AQ442">
        <v>96</v>
      </c>
      <c r="AS442" t="s">
        <v>4113</v>
      </c>
      <c r="AU442" t="s">
        <v>4070</v>
      </c>
      <c r="AW442">
        <v>6</v>
      </c>
      <c r="AY442" t="s">
        <v>4140</v>
      </c>
      <c r="BA442" t="s">
        <v>4149</v>
      </c>
      <c r="BC442" t="s">
        <v>4155</v>
      </c>
      <c r="BF442" t="s">
        <v>4281</v>
      </c>
      <c r="BG442" t="s">
        <v>4128</v>
      </c>
      <c r="BM442" t="s">
        <v>4627</v>
      </c>
    </row>
    <row r="443" spans="1:65">
      <c r="A443" s="1">
        <f>HYPERLINK("https://lsnyc.legalserver.org/matter/dynamic-profile/view/1866878","18-1866878")</f>
        <v>0</v>
      </c>
      <c r="B443" t="s">
        <v>75</v>
      </c>
      <c r="C443" t="s">
        <v>93</v>
      </c>
      <c r="D443" t="s">
        <v>286</v>
      </c>
      <c r="F443" t="s">
        <v>495</v>
      </c>
      <c r="G443" t="s">
        <v>1227</v>
      </c>
      <c r="H443" t="s">
        <v>1700</v>
      </c>
      <c r="I443" t="s">
        <v>1944</v>
      </c>
      <c r="J443" t="s">
        <v>2205</v>
      </c>
      <c r="K443">
        <v>11212</v>
      </c>
      <c r="N443" t="s">
        <v>2233</v>
      </c>
      <c r="O443" t="s">
        <v>2488</v>
      </c>
      <c r="Q443" t="s">
        <v>3153</v>
      </c>
      <c r="R443">
        <v>2</v>
      </c>
      <c r="S443">
        <v>0</v>
      </c>
      <c r="T443">
        <v>215.52</v>
      </c>
      <c r="W443">
        <v>35000</v>
      </c>
      <c r="Y443">
        <v>0.25</v>
      </c>
      <c r="Z443" t="s">
        <v>286</v>
      </c>
      <c r="AA443" t="s">
        <v>75</v>
      </c>
      <c r="AC443" t="s">
        <v>3942</v>
      </c>
      <c r="AD443" t="s">
        <v>386</v>
      </c>
      <c r="AF443" t="s">
        <v>4054</v>
      </c>
      <c r="AH443" t="s">
        <v>4078</v>
      </c>
      <c r="AJ443" t="s">
        <v>3942</v>
      </c>
      <c r="AK443" t="s">
        <v>4084</v>
      </c>
      <c r="AM443" t="s">
        <v>2230</v>
      </c>
      <c r="AO443">
        <v>1201</v>
      </c>
      <c r="AQ443">
        <v>31</v>
      </c>
      <c r="AS443" t="s">
        <v>4113</v>
      </c>
      <c r="AT443" t="s">
        <v>4127</v>
      </c>
      <c r="AW443">
        <v>11</v>
      </c>
      <c r="AY443" t="s">
        <v>4140</v>
      </c>
      <c r="BB443" t="s">
        <v>4154</v>
      </c>
      <c r="BF443" t="s">
        <v>4281</v>
      </c>
      <c r="BM443" t="s">
        <v>4627</v>
      </c>
    </row>
    <row r="444" spans="1:65">
      <c r="A444" s="1">
        <f>HYPERLINK("https://lsnyc.legalserver.org/matter/dynamic-profile/view/1866945","18-1866945")</f>
        <v>0</v>
      </c>
      <c r="B444" t="s">
        <v>75</v>
      </c>
      <c r="C444" t="s">
        <v>93</v>
      </c>
      <c r="D444" t="s">
        <v>286</v>
      </c>
      <c r="F444" t="s">
        <v>715</v>
      </c>
      <c r="G444" t="s">
        <v>1252</v>
      </c>
      <c r="H444" t="s">
        <v>1700</v>
      </c>
      <c r="J444" t="s">
        <v>2205</v>
      </c>
      <c r="K444">
        <v>11212</v>
      </c>
      <c r="N444" t="s">
        <v>2233</v>
      </c>
      <c r="O444" t="s">
        <v>2519</v>
      </c>
      <c r="Q444" t="s">
        <v>3181</v>
      </c>
      <c r="R444">
        <v>1</v>
      </c>
      <c r="S444">
        <v>0</v>
      </c>
      <c r="T444">
        <v>76.11</v>
      </c>
      <c r="W444">
        <v>9240</v>
      </c>
      <c r="Y444">
        <v>9</v>
      </c>
      <c r="Z444" t="s">
        <v>240</v>
      </c>
      <c r="AA444" t="s">
        <v>90</v>
      </c>
      <c r="AC444" t="s">
        <v>3942</v>
      </c>
      <c r="AD444" t="s">
        <v>4004</v>
      </c>
      <c r="AE444" t="s">
        <v>4049</v>
      </c>
      <c r="AH444" t="s">
        <v>4078</v>
      </c>
      <c r="AJ444" t="s">
        <v>3942</v>
      </c>
      <c r="AL444" t="s">
        <v>4086</v>
      </c>
      <c r="AM444" t="s">
        <v>2230</v>
      </c>
      <c r="AO444">
        <v>932</v>
      </c>
      <c r="AQ444">
        <v>31</v>
      </c>
      <c r="AS444" t="s">
        <v>4113</v>
      </c>
      <c r="AU444" t="s">
        <v>4128</v>
      </c>
      <c r="AW444">
        <v>13</v>
      </c>
      <c r="AY444" t="s">
        <v>4140</v>
      </c>
      <c r="BB444" t="s">
        <v>4154</v>
      </c>
      <c r="BF444" t="s">
        <v>4281</v>
      </c>
      <c r="BM444" t="s">
        <v>4627</v>
      </c>
    </row>
    <row r="445" spans="1:65">
      <c r="A445" s="1">
        <f>HYPERLINK("https://lsnyc.legalserver.org/matter/dynamic-profile/view/1887833","19-1887833")</f>
        <v>0</v>
      </c>
      <c r="B445" t="s">
        <v>75</v>
      </c>
      <c r="C445" t="s">
        <v>93</v>
      </c>
      <c r="D445" t="s">
        <v>208</v>
      </c>
      <c r="F445" t="s">
        <v>671</v>
      </c>
      <c r="G445" t="s">
        <v>1204</v>
      </c>
      <c r="H445" t="s">
        <v>1696</v>
      </c>
      <c r="I445" t="s">
        <v>2013</v>
      </c>
      <c r="J445" t="s">
        <v>2205</v>
      </c>
      <c r="K445">
        <v>11225</v>
      </c>
      <c r="N445" t="s">
        <v>2233</v>
      </c>
      <c r="O445" t="s">
        <v>2460</v>
      </c>
      <c r="Q445" t="s">
        <v>3127</v>
      </c>
      <c r="R445">
        <v>1</v>
      </c>
      <c r="S445">
        <v>0</v>
      </c>
      <c r="T445">
        <v>0</v>
      </c>
      <c r="W445">
        <v>0</v>
      </c>
      <c r="Y445">
        <v>0</v>
      </c>
      <c r="AA445" t="s">
        <v>70</v>
      </c>
      <c r="AC445" t="s">
        <v>3942</v>
      </c>
      <c r="AD445" t="s">
        <v>3982</v>
      </c>
      <c r="AF445" t="s">
        <v>4059</v>
      </c>
      <c r="AH445" t="s">
        <v>4078</v>
      </c>
      <c r="AJ445" t="s">
        <v>3942</v>
      </c>
      <c r="AL445" t="s">
        <v>4089</v>
      </c>
      <c r="AM445" t="s">
        <v>2230</v>
      </c>
      <c r="AO445">
        <v>1021</v>
      </c>
      <c r="AQ445">
        <v>89</v>
      </c>
      <c r="AS445" t="s">
        <v>4113</v>
      </c>
      <c r="AU445" t="s">
        <v>4128</v>
      </c>
      <c r="AW445">
        <v>17</v>
      </c>
      <c r="AY445" t="s">
        <v>4140</v>
      </c>
      <c r="BB445" t="s">
        <v>4154</v>
      </c>
      <c r="BF445" t="s">
        <v>4281</v>
      </c>
      <c r="BM445" t="s">
        <v>4627</v>
      </c>
    </row>
    <row r="446" spans="1:65">
      <c r="A446" s="1">
        <f>HYPERLINK("https://lsnyc.legalserver.org/matter/dynamic-profile/view/1907767","19-1907767")</f>
        <v>0</v>
      </c>
      <c r="B446" t="s">
        <v>75</v>
      </c>
      <c r="C446" t="s">
        <v>93</v>
      </c>
      <c r="D446" t="s">
        <v>157</v>
      </c>
      <c r="F446" t="s">
        <v>716</v>
      </c>
      <c r="G446" t="s">
        <v>764</v>
      </c>
      <c r="H446" t="s">
        <v>1605</v>
      </c>
      <c r="I446" t="s">
        <v>1988</v>
      </c>
      <c r="J446" t="s">
        <v>2205</v>
      </c>
      <c r="K446">
        <v>11212</v>
      </c>
      <c r="N446" t="s">
        <v>2233</v>
      </c>
      <c r="O446" t="s">
        <v>2520</v>
      </c>
      <c r="Q446" t="s">
        <v>3182</v>
      </c>
      <c r="R446">
        <v>1</v>
      </c>
      <c r="S446">
        <v>0</v>
      </c>
      <c r="T446">
        <v>76.29000000000001</v>
      </c>
      <c r="W446">
        <v>9528</v>
      </c>
      <c r="Y446">
        <v>0</v>
      </c>
      <c r="AA446" t="s">
        <v>70</v>
      </c>
      <c r="AC446" t="s">
        <v>3942</v>
      </c>
      <c r="AD446" t="s">
        <v>303</v>
      </c>
      <c r="AF446" t="s">
        <v>4061</v>
      </c>
      <c r="AH446" t="s">
        <v>3510</v>
      </c>
      <c r="AJ446" t="s">
        <v>3942</v>
      </c>
      <c r="AL446" t="s">
        <v>4087</v>
      </c>
      <c r="AM446" t="s">
        <v>2230</v>
      </c>
      <c r="AO446">
        <v>165</v>
      </c>
      <c r="AQ446">
        <v>96</v>
      </c>
      <c r="AS446" t="s">
        <v>4113</v>
      </c>
      <c r="AU446" t="s">
        <v>4070</v>
      </c>
      <c r="AW446">
        <v>6</v>
      </c>
      <c r="AY446" t="s">
        <v>4140</v>
      </c>
      <c r="BC446" t="s">
        <v>4155</v>
      </c>
      <c r="BF446" t="s">
        <v>4281</v>
      </c>
      <c r="BG446" t="s">
        <v>4128</v>
      </c>
      <c r="BM446" t="s">
        <v>4627</v>
      </c>
    </row>
    <row r="447" spans="1:65">
      <c r="A447" s="1">
        <f>HYPERLINK("https://lsnyc.legalserver.org/matter/dynamic-profile/view/1857194","18-1857194")</f>
        <v>0</v>
      </c>
      <c r="B447" t="s">
        <v>75</v>
      </c>
      <c r="C447" t="s">
        <v>93</v>
      </c>
      <c r="D447" t="s">
        <v>265</v>
      </c>
      <c r="F447" t="s">
        <v>717</v>
      </c>
      <c r="G447" t="s">
        <v>1253</v>
      </c>
      <c r="H447" t="s">
        <v>1695</v>
      </c>
      <c r="I447" t="s">
        <v>1991</v>
      </c>
      <c r="J447" t="s">
        <v>2205</v>
      </c>
      <c r="K447">
        <v>11206</v>
      </c>
      <c r="N447" t="s">
        <v>2233</v>
      </c>
      <c r="O447" t="s">
        <v>2521</v>
      </c>
      <c r="Q447" t="s">
        <v>3183</v>
      </c>
      <c r="R447">
        <v>1</v>
      </c>
      <c r="S447">
        <v>0</v>
      </c>
      <c r="T447">
        <v>76.62</v>
      </c>
      <c r="W447">
        <v>9240</v>
      </c>
      <c r="Y447">
        <v>0</v>
      </c>
      <c r="AA447" t="s">
        <v>90</v>
      </c>
      <c r="AC447" t="s">
        <v>3942</v>
      </c>
      <c r="AD447" t="s">
        <v>103</v>
      </c>
      <c r="AF447" t="s">
        <v>4058</v>
      </c>
      <c r="AH447" t="s">
        <v>4076</v>
      </c>
      <c r="AJ447" t="s">
        <v>3942</v>
      </c>
      <c r="AL447" t="s">
        <v>4089</v>
      </c>
      <c r="AM447" t="s">
        <v>2230</v>
      </c>
      <c r="AO447">
        <v>473</v>
      </c>
      <c r="AQ447">
        <v>25</v>
      </c>
      <c r="AS447" t="s">
        <v>4113</v>
      </c>
      <c r="AU447" t="s">
        <v>4128</v>
      </c>
      <c r="AW447">
        <v>7</v>
      </c>
      <c r="AY447" t="s">
        <v>4140</v>
      </c>
      <c r="BB447" t="s">
        <v>4154</v>
      </c>
      <c r="BF447" t="s">
        <v>4281</v>
      </c>
      <c r="BM447" t="s">
        <v>4627</v>
      </c>
    </row>
    <row r="448" spans="1:65">
      <c r="A448" s="1">
        <f>HYPERLINK("https://lsnyc.legalserver.org/matter/dynamic-profile/view/1878659","18-1878659")</f>
        <v>0</v>
      </c>
      <c r="B448" t="s">
        <v>75</v>
      </c>
      <c r="C448" t="s">
        <v>93</v>
      </c>
      <c r="D448" t="s">
        <v>278</v>
      </c>
      <c r="F448" t="s">
        <v>517</v>
      </c>
      <c r="G448" t="s">
        <v>1049</v>
      </c>
      <c r="H448" t="s">
        <v>1558</v>
      </c>
      <c r="I448" t="s">
        <v>1939</v>
      </c>
      <c r="J448" t="s">
        <v>2205</v>
      </c>
      <c r="K448">
        <v>11221</v>
      </c>
      <c r="N448" t="s">
        <v>2233</v>
      </c>
      <c r="O448" t="s">
        <v>2282</v>
      </c>
      <c r="Q448" t="s">
        <v>2964</v>
      </c>
      <c r="R448">
        <v>1</v>
      </c>
      <c r="S448">
        <v>0</v>
      </c>
      <c r="T448">
        <v>74.95999999999999</v>
      </c>
      <c r="W448">
        <v>9100</v>
      </c>
      <c r="X448" t="s">
        <v>3574</v>
      </c>
      <c r="Y448">
        <v>0</v>
      </c>
      <c r="AA448" t="s">
        <v>90</v>
      </c>
      <c r="AC448" t="s">
        <v>3942</v>
      </c>
      <c r="AD448" t="s">
        <v>4005</v>
      </c>
      <c r="AF448" t="s">
        <v>4058</v>
      </c>
      <c r="AH448" t="s">
        <v>4076</v>
      </c>
      <c r="AJ448" t="s">
        <v>3942</v>
      </c>
      <c r="AL448" t="s">
        <v>4087</v>
      </c>
      <c r="AM448" t="s">
        <v>2230</v>
      </c>
      <c r="AO448">
        <v>793</v>
      </c>
      <c r="AQ448">
        <v>12</v>
      </c>
      <c r="AS448" t="s">
        <v>4113</v>
      </c>
      <c r="AU448" t="s">
        <v>4128</v>
      </c>
      <c r="AW448">
        <v>15</v>
      </c>
      <c r="AY448" t="s">
        <v>4140</v>
      </c>
      <c r="BB448" t="s">
        <v>4154</v>
      </c>
      <c r="BF448" t="s">
        <v>4281</v>
      </c>
      <c r="BM448" t="s">
        <v>4627</v>
      </c>
    </row>
    <row r="449" spans="1:65">
      <c r="A449" s="1">
        <f>HYPERLINK("https://lsnyc.legalserver.org/matter/dynamic-profile/view/1857562","18-1857562")</f>
        <v>0</v>
      </c>
      <c r="B449" t="s">
        <v>75</v>
      </c>
      <c r="C449" t="s">
        <v>93</v>
      </c>
      <c r="D449" t="s">
        <v>266</v>
      </c>
      <c r="F449" t="s">
        <v>484</v>
      </c>
      <c r="G449" t="s">
        <v>1254</v>
      </c>
      <c r="H449" t="s">
        <v>1695</v>
      </c>
      <c r="I449" t="s">
        <v>2036</v>
      </c>
      <c r="J449" t="s">
        <v>2205</v>
      </c>
      <c r="K449">
        <v>11206</v>
      </c>
      <c r="N449" t="s">
        <v>2233</v>
      </c>
      <c r="O449" t="s">
        <v>2522</v>
      </c>
      <c r="Q449" t="s">
        <v>3184</v>
      </c>
      <c r="R449">
        <v>2</v>
      </c>
      <c r="S449">
        <v>0</v>
      </c>
      <c r="T449">
        <v>65.54000000000001</v>
      </c>
      <c r="W449">
        <v>10644</v>
      </c>
      <c r="Y449">
        <v>3.75</v>
      </c>
      <c r="Z449" t="s">
        <v>337</v>
      </c>
      <c r="AA449" t="s">
        <v>90</v>
      </c>
      <c r="AC449" t="s">
        <v>3942</v>
      </c>
      <c r="AD449" t="s">
        <v>4006</v>
      </c>
      <c r="AF449" t="s">
        <v>4058</v>
      </c>
      <c r="AH449" t="s">
        <v>4076</v>
      </c>
      <c r="AJ449" t="s">
        <v>3942</v>
      </c>
      <c r="AL449" t="s">
        <v>4070</v>
      </c>
      <c r="AM449" t="s">
        <v>2230</v>
      </c>
      <c r="AO449">
        <v>1057.68</v>
      </c>
      <c r="AQ449">
        <v>25</v>
      </c>
      <c r="AS449" t="s">
        <v>4113</v>
      </c>
      <c r="AU449" t="s">
        <v>4129</v>
      </c>
      <c r="AW449">
        <v>9</v>
      </c>
      <c r="AY449" t="s">
        <v>4140</v>
      </c>
      <c r="BB449" t="s">
        <v>4154</v>
      </c>
      <c r="BF449" t="s">
        <v>4281</v>
      </c>
      <c r="BM449" t="s">
        <v>4627</v>
      </c>
    </row>
    <row r="450" spans="1:65">
      <c r="A450" s="1">
        <f>HYPERLINK("https://lsnyc.legalserver.org/matter/dynamic-profile/view/0828951","17-0828951")</f>
        <v>0</v>
      </c>
      <c r="B450" t="s">
        <v>75</v>
      </c>
      <c r="C450" t="s">
        <v>93</v>
      </c>
      <c r="D450" t="s">
        <v>279</v>
      </c>
      <c r="F450" t="s">
        <v>495</v>
      </c>
      <c r="G450" t="s">
        <v>1227</v>
      </c>
      <c r="H450" t="s">
        <v>1700</v>
      </c>
      <c r="I450" t="s">
        <v>1944</v>
      </c>
      <c r="J450" t="s">
        <v>2205</v>
      </c>
      <c r="K450">
        <v>11212</v>
      </c>
      <c r="N450" t="s">
        <v>2233</v>
      </c>
      <c r="O450" t="s">
        <v>2488</v>
      </c>
      <c r="Q450" t="s">
        <v>3153</v>
      </c>
      <c r="R450">
        <v>2</v>
      </c>
      <c r="S450">
        <v>0</v>
      </c>
      <c r="T450">
        <v>215.52</v>
      </c>
      <c r="W450">
        <v>35000</v>
      </c>
      <c r="Y450">
        <v>0.25</v>
      </c>
      <c r="Z450" t="s">
        <v>330</v>
      </c>
      <c r="AA450" t="s">
        <v>75</v>
      </c>
      <c r="AC450" t="s">
        <v>3942</v>
      </c>
      <c r="AD450" t="s">
        <v>260</v>
      </c>
      <c r="AF450" t="s">
        <v>4054</v>
      </c>
      <c r="AH450" t="s">
        <v>4078</v>
      </c>
      <c r="AJ450" t="s">
        <v>3942</v>
      </c>
      <c r="AL450" t="s">
        <v>4070</v>
      </c>
      <c r="AM450" t="s">
        <v>2230</v>
      </c>
      <c r="AO450">
        <v>1201</v>
      </c>
      <c r="AQ450">
        <v>32</v>
      </c>
      <c r="AS450" t="s">
        <v>4113</v>
      </c>
      <c r="AT450" t="s">
        <v>4127</v>
      </c>
      <c r="AW450">
        <v>10</v>
      </c>
      <c r="AY450" t="s">
        <v>4140</v>
      </c>
      <c r="BB450" t="s">
        <v>4154</v>
      </c>
      <c r="BG450" t="s">
        <v>4419</v>
      </c>
      <c r="BM450" t="s">
        <v>4627</v>
      </c>
    </row>
    <row r="451" spans="1:65">
      <c r="A451" s="1">
        <f>HYPERLINK("https://lsnyc.legalserver.org/matter/dynamic-profile/view/1864009","18-1864009")</f>
        <v>0</v>
      </c>
      <c r="B451" t="s">
        <v>75</v>
      </c>
      <c r="C451" t="s">
        <v>93</v>
      </c>
      <c r="D451" t="s">
        <v>291</v>
      </c>
      <c r="F451" t="s">
        <v>718</v>
      </c>
      <c r="G451" t="s">
        <v>1255</v>
      </c>
      <c r="H451" t="s">
        <v>1696</v>
      </c>
      <c r="I451" t="s">
        <v>2037</v>
      </c>
      <c r="J451" t="s">
        <v>2205</v>
      </c>
      <c r="K451">
        <v>11225</v>
      </c>
      <c r="N451" t="s">
        <v>2233</v>
      </c>
      <c r="O451" t="s">
        <v>2523</v>
      </c>
      <c r="Q451" t="s">
        <v>3185</v>
      </c>
      <c r="R451">
        <v>4</v>
      </c>
      <c r="S451">
        <v>0</v>
      </c>
      <c r="T451">
        <v>62.15</v>
      </c>
      <c r="W451">
        <v>15600</v>
      </c>
      <c r="Y451">
        <v>0</v>
      </c>
      <c r="AA451" t="s">
        <v>90</v>
      </c>
      <c r="AC451" t="s">
        <v>3942</v>
      </c>
      <c r="AD451" t="s">
        <v>3982</v>
      </c>
      <c r="AF451" t="s">
        <v>4061</v>
      </c>
      <c r="AH451" t="s">
        <v>3510</v>
      </c>
      <c r="AJ451" t="s">
        <v>3942</v>
      </c>
      <c r="AL451" t="s">
        <v>4089</v>
      </c>
      <c r="AM451" t="s">
        <v>2230</v>
      </c>
      <c r="AO451">
        <v>745.62</v>
      </c>
      <c r="AQ451">
        <v>89</v>
      </c>
      <c r="AS451" t="s">
        <v>4113</v>
      </c>
      <c r="AU451" t="s">
        <v>4128</v>
      </c>
      <c r="AW451">
        <v>40</v>
      </c>
      <c r="AY451" t="s">
        <v>4140</v>
      </c>
      <c r="BB451" t="s">
        <v>4154</v>
      </c>
      <c r="BF451" t="s">
        <v>4281</v>
      </c>
      <c r="BM451" t="s">
        <v>4627</v>
      </c>
    </row>
    <row r="452" spans="1:65">
      <c r="A452" s="1">
        <f>HYPERLINK("https://lsnyc.legalserver.org/matter/dynamic-profile/view/1857222","18-1857222")</f>
        <v>0</v>
      </c>
      <c r="B452" t="s">
        <v>75</v>
      </c>
      <c r="C452" t="s">
        <v>93</v>
      </c>
      <c r="D452" t="s">
        <v>265</v>
      </c>
      <c r="F452" t="s">
        <v>524</v>
      </c>
      <c r="G452" t="s">
        <v>1089</v>
      </c>
      <c r="H452" t="s">
        <v>1697</v>
      </c>
      <c r="I452" t="s">
        <v>1930</v>
      </c>
      <c r="J452" t="s">
        <v>2205</v>
      </c>
      <c r="K452">
        <v>11206</v>
      </c>
      <c r="N452" t="s">
        <v>2233</v>
      </c>
      <c r="O452" t="s">
        <v>2515</v>
      </c>
      <c r="Q452" t="s">
        <v>3176</v>
      </c>
      <c r="R452">
        <v>2</v>
      </c>
      <c r="S452">
        <v>0</v>
      </c>
      <c r="T452">
        <v>62.11</v>
      </c>
      <c r="W452">
        <v>10224</v>
      </c>
      <c r="X452" t="s">
        <v>3576</v>
      </c>
      <c r="Y452">
        <v>0</v>
      </c>
      <c r="AA452" t="s">
        <v>90</v>
      </c>
      <c r="AC452" t="s">
        <v>3942</v>
      </c>
      <c r="AD452" t="s">
        <v>103</v>
      </c>
      <c r="AF452" t="s">
        <v>4058</v>
      </c>
      <c r="AH452" t="s">
        <v>4076</v>
      </c>
      <c r="AJ452" t="s">
        <v>3942</v>
      </c>
      <c r="AK452" t="s">
        <v>4084</v>
      </c>
      <c r="AM452" t="s">
        <v>2230</v>
      </c>
      <c r="AO452">
        <v>1283</v>
      </c>
      <c r="AQ452">
        <v>29</v>
      </c>
      <c r="AS452" t="s">
        <v>4113</v>
      </c>
      <c r="AU452" t="s">
        <v>4132</v>
      </c>
      <c r="AW452">
        <v>2</v>
      </c>
      <c r="AY452" t="s">
        <v>4140</v>
      </c>
      <c r="BB452" t="s">
        <v>4154</v>
      </c>
      <c r="BF452" t="s">
        <v>4281</v>
      </c>
      <c r="BM452" t="s">
        <v>4627</v>
      </c>
    </row>
    <row r="453" spans="1:65">
      <c r="A453" s="1">
        <f>HYPERLINK("https://lsnyc.legalserver.org/matter/dynamic-profile/view/1887830","19-1887830")</f>
        <v>0</v>
      </c>
      <c r="B453" t="s">
        <v>75</v>
      </c>
      <c r="C453" t="s">
        <v>93</v>
      </c>
      <c r="D453" t="s">
        <v>208</v>
      </c>
      <c r="F453" t="s">
        <v>718</v>
      </c>
      <c r="G453" t="s">
        <v>1255</v>
      </c>
      <c r="H453" t="s">
        <v>1696</v>
      </c>
      <c r="I453" t="s">
        <v>2037</v>
      </c>
      <c r="J453" t="s">
        <v>2205</v>
      </c>
      <c r="K453">
        <v>11225</v>
      </c>
      <c r="N453" t="s">
        <v>2233</v>
      </c>
      <c r="O453" t="s">
        <v>2523</v>
      </c>
      <c r="Q453" t="s">
        <v>3185</v>
      </c>
      <c r="R453">
        <v>4</v>
      </c>
      <c r="S453">
        <v>0</v>
      </c>
      <c r="T453">
        <v>62.15</v>
      </c>
      <c r="W453">
        <v>15600</v>
      </c>
      <c r="Y453">
        <v>0</v>
      </c>
      <c r="AA453" t="s">
        <v>70</v>
      </c>
      <c r="AC453" t="s">
        <v>3942</v>
      </c>
      <c r="AD453" t="s">
        <v>3982</v>
      </c>
      <c r="AF453" t="s">
        <v>4059</v>
      </c>
      <c r="AH453" t="s">
        <v>4078</v>
      </c>
      <c r="AJ453" t="s">
        <v>3942</v>
      </c>
      <c r="AL453" t="s">
        <v>4089</v>
      </c>
      <c r="AM453" t="s">
        <v>2230</v>
      </c>
      <c r="AO453">
        <v>745.62</v>
      </c>
      <c r="AQ453">
        <v>89</v>
      </c>
      <c r="AS453" t="s">
        <v>4113</v>
      </c>
      <c r="AU453" t="s">
        <v>4128</v>
      </c>
      <c r="AW453">
        <v>40</v>
      </c>
      <c r="AY453" t="s">
        <v>4140</v>
      </c>
      <c r="BB453" t="s">
        <v>4154</v>
      </c>
      <c r="BF453" t="s">
        <v>4281</v>
      </c>
      <c r="BM453" t="s">
        <v>4627</v>
      </c>
    </row>
    <row r="454" spans="1:65">
      <c r="A454" s="1">
        <f>HYPERLINK("https://lsnyc.legalserver.org/matter/dynamic-profile/view/1904240","19-1904240")</f>
        <v>0</v>
      </c>
      <c r="B454" t="s">
        <v>75</v>
      </c>
      <c r="C454" t="s">
        <v>93</v>
      </c>
      <c r="D454" t="s">
        <v>292</v>
      </c>
      <c r="F454" t="s">
        <v>502</v>
      </c>
      <c r="G454" t="s">
        <v>1037</v>
      </c>
      <c r="H454" t="s">
        <v>1558</v>
      </c>
      <c r="I454" t="s">
        <v>1934</v>
      </c>
      <c r="J454" t="s">
        <v>2205</v>
      </c>
      <c r="K454">
        <v>11221</v>
      </c>
      <c r="N454" t="s">
        <v>2236</v>
      </c>
      <c r="O454" t="s">
        <v>2267</v>
      </c>
      <c r="Q454" t="s">
        <v>2954</v>
      </c>
      <c r="R454">
        <v>1</v>
      </c>
      <c r="S454">
        <v>1</v>
      </c>
      <c r="T454">
        <v>236.55</v>
      </c>
      <c r="W454">
        <v>40000</v>
      </c>
      <c r="X454" t="s">
        <v>3577</v>
      </c>
      <c r="Y454">
        <v>0</v>
      </c>
      <c r="AA454" t="s">
        <v>90</v>
      </c>
      <c r="AC454" t="s">
        <v>3942</v>
      </c>
      <c r="AD454" t="s">
        <v>168</v>
      </c>
      <c r="AF454" t="s">
        <v>4061</v>
      </c>
      <c r="AH454" t="s">
        <v>3510</v>
      </c>
      <c r="AJ454" t="s">
        <v>3942</v>
      </c>
      <c r="AL454" t="s">
        <v>4087</v>
      </c>
      <c r="AM454" t="s">
        <v>2230</v>
      </c>
      <c r="AO454">
        <v>880.65</v>
      </c>
      <c r="AQ454">
        <v>12</v>
      </c>
      <c r="AS454" t="s">
        <v>4113</v>
      </c>
      <c r="AU454" t="s">
        <v>4128</v>
      </c>
      <c r="AW454">
        <v>17</v>
      </c>
      <c r="AY454" t="s">
        <v>4140</v>
      </c>
      <c r="BA454" t="s">
        <v>4149</v>
      </c>
      <c r="BC454" t="s">
        <v>4155</v>
      </c>
      <c r="BE454" t="s">
        <v>4128</v>
      </c>
      <c r="BF454" t="s">
        <v>4281</v>
      </c>
      <c r="BG454" t="s">
        <v>4128</v>
      </c>
      <c r="BM454" t="s">
        <v>4627</v>
      </c>
    </row>
    <row r="455" spans="1:65">
      <c r="A455" s="1">
        <f>HYPERLINK("https://lsnyc.legalserver.org/matter/dynamic-profile/view/1876642","18-1876642")</f>
        <v>0</v>
      </c>
      <c r="B455" t="s">
        <v>76</v>
      </c>
      <c r="C455" t="s">
        <v>93</v>
      </c>
      <c r="D455" t="s">
        <v>229</v>
      </c>
      <c r="F455" t="s">
        <v>719</v>
      </c>
      <c r="G455" t="s">
        <v>1256</v>
      </c>
      <c r="H455" t="s">
        <v>1599</v>
      </c>
      <c r="I455" t="s">
        <v>1942</v>
      </c>
      <c r="J455" t="s">
        <v>2205</v>
      </c>
      <c r="K455">
        <v>11212</v>
      </c>
      <c r="N455" t="s">
        <v>2233</v>
      </c>
      <c r="O455" t="s">
        <v>2524</v>
      </c>
      <c r="Q455" t="s">
        <v>3186</v>
      </c>
      <c r="R455">
        <v>1</v>
      </c>
      <c r="S455">
        <v>0</v>
      </c>
      <c r="T455">
        <v>74.95999999999999</v>
      </c>
      <c r="W455">
        <v>9100</v>
      </c>
      <c r="Y455">
        <v>13.3</v>
      </c>
      <c r="Z455" t="s">
        <v>110</v>
      </c>
      <c r="AA455" t="s">
        <v>77</v>
      </c>
      <c r="AC455" t="s">
        <v>3942</v>
      </c>
      <c r="AD455" t="s">
        <v>229</v>
      </c>
      <c r="AF455" t="s">
        <v>4053</v>
      </c>
      <c r="AH455" t="s">
        <v>4076</v>
      </c>
      <c r="AJ455" t="s">
        <v>3942</v>
      </c>
      <c r="AL455" t="s">
        <v>4089</v>
      </c>
      <c r="AM455" t="s">
        <v>2230</v>
      </c>
      <c r="AO455">
        <v>389.17</v>
      </c>
      <c r="AQ455">
        <v>10</v>
      </c>
      <c r="AS455" t="s">
        <v>4113</v>
      </c>
      <c r="AU455" t="s">
        <v>4128</v>
      </c>
      <c r="AW455">
        <v>6</v>
      </c>
      <c r="AY455" t="s">
        <v>4140</v>
      </c>
      <c r="BA455" t="s">
        <v>4149</v>
      </c>
      <c r="BB455" t="s">
        <v>4154</v>
      </c>
      <c r="BG455" t="s">
        <v>4430</v>
      </c>
      <c r="BM455" t="s">
        <v>4627</v>
      </c>
    </row>
    <row r="456" spans="1:65">
      <c r="A456" s="1">
        <f>HYPERLINK("https://lsnyc.legalserver.org/matter/dynamic-profile/view/0806286","16-0806286")</f>
        <v>0</v>
      </c>
      <c r="B456" t="s">
        <v>76</v>
      </c>
      <c r="C456" t="s">
        <v>93</v>
      </c>
      <c r="D456" t="s">
        <v>293</v>
      </c>
      <c r="F456" t="s">
        <v>697</v>
      </c>
      <c r="G456" t="s">
        <v>1257</v>
      </c>
      <c r="H456" t="s">
        <v>1704</v>
      </c>
      <c r="I456" t="s">
        <v>1922</v>
      </c>
      <c r="J456" t="s">
        <v>2205</v>
      </c>
      <c r="K456">
        <v>11213</v>
      </c>
      <c r="N456" t="s">
        <v>2233</v>
      </c>
      <c r="O456" t="s">
        <v>2525</v>
      </c>
      <c r="Q456" t="s">
        <v>3187</v>
      </c>
      <c r="R456">
        <v>1</v>
      </c>
      <c r="S456">
        <v>0</v>
      </c>
      <c r="T456">
        <v>309.01</v>
      </c>
      <c r="U456" t="s">
        <v>3452</v>
      </c>
      <c r="W456">
        <v>36710</v>
      </c>
      <c r="Y456">
        <v>254.25</v>
      </c>
      <c r="Z456" t="s">
        <v>183</v>
      </c>
      <c r="AA456" t="s">
        <v>3914</v>
      </c>
      <c r="AC456" t="s">
        <v>3942</v>
      </c>
      <c r="AD456" t="s">
        <v>293</v>
      </c>
      <c r="AF456" t="s">
        <v>4050</v>
      </c>
      <c r="AH456" t="s">
        <v>4076</v>
      </c>
      <c r="AJ456" t="s">
        <v>3942</v>
      </c>
      <c r="AL456" t="s">
        <v>4089</v>
      </c>
      <c r="AM456" t="s">
        <v>2230</v>
      </c>
      <c r="AO456">
        <v>850</v>
      </c>
      <c r="AQ456">
        <v>5</v>
      </c>
      <c r="AS456" t="s">
        <v>4114</v>
      </c>
      <c r="AU456" t="s">
        <v>4128</v>
      </c>
      <c r="AW456">
        <v>32</v>
      </c>
      <c r="AY456" t="s">
        <v>4140</v>
      </c>
      <c r="BB456" t="s">
        <v>4154</v>
      </c>
      <c r="BG456" t="s">
        <v>4431</v>
      </c>
      <c r="BM456" t="s">
        <v>4627</v>
      </c>
    </row>
    <row r="457" spans="1:65">
      <c r="A457" s="1">
        <f>HYPERLINK("https://lsnyc.legalserver.org/matter/dynamic-profile/view/1905734","19-1905734")</f>
        <v>0</v>
      </c>
      <c r="B457" t="s">
        <v>76</v>
      </c>
      <c r="C457" t="s">
        <v>93</v>
      </c>
      <c r="D457" t="s">
        <v>154</v>
      </c>
      <c r="F457" t="s">
        <v>720</v>
      </c>
      <c r="G457" t="s">
        <v>1092</v>
      </c>
      <c r="H457" t="s">
        <v>1705</v>
      </c>
      <c r="I457" t="s">
        <v>1945</v>
      </c>
      <c r="J457" t="s">
        <v>2205</v>
      </c>
      <c r="K457">
        <v>11233</v>
      </c>
      <c r="N457" t="s">
        <v>2233</v>
      </c>
      <c r="O457" t="s">
        <v>2526</v>
      </c>
      <c r="Q457" t="s">
        <v>3188</v>
      </c>
      <c r="R457">
        <v>1</v>
      </c>
      <c r="S457">
        <v>0</v>
      </c>
      <c r="T457">
        <v>464.37</v>
      </c>
      <c r="W457">
        <v>58000</v>
      </c>
      <c r="X457" t="s">
        <v>3578</v>
      </c>
      <c r="Y457">
        <v>0.1</v>
      </c>
      <c r="Z457" t="s">
        <v>3838</v>
      </c>
      <c r="AA457" t="s">
        <v>90</v>
      </c>
      <c r="AC457" t="s">
        <v>3942</v>
      </c>
      <c r="AF457" t="s">
        <v>4061</v>
      </c>
      <c r="AH457" t="s">
        <v>3510</v>
      </c>
      <c r="AJ457" t="s">
        <v>3942</v>
      </c>
      <c r="AL457" t="s">
        <v>4086</v>
      </c>
      <c r="AM457" t="s">
        <v>2230</v>
      </c>
      <c r="AO457">
        <v>1200</v>
      </c>
      <c r="AQ457">
        <v>6</v>
      </c>
      <c r="AS457" t="s">
        <v>4113</v>
      </c>
      <c r="AU457" t="s">
        <v>4128</v>
      </c>
      <c r="AW457">
        <v>6</v>
      </c>
      <c r="AY457" t="s">
        <v>4140</v>
      </c>
      <c r="BA457" t="s">
        <v>4149</v>
      </c>
      <c r="BC457" t="s">
        <v>4155</v>
      </c>
      <c r="BE457" t="s">
        <v>4159</v>
      </c>
      <c r="BF457" t="s">
        <v>4281</v>
      </c>
      <c r="BG457" t="s">
        <v>4327</v>
      </c>
      <c r="BM457" t="s">
        <v>4627</v>
      </c>
    </row>
    <row r="458" spans="1:65">
      <c r="A458" s="1">
        <f>HYPERLINK("https://lsnyc.legalserver.org/matter/dynamic-profile/view/1838614","17-1838614")</f>
        <v>0</v>
      </c>
      <c r="B458" t="s">
        <v>76</v>
      </c>
      <c r="C458" t="s">
        <v>93</v>
      </c>
      <c r="D458" t="s">
        <v>294</v>
      </c>
      <c r="F458" t="s">
        <v>721</v>
      </c>
      <c r="G458" t="s">
        <v>1258</v>
      </c>
      <c r="H458" t="s">
        <v>1706</v>
      </c>
      <c r="J458" t="s">
        <v>2205</v>
      </c>
      <c r="K458">
        <v>11207</v>
      </c>
      <c r="N458" t="s">
        <v>2233</v>
      </c>
      <c r="O458" t="s">
        <v>2527</v>
      </c>
      <c r="Q458" t="s">
        <v>3189</v>
      </c>
      <c r="R458">
        <v>1</v>
      </c>
      <c r="S458">
        <v>0</v>
      </c>
      <c r="T458">
        <v>0</v>
      </c>
      <c r="W458">
        <v>0</v>
      </c>
      <c r="X458" t="s">
        <v>3579</v>
      </c>
      <c r="Y458">
        <v>40.4</v>
      </c>
      <c r="Z458" t="s">
        <v>3847</v>
      </c>
      <c r="AA458" t="s">
        <v>76</v>
      </c>
      <c r="AC458" t="s">
        <v>3942</v>
      </c>
      <c r="AD458" t="s">
        <v>4007</v>
      </c>
      <c r="AF458" t="s">
        <v>4050</v>
      </c>
      <c r="AH458" t="s">
        <v>4076</v>
      </c>
      <c r="AJ458" t="s">
        <v>3942</v>
      </c>
      <c r="AK458" t="s">
        <v>4084</v>
      </c>
      <c r="AM458" t="s">
        <v>2230</v>
      </c>
      <c r="AO458">
        <v>600</v>
      </c>
      <c r="AQ458">
        <v>7</v>
      </c>
      <c r="AS458" t="s">
        <v>4114</v>
      </c>
      <c r="AT458" t="s">
        <v>4127</v>
      </c>
      <c r="AV458" t="s">
        <v>4137</v>
      </c>
      <c r="AW458">
        <v>0</v>
      </c>
      <c r="AY458" t="s">
        <v>4140</v>
      </c>
      <c r="BC458" t="s">
        <v>4155</v>
      </c>
      <c r="BG458" t="s">
        <v>4432</v>
      </c>
      <c r="BM458" t="s">
        <v>4627</v>
      </c>
    </row>
    <row r="459" spans="1:65">
      <c r="A459" s="1">
        <f>HYPERLINK("https://lsnyc.legalserver.org/matter/dynamic-profile/view/1887762","19-1887762")</f>
        <v>0</v>
      </c>
      <c r="B459" t="s">
        <v>76</v>
      </c>
      <c r="C459" t="s">
        <v>93</v>
      </c>
      <c r="D459" t="s">
        <v>208</v>
      </c>
      <c r="F459" t="s">
        <v>722</v>
      </c>
      <c r="G459" t="s">
        <v>1259</v>
      </c>
      <c r="H459" t="s">
        <v>1618</v>
      </c>
      <c r="I459" t="s">
        <v>1930</v>
      </c>
      <c r="J459" t="s">
        <v>2205</v>
      </c>
      <c r="K459">
        <v>11208</v>
      </c>
      <c r="N459" t="s">
        <v>2233</v>
      </c>
      <c r="O459" t="s">
        <v>2528</v>
      </c>
      <c r="Q459" t="s">
        <v>3190</v>
      </c>
      <c r="R459">
        <v>1</v>
      </c>
      <c r="S459">
        <v>1</v>
      </c>
      <c r="T459">
        <v>58.32</v>
      </c>
      <c r="W459">
        <v>9600</v>
      </c>
      <c r="Y459">
        <v>17</v>
      </c>
      <c r="Z459" t="s">
        <v>183</v>
      </c>
      <c r="AA459" t="s">
        <v>76</v>
      </c>
      <c r="AC459" t="s">
        <v>3942</v>
      </c>
      <c r="AD459" t="s">
        <v>220</v>
      </c>
      <c r="AF459" t="s">
        <v>4053</v>
      </c>
      <c r="AH459" t="s">
        <v>4076</v>
      </c>
      <c r="AJ459" t="s">
        <v>3943</v>
      </c>
      <c r="AK459" t="s">
        <v>4084</v>
      </c>
      <c r="AM459" t="s">
        <v>2230</v>
      </c>
      <c r="AO459">
        <v>984.01</v>
      </c>
      <c r="AQ459">
        <v>53</v>
      </c>
      <c r="AS459" t="s">
        <v>4113</v>
      </c>
      <c r="AU459" t="s">
        <v>4133</v>
      </c>
      <c r="AV459" t="s">
        <v>4137</v>
      </c>
      <c r="AW459">
        <v>0</v>
      </c>
      <c r="AY459" t="s">
        <v>4140</v>
      </c>
      <c r="BA459" t="s">
        <v>4149</v>
      </c>
      <c r="BC459" t="s">
        <v>4155</v>
      </c>
      <c r="BE459" t="s">
        <v>4213</v>
      </c>
      <c r="BG459" t="s">
        <v>4433</v>
      </c>
      <c r="BM459" t="s">
        <v>4627</v>
      </c>
    </row>
    <row r="460" spans="1:65">
      <c r="A460" s="1">
        <f>HYPERLINK("https://lsnyc.legalserver.org/matter/dynamic-profile/view/1836085","17-1836085")</f>
        <v>0</v>
      </c>
      <c r="B460" t="s">
        <v>76</v>
      </c>
      <c r="C460" t="s">
        <v>93</v>
      </c>
      <c r="D460" t="s">
        <v>295</v>
      </c>
      <c r="F460" t="s">
        <v>679</v>
      </c>
      <c r="G460" t="s">
        <v>1215</v>
      </c>
      <c r="H460" t="s">
        <v>1700</v>
      </c>
      <c r="I460" t="s">
        <v>2018</v>
      </c>
      <c r="J460" t="s">
        <v>2205</v>
      </c>
      <c r="K460">
        <v>11212</v>
      </c>
      <c r="N460" t="s">
        <v>2233</v>
      </c>
      <c r="O460" t="s">
        <v>2473</v>
      </c>
      <c r="Q460" t="s">
        <v>3140</v>
      </c>
      <c r="R460">
        <v>1</v>
      </c>
      <c r="S460">
        <v>0</v>
      </c>
      <c r="T460">
        <v>0</v>
      </c>
      <c r="W460">
        <v>0</v>
      </c>
      <c r="Y460">
        <v>0.1</v>
      </c>
      <c r="Z460" t="s">
        <v>295</v>
      </c>
      <c r="AA460" t="s">
        <v>3915</v>
      </c>
      <c r="AC460" t="s">
        <v>3942</v>
      </c>
      <c r="AD460" t="s">
        <v>295</v>
      </c>
      <c r="AF460" t="s">
        <v>4055</v>
      </c>
      <c r="AH460" t="s">
        <v>4078</v>
      </c>
      <c r="AJ460" t="s">
        <v>3942</v>
      </c>
      <c r="AL460" t="s">
        <v>4086</v>
      </c>
      <c r="AM460" t="s">
        <v>2230</v>
      </c>
      <c r="AO460">
        <v>1180.14</v>
      </c>
      <c r="AQ460">
        <v>31</v>
      </c>
      <c r="AS460" t="s">
        <v>4113</v>
      </c>
      <c r="AT460" t="s">
        <v>4127</v>
      </c>
      <c r="AW460">
        <v>16</v>
      </c>
      <c r="AY460" t="s">
        <v>4140</v>
      </c>
      <c r="BB460" t="s">
        <v>4154</v>
      </c>
      <c r="BF460" t="s">
        <v>4281</v>
      </c>
      <c r="BM460" t="s">
        <v>4627</v>
      </c>
    </row>
    <row r="461" spans="1:65">
      <c r="A461" s="1">
        <f>HYPERLINK("https://lsnyc.legalserver.org/matter/dynamic-profile/view/1868852","18-1868852")</f>
        <v>0</v>
      </c>
      <c r="B461" t="s">
        <v>76</v>
      </c>
      <c r="C461" t="s">
        <v>93</v>
      </c>
      <c r="D461" t="s">
        <v>296</v>
      </c>
      <c r="F461" t="s">
        <v>723</v>
      </c>
      <c r="G461" t="s">
        <v>1260</v>
      </c>
      <c r="H461" t="s">
        <v>1705</v>
      </c>
      <c r="I461" t="s">
        <v>1927</v>
      </c>
      <c r="J461" t="s">
        <v>2205</v>
      </c>
      <c r="K461">
        <v>11233</v>
      </c>
      <c r="N461" t="s">
        <v>2233</v>
      </c>
      <c r="O461" t="s">
        <v>2529</v>
      </c>
      <c r="Q461" t="s">
        <v>3191</v>
      </c>
      <c r="R461">
        <v>2</v>
      </c>
      <c r="S461">
        <v>0</v>
      </c>
      <c r="T461">
        <v>73.95</v>
      </c>
      <c r="W461">
        <v>12172</v>
      </c>
      <c r="Y461">
        <v>26.6</v>
      </c>
      <c r="Z461" t="s">
        <v>3838</v>
      </c>
      <c r="AA461" t="s">
        <v>3900</v>
      </c>
      <c r="AC461" t="s">
        <v>3942</v>
      </c>
      <c r="AF461" t="s">
        <v>4061</v>
      </c>
      <c r="AH461" t="s">
        <v>3510</v>
      </c>
      <c r="AJ461" t="s">
        <v>3942</v>
      </c>
      <c r="AL461" t="s">
        <v>4086</v>
      </c>
      <c r="AM461" t="s">
        <v>2230</v>
      </c>
      <c r="AO461">
        <v>900</v>
      </c>
      <c r="AQ461">
        <v>6</v>
      </c>
      <c r="AS461" t="s">
        <v>4113</v>
      </c>
      <c r="AU461" t="s">
        <v>4133</v>
      </c>
      <c r="AW461">
        <v>15</v>
      </c>
      <c r="AY461" t="s">
        <v>4140</v>
      </c>
      <c r="AZ461" t="s">
        <v>4148</v>
      </c>
      <c r="BC461" t="s">
        <v>4155</v>
      </c>
      <c r="BF461" t="s">
        <v>4281</v>
      </c>
      <c r="BG461" t="s">
        <v>4054</v>
      </c>
      <c r="BM461" t="s">
        <v>4627</v>
      </c>
    </row>
    <row r="462" spans="1:65">
      <c r="A462" s="1">
        <f>HYPERLINK("https://lsnyc.legalserver.org/matter/dynamic-profile/view/0804346","16-0804346")</f>
        <v>0</v>
      </c>
      <c r="B462" t="s">
        <v>76</v>
      </c>
      <c r="C462" t="s">
        <v>93</v>
      </c>
      <c r="D462" t="s">
        <v>297</v>
      </c>
      <c r="F462" t="s">
        <v>486</v>
      </c>
      <c r="G462" t="s">
        <v>1261</v>
      </c>
      <c r="H462" t="s">
        <v>1707</v>
      </c>
      <c r="I462" t="s">
        <v>1927</v>
      </c>
      <c r="J462" t="s">
        <v>2205</v>
      </c>
      <c r="K462">
        <v>11213</v>
      </c>
      <c r="N462" t="s">
        <v>2233</v>
      </c>
      <c r="O462" t="s">
        <v>2530</v>
      </c>
      <c r="Q462" t="s">
        <v>3192</v>
      </c>
      <c r="R462">
        <v>1</v>
      </c>
      <c r="S462">
        <v>2</v>
      </c>
      <c r="T462">
        <v>47.62</v>
      </c>
      <c r="U462" t="s">
        <v>3452</v>
      </c>
      <c r="W462">
        <v>9600</v>
      </c>
      <c r="Y462">
        <v>121.45</v>
      </c>
      <c r="Z462" t="s">
        <v>357</v>
      </c>
      <c r="AA462" t="s">
        <v>80</v>
      </c>
      <c r="AC462" t="s">
        <v>3942</v>
      </c>
      <c r="AD462" t="s">
        <v>297</v>
      </c>
      <c r="AF462" t="s">
        <v>4053</v>
      </c>
      <c r="AH462" t="s">
        <v>4076</v>
      </c>
      <c r="AJ462" t="s">
        <v>3942</v>
      </c>
      <c r="AL462" t="s">
        <v>4094</v>
      </c>
      <c r="AM462" t="s">
        <v>2230</v>
      </c>
      <c r="AO462">
        <v>1300</v>
      </c>
      <c r="AQ462">
        <v>5</v>
      </c>
      <c r="AS462" t="s">
        <v>4114</v>
      </c>
      <c r="AU462" t="s">
        <v>4128</v>
      </c>
      <c r="AW462">
        <v>1</v>
      </c>
      <c r="AY462" t="s">
        <v>4140</v>
      </c>
      <c r="BB462" t="s">
        <v>4154</v>
      </c>
      <c r="BG462" t="s">
        <v>4434</v>
      </c>
      <c r="BM462" t="s">
        <v>4627</v>
      </c>
    </row>
    <row r="463" spans="1:65">
      <c r="A463" s="1">
        <f>HYPERLINK("https://lsnyc.legalserver.org/matter/dynamic-profile/view/1836082","17-1836082")</f>
        <v>0</v>
      </c>
      <c r="B463" t="s">
        <v>76</v>
      </c>
      <c r="C463" t="s">
        <v>93</v>
      </c>
      <c r="D463" t="s">
        <v>295</v>
      </c>
      <c r="F463" t="s">
        <v>678</v>
      </c>
      <c r="G463" t="s">
        <v>1213</v>
      </c>
      <c r="H463" t="s">
        <v>1700</v>
      </c>
      <c r="I463" t="s">
        <v>2017</v>
      </c>
      <c r="J463" t="s">
        <v>2205</v>
      </c>
      <c r="K463">
        <v>11212</v>
      </c>
      <c r="N463" t="s">
        <v>2233</v>
      </c>
      <c r="O463" t="s">
        <v>2471</v>
      </c>
      <c r="Q463" t="s">
        <v>3138</v>
      </c>
      <c r="R463">
        <v>1</v>
      </c>
      <c r="S463">
        <v>2</v>
      </c>
      <c r="T463">
        <v>112.01</v>
      </c>
      <c r="W463">
        <v>30696</v>
      </c>
      <c r="Y463">
        <v>0.85</v>
      </c>
      <c r="Z463" t="s">
        <v>271</v>
      </c>
      <c r="AA463" t="s">
        <v>3915</v>
      </c>
      <c r="AC463" t="s">
        <v>3942</v>
      </c>
      <c r="AD463" t="s">
        <v>295</v>
      </c>
      <c r="AF463" t="s">
        <v>4058</v>
      </c>
      <c r="AH463" t="s">
        <v>4076</v>
      </c>
      <c r="AJ463" t="s">
        <v>3942</v>
      </c>
      <c r="AL463" t="s">
        <v>4086</v>
      </c>
      <c r="AM463" t="s">
        <v>2230</v>
      </c>
      <c r="AO463">
        <v>939.42</v>
      </c>
      <c r="AQ463">
        <v>31</v>
      </c>
      <c r="AS463" t="s">
        <v>4113</v>
      </c>
      <c r="AT463" t="s">
        <v>4127</v>
      </c>
      <c r="AW463">
        <v>19</v>
      </c>
      <c r="AY463" t="s">
        <v>4140</v>
      </c>
      <c r="BB463" t="s">
        <v>4154</v>
      </c>
      <c r="BF463" t="s">
        <v>4281</v>
      </c>
      <c r="BM463" t="s">
        <v>4627</v>
      </c>
    </row>
    <row r="464" spans="1:65">
      <c r="A464" s="1">
        <f>HYPERLINK("https://lsnyc.legalserver.org/matter/dynamic-profile/view/1861928","18-1861928")</f>
        <v>0</v>
      </c>
      <c r="B464" t="s">
        <v>76</v>
      </c>
      <c r="C464" t="s">
        <v>93</v>
      </c>
      <c r="D464" t="s">
        <v>109</v>
      </c>
      <c r="F464" t="s">
        <v>708</v>
      </c>
      <c r="G464" t="s">
        <v>1243</v>
      </c>
      <c r="H464" t="s">
        <v>1697</v>
      </c>
      <c r="I464" t="s">
        <v>1921</v>
      </c>
      <c r="J464" t="s">
        <v>2205</v>
      </c>
      <c r="K464">
        <v>11206</v>
      </c>
      <c r="N464" t="s">
        <v>2233</v>
      </c>
      <c r="O464" t="s">
        <v>2507</v>
      </c>
      <c r="Q464" t="s">
        <v>3169</v>
      </c>
      <c r="R464">
        <v>2</v>
      </c>
      <c r="S464">
        <v>0</v>
      </c>
      <c r="T464">
        <v>48.23</v>
      </c>
      <c r="W464">
        <v>7938</v>
      </c>
      <c r="Y464">
        <v>12.15</v>
      </c>
      <c r="Z464" t="s">
        <v>465</v>
      </c>
      <c r="AA464" t="s">
        <v>75</v>
      </c>
      <c r="AC464" t="s">
        <v>3942</v>
      </c>
      <c r="AD464" t="s">
        <v>3862</v>
      </c>
      <c r="AF464" t="s">
        <v>4053</v>
      </c>
      <c r="AH464" t="s">
        <v>4076</v>
      </c>
      <c r="AI464" t="s">
        <v>4082</v>
      </c>
      <c r="AK464" t="s">
        <v>4084</v>
      </c>
      <c r="AM464" t="s">
        <v>2230</v>
      </c>
      <c r="AO464">
        <v>1307.59</v>
      </c>
      <c r="AQ464">
        <v>11</v>
      </c>
      <c r="AS464" t="s">
        <v>4113</v>
      </c>
      <c r="AU464" t="s">
        <v>4129</v>
      </c>
      <c r="AW464">
        <v>23</v>
      </c>
      <c r="AY464" t="s">
        <v>4140</v>
      </c>
      <c r="BB464" t="s">
        <v>4154</v>
      </c>
      <c r="BG464" t="s">
        <v>4435</v>
      </c>
      <c r="BM464" t="s">
        <v>4627</v>
      </c>
    </row>
    <row r="465" spans="1:65">
      <c r="A465" s="1">
        <f>HYPERLINK("https://lsnyc.legalserver.org/matter/dynamic-profile/view/1895376","19-1895376")</f>
        <v>0</v>
      </c>
      <c r="B465" t="s">
        <v>76</v>
      </c>
      <c r="C465" t="s">
        <v>93</v>
      </c>
      <c r="D465" t="s">
        <v>99</v>
      </c>
      <c r="F465" t="s">
        <v>719</v>
      </c>
      <c r="G465" t="s">
        <v>1256</v>
      </c>
      <c r="H465" t="s">
        <v>1599</v>
      </c>
      <c r="I465" t="s">
        <v>1942</v>
      </c>
      <c r="J465" t="s">
        <v>2205</v>
      </c>
      <c r="K465">
        <v>11212</v>
      </c>
      <c r="N465" t="s">
        <v>2233</v>
      </c>
      <c r="O465" t="s">
        <v>2524</v>
      </c>
      <c r="Q465" t="s">
        <v>3186</v>
      </c>
      <c r="R465">
        <v>1</v>
      </c>
      <c r="S465">
        <v>0</v>
      </c>
      <c r="T465">
        <v>72.86</v>
      </c>
      <c r="W465">
        <v>9100</v>
      </c>
      <c r="Y465">
        <v>0</v>
      </c>
      <c r="AA465" t="s">
        <v>70</v>
      </c>
      <c r="AC465" t="s">
        <v>3942</v>
      </c>
      <c r="AD465" t="s">
        <v>99</v>
      </c>
      <c r="AF465" t="s">
        <v>4051</v>
      </c>
      <c r="AH465" t="s">
        <v>4077</v>
      </c>
      <c r="AJ465" t="s">
        <v>3942</v>
      </c>
      <c r="AL465" t="s">
        <v>4089</v>
      </c>
      <c r="AM465" t="s">
        <v>2230</v>
      </c>
      <c r="AO465">
        <v>389.17</v>
      </c>
      <c r="AQ465">
        <v>10</v>
      </c>
      <c r="AS465" t="s">
        <v>4113</v>
      </c>
      <c r="AU465" t="s">
        <v>4128</v>
      </c>
      <c r="AW465">
        <v>6</v>
      </c>
      <c r="AY465" t="s">
        <v>4140</v>
      </c>
      <c r="BB465" t="s">
        <v>4154</v>
      </c>
      <c r="BG465" t="s">
        <v>4285</v>
      </c>
      <c r="BM465" t="s">
        <v>4627</v>
      </c>
    </row>
    <row r="466" spans="1:65">
      <c r="A466" s="1">
        <f>HYPERLINK("https://lsnyc.legalserver.org/matter/dynamic-profile/view/1914511","19-1914511")</f>
        <v>0</v>
      </c>
      <c r="B466" t="s">
        <v>76</v>
      </c>
      <c r="C466" t="s">
        <v>93</v>
      </c>
      <c r="D466" t="s">
        <v>298</v>
      </c>
      <c r="F466" t="s">
        <v>724</v>
      </c>
      <c r="G466" t="s">
        <v>1262</v>
      </c>
      <c r="H466" t="s">
        <v>1708</v>
      </c>
      <c r="I466">
        <v>3</v>
      </c>
      <c r="J466" t="s">
        <v>2205</v>
      </c>
      <c r="K466">
        <v>11208</v>
      </c>
      <c r="N466" t="s">
        <v>2233</v>
      </c>
      <c r="O466" t="s">
        <v>2531</v>
      </c>
      <c r="P466" t="s">
        <v>2930</v>
      </c>
      <c r="R466">
        <v>2</v>
      </c>
      <c r="S466">
        <v>1</v>
      </c>
      <c r="T466">
        <v>90.01000000000001</v>
      </c>
      <c r="W466">
        <v>19200</v>
      </c>
      <c r="X466" t="s">
        <v>3580</v>
      </c>
      <c r="Y466">
        <v>1</v>
      </c>
      <c r="Z466" t="s">
        <v>102</v>
      </c>
      <c r="AA466" t="s">
        <v>90</v>
      </c>
      <c r="AC466" t="s">
        <v>3942</v>
      </c>
      <c r="AD466" t="s">
        <v>102</v>
      </c>
      <c r="AF466" t="s">
        <v>4054</v>
      </c>
      <c r="AG466" t="s">
        <v>4075</v>
      </c>
      <c r="AJ466" t="s">
        <v>3943</v>
      </c>
      <c r="AK466" t="s">
        <v>4084</v>
      </c>
      <c r="AM466" t="s">
        <v>2230</v>
      </c>
      <c r="AN466" t="s">
        <v>4107</v>
      </c>
      <c r="AO466">
        <v>0</v>
      </c>
      <c r="AQ466">
        <v>3</v>
      </c>
      <c r="AS466" t="s">
        <v>4114</v>
      </c>
      <c r="AU466" t="s">
        <v>4128</v>
      </c>
      <c r="AV466" t="s">
        <v>4137</v>
      </c>
      <c r="AW466">
        <v>0</v>
      </c>
      <c r="AY466" t="s">
        <v>4141</v>
      </c>
      <c r="BA466" t="s">
        <v>4149</v>
      </c>
      <c r="BC466" t="s">
        <v>4155</v>
      </c>
      <c r="BE466" t="s">
        <v>4159</v>
      </c>
      <c r="BF466" t="s">
        <v>4281</v>
      </c>
      <c r="BG466" t="s">
        <v>4159</v>
      </c>
      <c r="BM466" t="s">
        <v>4627</v>
      </c>
    </row>
    <row r="467" spans="1:65">
      <c r="A467" s="1">
        <f>HYPERLINK("https://lsnyc.legalserver.org/matter/dynamic-profile/view/1864843","18-1864843")</f>
        <v>0</v>
      </c>
      <c r="B467" t="s">
        <v>76</v>
      </c>
      <c r="C467" t="s">
        <v>93</v>
      </c>
      <c r="D467" t="s">
        <v>299</v>
      </c>
      <c r="F467" t="s">
        <v>537</v>
      </c>
      <c r="G467" t="s">
        <v>1247</v>
      </c>
      <c r="H467" t="s">
        <v>1697</v>
      </c>
      <c r="I467" t="s">
        <v>2031</v>
      </c>
      <c r="J467" t="s">
        <v>2205</v>
      </c>
      <c r="K467">
        <v>11206</v>
      </c>
      <c r="N467" t="s">
        <v>2233</v>
      </c>
      <c r="O467" t="s">
        <v>2513</v>
      </c>
      <c r="Q467" t="s">
        <v>3174</v>
      </c>
      <c r="R467">
        <v>2</v>
      </c>
      <c r="S467">
        <v>0</v>
      </c>
      <c r="T467">
        <v>167.68</v>
      </c>
      <c r="W467">
        <v>27600</v>
      </c>
      <c r="X467" t="s">
        <v>3579</v>
      </c>
      <c r="Y467">
        <v>61.35</v>
      </c>
      <c r="Z467" t="s">
        <v>162</v>
      </c>
      <c r="AA467" t="s">
        <v>75</v>
      </c>
      <c r="AC467" t="s">
        <v>3942</v>
      </c>
      <c r="AD467" t="s">
        <v>286</v>
      </c>
      <c r="AE467" t="s">
        <v>4049</v>
      </c>
      <c r="AH467" t="s">
        <v>4076</v>
      </c>
      <c r="AJ467" t="s">
        <v>3943</v>
      </c>
      <c r="AK467" t="s">
        <v>4084</v>
      </c>
      <c r="AM467" t="s">
        <v>2230</v>
      </c>
      <c r="AN467" t="s">
        <v>4107</v>
      </c>
      <c r="AO467">
        <v>0</v>
      </c>
      <c r="AQ467">
        <v>11</v>
      </c>
      <c r="AS467" t="s">
        <v>4113</v>
      </c>
      <c r="AT467" t="s">
        <v>4127</v>
      </c>
      <c r="AW467">
        <v>35</v>
      </c>
      <c r="AY467" t="s">
        <v>4140</v>
      </c>
      <c r="BC467" t="s">
        <v>4155</v>
      </c>
      <c r="BG467" t="s">
        <v>4436</v>
      </c>
      <c r="BM467" t="s">
        <v>4627</v>
      </c>
    </row>
    <row r="468" spans="1:65">
      <c r="A468" s="1">
        <f>HYPERLINK("https://lsnyc.legalserver.org/matter/dynamic-profile/view/1850022","17-1850022")</f>
        <v>0</v>
      </c>
      <c r="B468" t="s">
        <v>76</v>
      </c>
      <c r="C468" t="s">
        <v>93</v>
      </c>
      <c r="D468" t="s">
        <v>300</v>
      </c>
      <c r="F468" t="s">
        <v>679</v>
      </c>
      <c r="G468" t="s">
        <v>1215</v>
      </c>
      <c r="H468" t="s">
        <v>1700</v>
      </c>
      <c r="I468" t="s">
        <v>2018</v>
      </c>
      <c r="J468" t="s">
        <v>2205</v>
      </c>
      <c r="K468">
        <v>11212</v>
      </c>
      <c r="N468" t="s">
        <v>2233</v>
      </c>
      <c r="O468" t="s">
        <v>2473</v>
      </c>
      <c r="Q468" t="s">
        <v>3140</v>
      </c>
      <c r="R468">
        <v>1</v>
      </c>
      <c r="S468">
        <v>0</v>
      </c>
      <c r="T468">
        <v>42.26</v>
      </c>
      <c r="W468">
        <v>5096</v>
      </c>
      <c r="X468" t="s">
        <v>3581</v>
      </c>
      <c r="Y468">
        <v>56.2</v>
      </c>
      <c r="Z468" t="s">
        <v>209</v>
      </c>
      <c r="AA468" t="s">
        <v>90</v>
      </c>
      <c r="AC468" t="s">
        <v>3942</v>
      </c>
      <c r="AD468" t="s">
        <v>300</v>
      </c>
      <c r="AF468" t="s">
        <v>4050</v>
      </c>
      <c r="AH468" t="s">
        <v>4076</v>
      </c>
      <c r="AI468" t="s">
        <v>4082</v>
      </c>
      <c r="AL468" t="s">
        <v>4086</v>
      </c>
      <c r="AM468" t="s">
        <v>2230</v>
      </c>
      <c r="AO468">
        <v>1180.14</v>
      </c>
      <c r="AQ468">
        <v>32</v>
      </c>
      <c r="AS468" t="s">
        <v>4113</v>
      </c>
      <c r="AT468" t="s">
        <v>4127</v>
      </c>
      <c r="AW468">
        <v>16</v>
      </c>
      <c r="AY468" t="s">
        <v>4140</v>
      </c>
      <c r="BB468" t="s">
        <v>4154</v>
      </c>
      <c r="BF468" t="s">
        <v>4281</v>
      </c>
      <c r="BM468" t="s">
        <v>4627</v>
      </c>
    </row>
    <row r="469" spans="1:65">
      <c r="A469" s="1">
        <f>HYPERLINK("https://lsnyc.legalserver.org/matter/dynamic-profile/view/1836079","17-1836079")</f>
        <v>0</v>
      </c>
      <c r="B469" t="s">
        <v>76</v>
      </c>
      <c r="C469" t="s">
        <v>93</v>
      </c>
      <c r="D469" t="s">
        <v>295</v>
      </c>
      <c r="F469" t="s">
        <v>504</v>
      </c>
      <c r="G469" t="s">
        <v>1155</v>
      </c>
      <c r="H469" t="s">
        <v>1700</v>
      </c>
      <c r="I469" t="s">
        <v>2021</v>
      </c>
      <c r="J469" t="s">
        <v>2205</v>
      </c>
      <c r="K469">
        <v>11212</v>
      </c>
      <c r="N469" t="s">
        <v>2233</v>
      </c>
      <c r="O469" t="s">
        <v>2482</v>
      </c>
      <c r="Q469" t="s">
        <v>3148</v>
      </c>
      <c r="R469">
        <v>1</v>
      </c>
      <c r="S469">
        <v>0</v>
      </c>
      <c r="T469">
        <v>119.4</v>
      </c>
      <c r="W469">
        <v>14400</v>
      </c>
      <c r="Y469">
        <v>0.1</v>
      </c>
      <c r="Z469" t="s">
        <v>295</v>
      </c>
      <c r="AA469" t="s">
        <v>3915</v>
      </c>
      <c r="AC469" t="s">
        <v>3942</v>
      </c>
      <c r="AD469" t="s">
        <v>295</v>
      </c>
      <c r="AF469" t="s">
        <v>4055</v>
      </c>
      <c r="AH469" t="s">
        <v>4078</v>
      </c>
      <c r="AJ469" t="s">
        <v>3942</v>
      </c>
      <c r="AL469" t="s">
        <v>4086</v>
      </c>
      <c r="AM469" t="s">
        <v>2230</v>
      </c>
      <c r="AO469">
        <v>900</v>
      </c>
      <c r="AQ469">
        <v>31</v>
      </c>
      <c r="AS469" t="s">
        <v>4113</v>
      </c>
      <c r="AT469" t="s">
        <v>4127</v>
      </c>
      <c r="AW469">
        <v>18</v>
      </c>
      <c r="AY469" t="s">
        <v>4140</v>
      </c>
      <c r="BB469" t="s">
        <v>4154</v>
      </c>
      <c r="BF469" t="s">
        <v>4281</v>
      </c>
      <c r="BM469" t="s">
        <v>4627</v>
      </c>
    </row>
    <row r="470" spans="1:65">
      <c r="A470" s="1">
        <f>HYPERLINK("https://lsnyc.legalserver.org/matter/dynamic-profile/view/1895374","19-1895374")</f>
        <v>0</v>
      </c>
      <c r="B470" t="s">
        <v>76</v>
      </c>
      <c r="C470" t="s">
        <v>93</v>
      </c>
      <c r="D470" t="s">
        <v>99</v>
      </c>
      <c r="F470" t="s">
        <v>725</v>
      </c>
      <c r="G470" t="s">
        <v>1204</v>
      </c>
      <c r="H470" t="s">
        <v>1599</v>
      </c>
      <c r="I470" t="s">
        <v>1947</v>
      </c>
      <c r="J470" t="s">
        <v>2205</v>
      </c>
      <c r="K470">
        <v>11212</v>
      </c>
      <c r="N470" t="s">
        <v>2233</v>
      </c>
      <c r="O470" t="s">
        <v>2532</v>
      </c>
      <c r="P470" t="s">
        <v>2930</v>
      </c>
      <c r="R470">
        <v>2</v>
      </c>
      <c r="S470">
        <v>0</v>
      </c>
      <c r="T470">
        <v>336.72</v>
      </c>
      <c r="U470" t="s">
        <v>249</v>
      </c>
      <c r="V470" t="s">
        <v>3458</v>
      </c>
      <c r="W470">
        <v>56940</v>
      </c>
      <c r="Y470">
        <v>0</v>
      </c>
      <c r="AA470" t="s">
        <v>70</v>
      </c>
      <c r="AC470" t="s">
        <v>3942</v>
      </c>
      <c r="AD470" t="s">
        <v>99</v>
      </c>
      <c r="AF470" t="s">
        <v>4051</v>
      </c>
      <c r="AH470" t="s">
        <v>4077</v>
      </c>
      <c r="AJ470" t="s">
        <v>3942</v>
      </c>
      <c r="AL470" t="s">
        <v>4089</v>
      </c>
      <c r="AM470" t="s">
        <v>2230</v>
      </c>
      <c r="AO470">
        <v>1122</v>
      </c>
      <c r="AP470" t="s">
        <v>4108</v>
      </c>
      <c r="AQ470" t="s">
        <v>4110</v>
      </c>
      <c r="AS470" t="s">
        <v>4113</v>
      </c>
      <c r="AT470" t="s">
        <v>4127</v>
      </c>
      <c r="AW470">
        <v>3</v>
      </c>
      <c r="AY470" t="s">
        <v>4140</v>
      </c>
      <c r="BB470" t="s">
        <v>4154</v>
      </c>
      <c r="BG470" t="s">
        <v>4285</v>
      </c>
      <c r="BM470" t="s">
        <v>4627</v>
      </c>
    </row>
    <row r="471" spans="1:65">
      <c r="A471" s="1">
        <f>HYPERLINK("https://lsnyc.legalserver.org/matter/dynamic-profile/view/1836150","17-1836150")</f>
        <v>0</v>
      </c>
      <c r="B471" t="s">
        <v>76</v>
      </c>
      <c r="C471" t="s">
        <v>93</v>
      </c>
      <c r="D471" t="s">
        <v>301</v>
      </c>
      <c r="F471" t="s">
        <v>486</v>
      </c>
      <c r="G471" t="s">
        <v>1083</v>
      </c>
      <c r="H471" t="s">
        <v>1700</v>
      </c>
      <c r="I471" t="s">
        <v>1926</v>
      </c>
      <c r="J471" t="s">
        <v>2205</v>
      </c>
      <c r="K471">
        <v>11212</v>
      </c>
      <c r="N471" t="s">
        <v>2233</v>
      </c>
      <c r="O471" t="s">
        <v>2475</v>
      </c>
      <c r="Q471" t="s">
        <v>3141</v>
      </c>
      <c r="R471">
        <v>3</v>
      </c>
      <c r="S471">
        <v>0</v>
      </c>
      <c r="T471">
        <v>101.86</v>
      </c>
      <c r="W471">
        <v>20800</v>
      </c>
      <c r="Y471">
        <v>0.6</v>
      </c>
      <c r="Z471" t="s">
        <v>386</v>
      </c>
      <c r="AA471" t="s">
        <v>3915</v>
      </c>
      <c r="AC471" t="s">
        <v>3942</v>
      </c>
      <c r="AD471" t="s">
        <v>301</v>
      </c>
      <c r="AF471" t="s">
        <v>4055</v>
      </c>
      <c r="AH471" t="s">
        <v>4078</v>
      </c>
      <c r="AJ471" t="s">
        <v>3942</v>
      </c>
      <c r="AL471" t="s">
        <v>4086</v>
      </c>
      <c r="AM471" t="s">
        <v>2230</v>
      </c>
      <c r="AO471">
        <v>862.52</v>
      </c>
      <c r="AQ471">
        <v>31</v>
      </c>
      <c r="AS471" t="s">
        <v>4113</v>
      </c>
      <c r="AT471" t="s">
        <v>4127</v>
      </c>
      <c r="AW471">
        <v>6</v>
      </c>
      <c r="AY471" t="s">
        <v>4140</v>
      </c>
      <c r="BB471" t="s">
        <v>4154</v>
      </c>
      <c r="BF471" t="s">
        <v>4281</v>
      </c>
      <c r="BM471" t="s">
        <v>4627</v>
      </c>
    </row>
    <row r="472" spans="1:65">
      <c r="A472" s="1">
        <f>HYPERLINK("https://lsnyc.legalserver.org/matter/dynamic-profile/view/1905690","19-1905690")</f>
        <v>0</v>
      </c>
      <c r="B472" t="s">
        <v>76</v>
      </c>
      <c r="C472" t="s">
        <v>93</v>
      </c>
      <c r="D472" t="s">
        <v>154</v>
      </c>
      <c r="F472" t="s">
        <v>723</v>
      </c>
      <c r="G472" t="s">
        <v>1260</v>
      </c>
      <c r="H472" t="s">
        <v>1705</v>
      </c>
      <c r="I472" t="s">
        <v>1927</v>
      </c>
      <c r="J472" t="s">
        <v>2205</v>
      </c>
      <c r="K472">
        <v>11233</v>
      </c>
      <c r="N472" t="s">
        <v>2233</v>
      </c>
      <c r="O472" t="s">
        <v>2529</v>
      </c>
      <c r="Q472" t="s">
        <v>3191</v>
      </c>
      <c r="R472">
        <v>2</v>
      </c>
      <c r="S472">
        <v>0</v>
      </c>
      <c r="T472">
        <v>75.65000000000001</v>
      </c>
      <c r="W472">
        <v>12792</v>
      </c>
      <c r="Y472">
        <v>0</v>
      </c>
      <c r="AA472" t="s">
        <v>90</v>
      </c>
      <c r="AC472" t="s">
        <v>3942</v>
      </c>
      <c r="AD472" t="s">
        <v>4008</v>
      </c>
      <c r="AF472" t="s">
        <v>4061</v>
      </c>
      <c r="AH472" t="s">
        <v>3510</v>
      </c>
      <c r="AI472" t="s">
        <v>4082</v>
      </c>
      <c r="AL472" t="s">
        <v>4086</v>
      </c>
      <c r="AM472" t="s">
        <v>2230</v>
      </c>
      <c r="AO472">
        <v>900</v>
      </c>
      <c r="AQ472">
        <v>6</v>
      </c>
      <c r="AS472" t="s">
        <v>4113</v>
      </c>
      <c r="AU472" t="s">
        <v>4128</v>
      </c>
      <c r="AW472">
        <v>16</v>
      </c>
      <c r="AY472" t="s">
        <v>4140</v>
      </c>
      <c r="BA472" t="s">
        <v>4149</v>
      </c>
      <c r="BC472" t="s">
        <v>4155</v>
      </c>
      <c r="BE472" t="s">
        <v>4128</v>
      </c>
      <c r="BF472" t="s">
        <v>4281</v>
      </c>
      <c r="BG472" t="s">
        <v>4303</v>
      </c>
      <c r="BM472" t="s">
        <v>4627</v>
      </c>
    </row>
    <row r="473" spans="1:65">
      <c r="A473" s="1">
        <f>HYPERLINK("https://lsnyc.legalserver.org/matter/dynamic-profile/view/1905694","19-1905694")</f>
        <v>0</v>
      </c>
      <c r="B473" t="s">
        <v>76</v>
      </c>
      <c r="C473" t="s">
        <v>93</v>
      </c>
      <c r="D473" t="s">
        <v>154</v>
      </c>
      <c r="F473" t="s">
        <v>723</v>
      </c>
      <c r="G473" t="s">
        <v>1260</v>
      </c>
      <c r="H473" t="s">
        <v>1705</v>
      </c>
      <c r="I473" t="s">
        <v>1927</v>
      </c>
      <c r="J473" t="s">
        <v>2205</v>
      </c>
      <c r="K473">
        <v>11233</v>
      </c>
      <c r="N473" t="s">
        <v>2233</v>
      </c>
      <c r="O473" t="s">
        <v>2529</v>
      </c>
      <c r="Q473" t="s">
        <v>3191</v>
      </c>
      <c r="R473">
        <v>2</v>
      </c>
      <c r="S473">
        <v>0</v>
      </c>
      <c r="T473">
        <v>75.65000000000001</v>
      </c>
      <c r="W473">
        <v>12792</v>
      </c>
      <c r="Y473">
        <v>0</v>
      </c>
      <c r="AA473" t="s">
        <v>90</v>
      </c>
      <c r="AC473" t="s">
        <v>3942</v>
      </c>
      <c r="AD473" t="s">
        <v>141</v>
      </c>
      <c r="AF473" t="s">
        <v>4061</v>
      </c>
      <c r="AH473" t="s">
        <v>3510</v>
      </c>
      <c r="AJ473" t="s">
        <v>3942</v>
      </c>
      <c r="AL473" t="s">
        <v>4086</v>
      </c>
      <c r="AM473" t="s">
        <v>2230</v>
      </c>
      <c r="AO473">
        <v>900</v>
      </c>
      <c r="AQ473">
        <v>6</v>
      </c>
      <c r="AS473" t="s">
        <v>4113</v>
      </c>
      <c r="AU473" t="s">
        <v>4128</v>
      </c>
      <c r="AW473">
        <v>16</v>
      </c>
      <c r="AY473" t="s">
        <v>4140</v>
      </c>
      <c r="BA473" t="s">
        <v>4149</v>
      </c>
      <c r="BC473" t="s">
        <v>4155</v>
      </c>
      <c r="BE473" t="s">
        <v>4160</v>
      </c>
      <c r="BF473" t="s">
        <v>4281</v>
      </c>
      <c r="BM473" t="s">
        <v>4627</v>
      </c>
    </row>
    <row r="474" spans="1:65">
      <c r="A474" s="1">
        <f>HYPERLINK("https://lsnyc.legalserver.org/matter/dynamic-profile/view/1836056","17-1836056")</f>
        <v>0</v>
      </c>
      <c r="B474" t="s">
        <v>76</v>
      </c>
      <c r="C474" t="s">
        <v>93</v>
      </c>
      <c r="D474" t="s">
        <v>302</v>
      </c>
      <c r="F474" t="s">
        <v>665</v>
      </c>
      <c r="G474" t="s">
        <v>1200</v>
      </c>
      <c r="H474" t="s">
        <v>1700</v>
      </c>
      <c r="I474" t="s">
        <v>2008</v>
      </c>
      <c r="J474" t="s">
        <v>2205</v>
      </c>
      <c r="K474">
        <v>11212</v>
      </c>
      <c r="N474" t="s">
        <v>2233</v>
      </c>
      <c r="O474" t="s">
        <v>2453</v>
      </c>
      <c r="Q474" t="s">
        <v>3121</v>
      </c>
      <c r="R474">
        <v>1</v>
      </c>
      <c r="S474">
        <v>0</v>
      </c>
      <c r="T474">
        <v>199</v>
      </c>
      <c r="W474">
        <v>24000</v>
      </c>
      <c r="Y474">
        <v>0.1</v>
      </c>
      <c r="Z474" t="s">
        <v>302</v>
      </c>
      <c r="AA474" t="s">
        <v>3915</v>
      </c>
      <c r="AC474" t="s">
        <v>3942</v>
      </c>
      <c r="AD474" t="s">
        <v>302</v>
      </c>
      <c r="AF474" t="s">
        <v>4055</v>
      </c>
      <c r="AH474" t="s">
        <v>3510</v>
      </c>
      <c r="AJ474" t="s">
        <v>3942</v>
      </c>
      <c r="AL474" t="s">
        <v>4086</v>
      </c>
      <c r="AM474" t="s">
        <v>2230</v>
      </c>
      <c r="AO474">
        <v>920.21</v>
      </c>
      <c r="AQ474">
        <v>31</v>
      </c>
      <c r="AS474" t="s">
        <v>4113</v>
      </c>
      <c r="AT474" t="s">
        <v>4127</v>
      </c>
      <c r="AW474">
        <v>18</v>
      </c>
      <c r="AY474" t="s">
        <v>4140</v>
      </c>
      <c r="BB474" t="s">
        <v>4154</v>
      </c>
      <c r="BF474" t="s">
        <v>4281</v>
      </c>
      <c r="BM474" t="s">
        <v>4627</v>
      </c>
    </row>
    <row r="475" spans="1:65">
      <c r="A475" s="1">
        <f>HYPERLINK("https://lsnyc.legalserver.org/matter/dynamic-profile/view/1905696","19-1905696")</f>
        <v>0</v>
      </c>
      <c r="B475" t="s">
        <v>76</v>
      </c>
      <c r="C475" t="s">
        <v>93</v>
      </c>
      <c r="D475" t="s">
        <v>154</v>
      </c>
      <c r="F475" t="s">
        <v>723</v>
      </c>
      <c r="G475" t="s">
        <v>1260</v>
      </c>
      <c r="H475" t="s">
        <v>1705</v>
      </c>
      <c r="I475" t="s">
        <v>1927</v>
      </c>
      <c r="J475" t="s">
        <v>2205</v>
      </c>
      <c r="K475">
        <v>11233</v>
      </c>
      <c r="N475" t="s">
        <v>2233</v>
      </c>
      <c r="O475" t="s">
        <v>2529</v>
      </c>
      <c r="Q475" t="s">
        <v>3191</v>
      </c>
      <c r="R475">
        <v>2</v>
      </c>
      <c r="S475">
        <v>0</v>
      </c>
      <c r="T475">
        <v>75.65000000000001</v>
      </c>
      <c r="W475">
        <v>12792</v>
      </c>
      <c r="Y475">
        <v>0</v>
      </c>
      <c r="AA475" t="s">
        <v>90</v>
      </c>
      <c r="AC475" t="s">
        <v>3942</v>
      </c>
      <c r="AD475" t="s">
        <v>168</v>
      </c>
      <c r="AF475" t="s">
        <v>4061</v>
      </c>
      <c r="AH475" t="s">
        <v>3510</v>
      </c>
      <c r="AJ475" t="s">
        <v>3942</v>
      </c>
      <c r="AL475" t="s">
        <v>4086</v>
      </c>
      <c r="AM475" t="s">
        <v>2230</v>
      </c>
      <c r="AO475">
        <v>900</v>
      </c>
      <c r="AQ475">
        <v>6</v>
      </c>
      <c r="AS475" t="s">
        <v>4113</v>
      </c>
      <c r="AU475" t="s">
        <v>4128</v>
      </c>
      <c r="AW475">
        <v>16</v>
      </c>
      <c r="AY475" t="s">
        <v>4140</v>
      </c>
      <c r="BA475" t="s">
        <v>4149</v>
      </c>
      <c r="BC475" t="s">
        <v>4155</v>
      </c>
      <c r="BE475" t="s">
        <v>4162</v>
      </c>
      <c r="BF475" t="s">
        <v>4281</v>
      </c>
      <c r="BG475" t="s">
        <v>4327</v>
      </c>
      <c r="BM475" t="s">
        <v>4627</v>
      </c>
    </row>
    <row r="476" spans="1:65">
      <c r="A476" s="1">
        <f>HYPERLINK("https://lsnyc.legalserver.org/matter/dynamic-profile/view/1906627","19-1906627")</f>
        <v>0</v>
      </c>
      <c r="B476" t="s">
        <v>76</v>
      </c>
      <c r="C476" t="s">
        <v>93</v>
      </c>
      <c r="D476" t="s">
        <v>303</v>
      </c>
      <c r="F476" t="s">
        <v>726</v>
      </c>
      <c r="G476" t="s">
        <v>1263</v>
      </c>
      <c r="H476" t="s">
        <v>1709</v>
      </c>
      <c r="J476" t="s">
        <v>2205</v>
      </c>
      <c r="K476">
        <v>11206</v>
      </c>
      <c r="N476" t="s">
        <v>2233</v>
      </c>
      <c r="O476" t="s">
        <v>2533</v>
      </c>
      <c r="Q476" t="s">
        <v>3193</v>
      </c>
      <c r="R476">
        <v>1</v>
      </c>
      <c r="S476">
        <v>1</v>
      </c>
      <c r="T476">
        <v>218.81</v>
      </c>
      <c r="U476" t="s">
        <v>151</v>
      </c>
      <c r="V476" t="s">
        <v>3458</v>
      </c>
      <c r="W476">
        <v>37000</v>
      </c>
      <c r="Y476">
        <v>21.65</v>
      </c>
      <c r="Z476" t="s">
        <v>361</v>
      </c>
      <c r="AA476" t="s">
        <v>77</v>
      </c>
      <c r="AC476" t="s">
        <v>3942</v>
      </c>
      <c r="AD476" t="s">
        <v>303</v>
      </c>
      <c r="AF476" t="s">
        <v>4053</v>
      </c>
      <c r="AH476" t="s">
        <v>4076</v>
      </c>
      <c r="AJ476" t="s">
        <v>3943</v>
      </c>
      <c r="AL476" t="s">
        <v>4086</v>
      </c>
      <c r="AM476" t="s">
        <v>2230</v>
      </c>
      <c r="AO476">
        <v>588</v>
      </c>
      <c r="AQ476">
        <v>8</v>
      </c>
      <c r="AS476" t="s">
        <v>4113</v>
      </c>
      <c r="AT476" t="s">
        <v>4127</v>
      </c>
      <c r="AW476">
        <v>4</v>
      </c>
      <c r="AY476" t="s">
        <v>4140</v>
      </c>
      <c r="BA476" t="s">
        <v>4149</v>
      </c>
      <c r="BC476" t="s">
        <v>4155</v>
      </c>
      <c r="BG476" t="s">
        <v>4437</v>
      </c>
      <c r="BM476" t="s">
        <v>4627</v>
      </c>
    </row>
    <row r="477" spans="1:65">
      <c r="A477" s="1">
        <f>HYPERLINK("https://lsnyc.legalserver.org/matter/dynamic-profile/view/1837914","17-1837914")</f>
        <v>0</v>
      </c>
      <c r="B477" t="s">
        <v>76</v>
      </c>
      <c r="C477" t="s">
        <v>93</v>
      </c>
      <c r="D477" t="s">
        <v>304</v>
      </c>
      <c r="F477" t="s">
        <v>727</v>
      </c>
      <c r="G477" t="s">
        <v>1264</v>
      </c>
      <c r="H477" t="s">
        <v>1710</v>
      </c>
      <c r="I477">
        <v>15</v>
      </c>
      <c r="J477" t="s">
        <v>2205</v>
      </c>
      <c r="K477">
        <v>11233</v>
      </c>
      <c r="N477" t="s">
        <v>2233</v>
      </c>
      <c r="O477" t="s">
        <v>2534</v>
      </c>
      <c r="Q477" t="s">
        <v>3194</v>
      </c>
      <c r="R477">
        <v>4</v>
      </c>
      <c r="S477">
        <v>0</v>
      </c>
      <c r="T477">
        <v>35.85</v>
      </c>
      <c r="W477">
        <v>8820</v>
      </c>
      <c r="Y477">
        <v>0.35</v>
      </c>
      <c r="Z477" t="s">
        <v>288</v>
      </c>
      <c r="AA477" t="s">
        <v>3915</v>
      </c>
      <c r="AC477" t="s">
        <v>3942</v>
      </c>
      <c r="AD477" t="s">
        <v>4009</v>
      </c>
      <c r="AF477" t="s">
        <v>4050</v>
      </c>
      <c r="AH477" t="s">
        <v>4076</v>
      </c>
      <c r="AJ477" t="s">
        <v>3942</v>
      </c>
      <c r="AL477" t="s">
        <v>4090</v>
      </c>
      <c r="AM477" t="s">
        <v>2230</v>
      </c>
      <c r="AO477">
        <v>226.34</v>
      </c>
      <c r="AQ477">
        <v>16</v>
      </c>
      <c r="AS477" t="s">
        <v>4113</v>
      </c>
      <c r="AT477" t="s">
        <v>4127</v>
      </c>
      <c r="AW477">
        <v>48</v>
      </c>
      <c r="AY477" t="s">
        <v>4140</v>
      </c>
      <c r="BB477" t="s">
        <v>4154</v>
      </c>
      <c r="BG477" t="s">
        <v>4438</v>
      </c>
      <c r="BM477" t="s">
        <v>4627</v>
      </c>
    </row>
    <row r="478" spans="1:65">
      <c r="A478" s="1">
        <f>HYPERLINK("https://lsnyc.legalserver.org/matter/dynamic-profile/view/1837044","17-1837044")</f>
        <v>0</v>
      </c>
      <c r="B478" t="s">
        <v>76</v>
      </c>
      <c r="C478" t="s">
        <v>93</v>
      </c>
      <c r="D478" t="s">
        <v>305</v>
      </c>
      <c r="E478" t="s">
        <v>476</v>
      </c>
      <c r="F478" t="s">
        <v>728</v>
      </c>
      <c r="G478" t="s">
        <v>1265</v>
      </c>
      <c r="H478" t="s">
        <v>1706</v>
      </c>
      <c r="I478" t="s">
        <v>1928</v>
      </c>
      <c r="J478" t="s">
        <v>2205</v>
      </c>
      <c r="K478">
        <v>11207</v>
      </c>
      <c r="L478" t="s">
        <v>2223</v>
      </c>
      <c r="N478" t="s">
        <v>2233</v>
      </c>
      <c r="O478" t="s">
        <v>2255</v>
      </c>
      <c r="Q478" t="s">
        <v>3195</v>
      </c>
      <c r="R478">
        <v>1</v>
      </c>
      <c r="S478">
        <v>0</v>
      </c>
      <c r="T478">
        <v>129.35</v>
      </c>
      <c r="W478">
        <v>15600</v>
      </c>
      <c r="Y478">
        <v>84.25</v>
      </c>
      <c r="Z478" t="s">
        <v>476</v>
      </c>
      <c r="AA478" t="s">
        <v>90</v>
      </c>
      <c r="AC478" t="s">
        <v>3942</v>
      </c>
      <c r="AD478" t="s">
        <v>377</v>
      </c>
      <c r="AF478" t="s">
        <v>4050</v>
      </c>
      <c r="AH478" t="s">
        <v>4076</v>
      </c>
      <c r="AJ478" t="s">
        <v>3942</v>
      </c>
      <c r="AL478" t="s">
        <v>4089</v>
      </c>
      <c r="AM478" t="s">
        <v>2230</v>
      </c>
      <c r="AO478">
        <v>600</v>
      </c>
      <c r="AQ478">
        <v>2</v>
      </c>
      <c r="AS478" t="s">
        <v>4113</v>
      </c>
      <c r="AU478" t="s">
        <v>4128</v>
      </c>
      <c r="AW478">
        <v>3</v>
      </c>
      <c r="AY478" t="s">
        <v>4140</v>
      </c>
      <c r="BB478" t="s">
        <v>4154</v>
      </c>
      <c r="BE478" t="s">
        <v>4159</v>
      </c>
      <c r="BF478" t="s">
        <v>4281</v>
      </c>
      <c r="BG478" t="s">
        <v>4159</v>
      </c>
      <c r="BH478" t="s">
        <v>4619</v>
      </c>
      <c r="BJ478" t="s">
        <v>4622</v>
      </c>
      <c r="BL478" t="s">
        <v>4626</v>
      </c>
      <c r="BM478" t="s">
        <v>4628</v>
      </c>
    </row>
    <row r="479" spans="1:65">
      <c r="A479" s="1">
        <f>HYPERLINK("https://lsnyc.legalserver.org/matter/dynamic-profile/view/1905728","19-1905728")</f>
        <v>0</v>
      </c>
      <c r="B479" t="s">
        <v>76</v>
      </c>
      <c r="C479" t="s">
        <v>93</v>
      </c>
      <c r="D479" t="s">
        <v>154</v>
      </c>
      <c r="E479" t="s">
        <v>136</v>
      </c>
      <c r="F479" t="s">
        <v>720</v>
      </c>
      <c r="G479" t="s">
        <v>1092</v>
      </c>
      <c r="H479" t="s">
        <v>1705</v>
      </c>
      <c r="I479" t="s">
        <v>1945</v>
      </c>
      <c r="J479" t="s">
        <v>2205</v>
      </c>
      <c r="K479">
        <v>11233</v>
      </c>
      <c r="L479" t="s">
        <v>2224</v>
      </c>
      <c r="N479" t="s">
        <v>2233</v>
      </c>
      <c r="O479" t="s">
        <v>2526</v>
      </c>
      <c r="Q479" t="s">
        <v>3188</v>
      </c>
      <c r="R479">
        <v>1</v>
      </c>
      <c r="S479">
        <v>0</v>
      </c>
      <c r="T479">
        <v>464.37</v>
      </c>
      <c r="W479">
        <v>58000</v>
      </c>
      <c r="X479" t="s">
        <v>3578</v>
      </c>
      <c r="Y479">
        <v>0.1</v>
      </c>
      <c r="Z479" t="s">
        <v>3838</v>
      </c>
      <c r="AA479" t="s">
        <v>90</v>
      </c>
      <c r="AC479" t="s">
        <v>3942</v>
      </c>
      <c r="AF479" t="s">
        <v>4061</v>
      </c>
      <c r="AH479" t="s">
        <v>3510</v>
      </c>
      <c r="AJ479" t="s">
        <v>3942</v>
      </c>
      <c r="AL479" t="s">
        <v>4086</v>
      </c>
      <c r="AM479" t="s">
        <v>2230</v>
      </c>
      <c r="AO479">
        <v>1200</v>
      </c>
      <c r="AQ479">
        <v>6</v>
      </c>
      <c r="AS479" t="s">
        <v>4113</v>
      </c>
      <c r="AU479" t="s">
        <v>4128</v>
      </c>
      <c r="AW479">
        <v>6</v>
      </c>
      <c r="AY479" t="s">
        <v>4140</v>
      </c>
      <c r="BA479" t="s">
        <v>4149</v>
      </c>
      <c r="BC479" t="s">
        <v>4155</v>
      </c>
      <c r="BE479" t="s">
        <v>4128</v>
      </c>
      <c r="BF479" t="s">
        <v>4281</v>
      </c>
      <c r="BG479" t="s">
        <v>4303</v>
      </c>
      <c r="BM479" t="s">
        <v>4628</v>
      </c>
    </row>
    <row r="480" spans="1:65">
      <c r="A480" s="1">
        <f>HYPERLINK("https://lsnyc.legalserver.org/matter/dynamic-profile/view/0831520","17-0831520")</f>
        <v>0</v>
      </c>
      <c r="B480" t="s">
        <v>76</v>
      </c>
      <c r="C480" t="s">
        <v>93</v>
      </c>
      <c r="D480" t="s">
        <v>306</v>
      </c>
      <c r="F480" t="s">
        <v>729</v>
      </c>
      <c r="G480" t="s">
        <v>1266</v>
      </c>
      <c r="H480" t="s">
        <v>1711</v>
      </c>
      <c r="I480">
        <v>15</v>
      </c>
      <c r="J480" t="s">
        <v>2205</v>
      </c>
      <c r="K480">
        <v>11233</v>
      </c>
      <c r="N480" t="s">
        <v>2233</v>
      </c>
      <c r="O480" t="s">
        <v>2535</v>
      </c>
      <c r="Q480" t="s">
        <v>3196</v>
      </c>
      <c r="R480">
        <v>4</v>
      </c>
      <c r="S480">
        <v>0</v>
      </c>
      <c r="T480">
        <v>34.15</v>
      </c>
      <c r="W480">
        <v>8400</v>
      </c>
      <c r="Y480">
        <v>88.26000000000001</v>
      </c>
      <c r="Z480" t="s">
        <v>183</v>
      </c>
      <c r="AA480" t="s">
        <v>3897</v>
      </c>
      <c r="AC480" t="s">
        <v>3942</v>
      </c>
      <c r="AD480" t="s">
        <v>4010</v>
      </c>
      <c r="AF480" t="s">
        <v>4050</v>
      </c>
      <c r="AH480" t="s">
        <v>4076</v>
      </c>
      <c r="AI480" t="s">
        <v>4082</v>
      </c>
      <c r="AK480" t="s">
        <v>4084</v>
      </c>
      <c r="AM480" t="s">
        <v>2230</v>
      </c>
      <c r="AO480">
        <v>226.34</v>
      </c>
      <c r="AQ480">
        <v>16</v>
      </c>
      <c r="AS480" t="s">
        <v>4113</v>
      </c>
      <c r="AT480" t="s">
        <v>4127</v>
      </c>
      <c r="AW480">
        <v>48</v>
      </c>
      <c r="AY480" t="s">
        <v>4140</v>
      </c>
      <c r="BB480" t="s">
        <v>4154</v>
      </c>
      <c r="BG480" t="s">
        <v>4438</v>
      </c>
      <c r="BM480" t="s">
        <v>4627</v>
      </c>
    </row>
    <row r="481" spans="1:65">
      <c r="A481" s="1">
        <f>HYPERLINK("https://lsnyc.legalserver.org/matter/dynamic-profile/view/1835868","17-1835868")</f>
        <v>0</v>
      </c>
      <c r="B481" t="s">
        <v>76</v>
      </c>
      <c r="C481" t="s">
        <v>93</v>
      </c>
      <c r="D481" t="s">
        <v>307</v>
      </c>
      <c r="F481" t="s">
        <v>715</v>
      </c>
      <c r="G481" t="s">
        <v>1252</v>
      </c>
      <c r="H481" t="s">
        <v>1700</v>
      </c>
      <c r="J481" t="s">
        <v>2205</v>
      </c>
      <c r="K481">
        <v>11212</v>
      </c>
      <c r="N481" t="s">
        <v>2233</v>
      </c>
      <c r="O481" t="s">
        <v>2519</v>
      </c>
      <c r="Q481" t="s">
        <v>3181</v>
      </c>
      <c r="R481">
        <v>1</v>
      </c>
      <c r="S481">
        <v>0</v>
      </c>
      <c r="T481">
        <v>76.62</v>
      </c>
      <c r="W481">
        <v>9240</v>
      </c>
      <c r="Y481">
        <v>58.1</v>
      </c>
      <c r="Z481" t="s">
        <v>3819</v>
      </c>
      <c r="AA481" t="s">
        <v>3915</v>
      </c>
      <c r="AC481" t="s">
        <v>3942</v>
      </c>
      <c r="AD481" t="s">
        <v>307</v>
      </c>
      <c r="AF481" t="s">
        <v>4055</v>
      </c>
      <c r="AH481" t="s">
        <v>4078</v>
      </c>
      <c r="AI481" t="s">
        <v>4082</v>
      </c>
      <c r="AK481" t="s">
        <v>4084</v>
      </c>
      <c r="AM481" t="s">
        <v>2230</v>
      </c>
      <c r="AN481" t="s">
        <v>4107</v>
      </c>
      <c r="AO481">
        <v>0</v>
      </c>
      <c r="AQ481">
        <v>31</v>
      </c>
      <c r="AS481" t="s">
        <v>4113</v>
      </c>
      <c r="AT481" t="s">
        <v>4127</v>
      </c>
      <c r="AV481" t="s">
        <v>4137</v>
      </c>
      <c r="AW481">
        <v>0</v>
      </c>
      <c r="AY481" t="s">
        <v>4140</v>
      </c>
      <c r="BB481" t="s">
        <v>4154</v>
      </c>
      <c r="BF481" t="s">
        <v>4281</v>
      </c>
      <c r="BM481" t="s">
        <v>4627</v>
      </c>
    </row>
    <row r="482" spans="1:65">
      <c r="A482" s="1">
        <f>HYPERLINK("https://lsnyc.legalserver.org/matter/dynamic-profile/view/0826220","17-0826220")</f>
        <v>0</v>
      </c>
      <c r="B482" t="s">
        <v>76</v>
      </c>
      <c r="C482" t="s">
        <v>93</v>
      </c>
      <c r="D482" t="s">
        <v>308</v>
      </c>
      <c r="F482" t="s">
        <v>715</v>
      </c>
      <c r="G482" t="s">
        <v>1252</v>
      </c>
      <c r="H482" t="s">
        <v>1700</v>
      </c>
      <c r="J482" t="s">
        <v>2205</v>
      </c>
      <c r="K482">
        <v>11212</v>
      </c>
      <c r="N482" t="s">
        <v>2233</v>
      </c>
      <c r="O482" t="s">
        <v>2519</v>
      </c>
      <c r="Q482" t="s">
        <v>3181</v>
      </c>
      <c r="R482">
        <v>1</v>
      </c>
      <c r="S482">
        <v>0</v>
      </c>
      <c r="T482">
        <v>76.62</v>
      </c>
      <c r="W482">
        <v>9240</v>
      </c>
      <c r="Y482">
        <v>194.7</v>
      </c>
      <c r="Z482" t="s">
        <v>3848</v>
      </c>
      <c r="AA482" t="s">
        <v>90</v>
      </c>
      <c r="AC482" t="s">
        <v>3942</v>
      </c>
      <c r="AD482" t="s">
        <v>260</v>
      </c>
      <c r="AF482" t="s">
        <v>4054</v>
      </c>
      <c r="AH482" t="s">
        <v>4078</v>
      </c>
      <c r="AJ482" t="s">
        <v>3942</v>
      </c>
      <c r="AL482" t="s">
        <v>4086</v>
      </c>
      <c r="AM482" t="s">
        <v>2230</v>
      </c>
      <c r="AO482">
        <v>932</v>
      </c>
      <c r="AQ482">
        <v>31</v>
      </c>
      <c r="AS482" t="s">
        <v>4113</v>
      </c>
      <c r="AU482" t="s">
        <v>4128</v>
      </c>
      <c r="AW482">
        <v>13</v>
      </c>
      <c r="AY482" t="s">
        <v>4140</v>
      </c>
      <c r="BB482" t="s">
        <v>4154</v>
      </c>
      <c r="BG482" t="s">
        <v>4423</v>
      </c>
      <c r="BM482" t="s">
        <v>4627</v>
      </c>
    </row>
    <row r="483" spans="1:65">
      <c r="A483" s="1">
        <f>HYPERLINK("https://lsnyc.legalserver.org/matter/dynamic-profile/view/1875657","18-1875657")</f>
        <v>0</v>
      </c>
      <c r="B483" t="s">
        <v>76</v>
      </c>
      <c r="C483" t="s">
        <v>93</v>
      </c>
      <c r="D483" t="s">
        <v>143</v>
      </c>
      <c r="F483" t="s">
        <v>485</v>
      </c>
      <c r="G483" t="s">
        <v>1267</v>
      </c>
      <c r="H483" t="s">
        <v>1705</v>
      </c>
      <c r="I483" t="s">
        <v>1950</v>
      </c>
      <c r="J483" t="s">
        <v>2205</v>
      </c>
      <c r="K483">
        <v>11233</v>
      </c>
      <c r="N483" t="s">
        <v>2233</v>
      </c>
      <c r="O483" t="s">
        <v>2536</v>
      </c>
      <c r="Q483" t="s">
        <v>3197</v>
      </c>
      <c r="R483">
        <v>3</v>
      </c>
      <c r="S483">
        <v>1</v>
      </c>
      <c r="T483">
        <v>2.39</v>
      </c>
      <c r="W483">
        <v>600</v>
      </c>
      <c r="Y483">
        <v>0.25</v>
      </c>
      <c r="Z483" t="s">
        <v>466</v>
      </c>
      <c r="AA483" t="s">
        <v>3913</v>
      </c>
      <c r="AB483" t="s">
        <v>3940</v>
      </c>
      <c r="AC483" t="s">
        <v>3943</v>
      </c>
      <c r="AE483" t="s">
        <v>4049</v>
      </c>
      <c r="AH483" t="s">
        <v>3510</v>
      </c>
      <c r="AI483" t="s">
        <v>4082</v>
      </c>
      <c r="AK483" t="s">
        <v>4084</v>
      </c>
      <c r="AM483" t="s">
        <v>2230</v>
      </c>
      <c r="AN483" t="s">
        <v>4107</v>
      </c>
      <c r="AO483">
        <v>0</v>
      </c>
      <c r="AP483" t="s">
        <v>4108</v>
      </c>
      <c r="AQ483" t="s">
        <v>4110</v>
      </c>
      <c r="AR483" t="s">
        <v>4112</v>
      </c>
      <c r="AT483" t="s">
        <v>4127</v>
      </c>
      <c r="AV483" t="s">
        <v>4137</v>
      </c>
      <c r="AW483">
        <v>0</v>
      </c>
      <c r="AY483" t="s">
        <v>4140</v>
      </c>
      <c r="AZ483" t="s">
        <v>4148</v>
      </c>
      <c r="BB483" t="s">
        <v>4154</v>
      </c>
      <c r="BF483" t="s">
        <v>4281</v>
      </c>
      <c r="BM483" t="s">
        <v>4627</v>
      </c>
    </row>
    <row r="484" spans="1:65">
      <c r="A484" s="1">
        <f>HYPERLINK("https://lsnyc.legalserver.org/matter/dynamic-profile/view/1895370","19-1895370")</f>
        <v>0</v>
      </c>
      <c r="B484" t="s">
        <v>76</v>
      </c>
      <c r="C484" t="s">
        <v>93</v>
      </c>
      <c r="D484" t="s">
        <v>99</v>
      </c>
      <c r="F484" t="s">
        <v>730</v>
      </c>
      <c r="G484" t="s">
        <v>780</v>
      </c>
      <c r="H484" t="s">
        <v>1599</v>
      </c>
      <c r="I484" t="s">
        <v>1959</v>
      </c>
      <c r="J484" t="s">
        <v>2205</v>
      </c>
      <c r="K484">
        <v>11212</v>
      </c>
      <c r="N484" t="s">
        <v>2233</v>
      </c>
      <c r="O484" t="s">
        <v>2537</v>
      </c>
      <c r="Q484" t="s">
        <v>3198</v>
      </c>
      <c r="R484">
        <v>1</v>
      </c>
      <c r="S484">
        <v>0</v>
      </c>
      <c r="T484">
        <v>16.24</v>
      </c>
      <c r="W484">
        <v>2028</v>
      </c>
      <c r="Y484">
        <v>0</v>
      </c>
      <c r="AA484" t="s">
        <v>70</v>
      </c>
      <c r="AC484" t="s">
        <v>3942</v>
      </c>
      <c r="AD484" t="s">
        <v>99</v>
      </c>
      <c r="AF484" t="s">
        <v>4051</v>
      </c>
      <c r="AH484" t="s">
        <v>4077</v>
      </c>
      <c r="AJ484" t="s">
        <v>3942</v>
      </c>
      <c r="AL484" t="s">
        <v>4093</v>
      </c>
      <c r="AM484" t="s">
        <v>2230</v>
      </c>
      <c r="AO484">
        <v>8730</v>
      </c>
      <c r="AQ484">
        <v>10</v>
      </c>
      <c r="AS484" t="s">
        <v>4113</v>
      </c>
      <c r="AU484" t="s">
        <v>4135</v>
      </c>
      <c r="AW484">
        <v>1</v>
      </c>
      <c r="AY484" t="s">
        <v>4140</v>
      </c>
      <c r="BB484" t="s">
        <v>4154</v>
      </c>
      <c r="BD484" t="s">
        <v>4157</v>
      </c>
      <c r="BE484" t="s">
        <v>4214</v>
      </c>
      <c r="BG484" t="s">
        <v>4285</v>
      </c>
      <c r="BM484" t="s">
        <v>4627</v>
      </c>
    </row>
    <row r="485" spans="1:65">
      <c r="A485" s="1">
        <f>HYPERLINK("https://lsnyc.legalserver.org/matter/dynamic-profile/view/1905731","19-1905731")</f>
        <v>0</v>
      </c>
      <c r="B485" t="s">
        <v>76</v>
      </c>
      <c r="C485" t="s">
        <v>93</v>
      </c>
      <c r="D485" t="s">
        <v>154</v>
      </c>
      <c r="F485" t="s">
        <v>720</v>
      </c>
      <c r="G485" t="s">
        <v>1092</v>
      </c>
      <c r="H485" t="s">
        <v>1705</v>
      </c>
      <c r="I485" t="s">
        <v>1945</v>
      </c>
      <c r="J485" t="s">
        <v>2205</v>
      </c>
      <c r="K485">
        <v>11233</v>
      </c>
      <c r="N485" t="s">
        <v>2233</v>
      </c>
      <c r="O485" t="s">
        <v>2526</v>
      </c>
      <c r="Q485" t="s">
        <v>3188</v>
      </c>
      <c r="R485">
        <v>1</v>
      </c>
      <c r="S485">
        <v>0</v>
      </c>
      <c r="T485">
        <v>464.37</v>
      </c>
      <c r="W485">
        <v>58000</v>
      </c>
      <c r="X485" t="s">
        <v>3578</v>
      </c>
      <c r="Y485">
        <v>0.1</v>
      </c>
      <c r="Z485" t="s">
        <v>3838</v>
      </c>
      <c r="AA485" t="s">
        <v>90</v>
      </c>
      <c r="AC485" t="s">
        <v>3942</v>
      </c>
      <c r="AF485" t="s">
        <v>4061</v>
      </c>
      <c r="AH485" t="s">
        <v>3510</v>
      </c>
      <c r="AJ485" t="s">
        <v>3942</v>
      </c>
      <c r="AL485" t="s">
        <v>4086</v>
      </c>
      <c r="AM485" t="s">
        <v>2230</v>
      </c>
      <c r="AO485">
        <v>1200</v>
      </c>
      <c r="AQ485">
        <v>6</v>
      </c>
      <c r="AS485" t="s">
        <v>4113</v>
      </c>
      <c r="AU485" t="s">
        <v>4128</v>
      </c>
      <c r="AW485">
        <v>6</v>
      </c>
      <c r="AY485" t="s">
        <v>4140</v>
      </c>
      <c r="BA485" t="s">
        <v>4149</v>
      </c>
      <c r="BC485" t="s">
        <v>4155</v>
      </c>
      <c r="BE485" t="s">
        <v>4159</v>
      </c>
      <c r="BF485" t="s">
        <v>4281</v>
      </c>
      <c r="BG485" t="s">
        <v>4327</v>
      </c>
      <c r="BM485" t="s">
        <v>4627</v>
      </c>
    </row>
    <row r="486" spans="1:65">
      <c r="A486" s="1">
        <f>HYPERLINK("https://lsnyc.legalserver.org/matter/dynamic-profile/view/0813904","16-0813904")</f>
        <v>0</v>
      </c>
      <c r="B486" t="s">
        <v>76</v>
      </c>
      <c r="C486" t="s">
        <v>93</v>
      </c>
      <c r="D486" t="s">
        <v>309</v>
      </c>
      <c r="F486" t="s">
        <v>722</v>
      </c>
      <c r="G486" t="s">
        <v>1259</v>
      </c>
      <c r="H486" t="s">
        <v>1618</v>
      </c>
      <c r="I486" t="s">
        <v>1930</v>
      </c>
      <c r="J486" t="s">
        <v>2205</v>
      </c>
      <c r="K486">
        <v>11208</v>
      </c>
      <c r="N486" t="s">
        <v>2233</v>
      </c>
      <c r="O486" t="s">
        <v>2528</v>
      </c>
      <c r="Q486" t="s">
        <v>3190</v>
      </c>
      <c r="R486">
        <v>1</v>
      </c>
      <c r="S486">
        <v>1</v>
      </c>
      <c r="T486">
        <v>67.75</v>
      </c>
      <c r="W486">
        <v>10853.04</v>
      </c>
      <c r="Y486">
        <v>90.95</v>
      </c>
      <c r="Z486" t="s">
        <v>3849</v>
      </c>
      <c r="AA486" t="s">
        <v>80</v>
      </c>
      <c r="AC486" t="s">
        <v>3942</v>
      </c>
      <c r="AD486" t="s">
        <v>4011</v>
      </c>
      <c r="AF486" t="s">
        <v>4053</v>
      </c>
      <c r="AH486" t="s">
        <v>4076</v>
      </c>
      <c r="AJ486" t="s">
        <v>3943</v>
      </c>
      <c r="AL486" t="s">
        <v>4086</v>
      </c>
      <c r="AM486" t="s">
        <v>2230</v>
      </c>
      <c r="AO486">
        <v>984.01</v>
      </c>
      <c r="AQ486">
        <v>53</v>
      </c>
      <c r="AS486" t="s">
        <v>4113</v>
      </c>
      <c r="AU486" t="s">
        <v>4128</v>
      </c>
      <c r="AW486">
        <v>11</v>
      </c>
      <c r="AY486" t="s">
        <v>4140</v>
      </c>
      <c r="BB486" t="s">
        <v>4154</v>
      </c>
      <c r="BE486" t="s">
        <v>4213</v>
      </c>
      <c r="BG486" t="s">
        <v>4439</v>
      </c>
      <c r="BM486" t="s">
        <v>4627</v>
      </c>
    </row>
    <row r="487" spans="1:65">
      <c r="A487" s="1">
        <f>HYPERLINK("https://lsnyc.legalserver.org/matter/dynamic-profile/view/1896730","19-1896730")</f>
        <v>0</v>
      </c>
      <c r="B487" t="s">
        <v>76</v>
      </c>
      <c r="C487" t="s">
        <v>93</v>
      </c>
      <c r="D487" t="s">
        <v>258</v>
      </c>
      <c r="F487" t="s">
        <v>731</v>
      </c>
      <c r="G487" t="s">
        <v>1079</v>
      </c>
      <c r="H487" t="s">
        <v>1709</v>
      </c>
      <c r="I487" t="s">
        <v>1934</v>
      </c>
      <c r="J487" t="s">
        <v>2205</v>
      </c>
      <c r="K487">
        <v>11206</v>
      </c>
      <c r="N487" t="s">
        <v>2233</v>
      </c>
      <c r="O487" t="s">
        <v>2538</v>
      </c>
      <c r="P487" t="s">
        <v>2930</v>
      </c>
      <c r="R487">
        <v>2</v>
      </c>
      <c r="S487">
        <v>0</v>
      </c>
      <c r="T487">
        <v>1.27</v>
      </c>
      <c r="W487">
        <v>215</v>
      </c>
      <c r="X487" t="s">
        <v>3582</v>
      </c>
      <c r="Y487">
        <v>54.8</v>
      </c>
      <c r="Z487" t="s">
        <v>3823</v>
      </c>
      <c r="AA487" t="s">
        <v>77</v>
      </c>
      <c r="AC487" t="s">
        <v>3942</v>
      </c>
      <c r="AD487" t="s">
        <v>3968</v>
      </c>
      <c r="AF487" t="s">
        <v>4053</v>
      </c>
      <c r="AH487" t="s">
        <v>4076</v>
      </c>
      <c r="AJ487" t="s">
        <v>3943</v>
      </c>
      <c r="AL487" t="s">
        <v>4086</v>
      </c>
      <c r="AM487" t="s">
        <v>2230</v>
      </c>
      <c r="AO487">
        <v>1245</v>
      </c>
      <c r="AQ487">
        <v>8</v>
      </c>
      <c r="AS487" t="s">
        <v>4113</v>
      </c>
      <c r="AT487" t="s">
        <v>4127</v>
      </c>
      <c r="AW487">
        <v>2</v>
      </c>
      <c r="AY487" t="s">
        <v>4140</v>
      </c>
      <c r="BA487" t="s">
        <v>4149</v>
      </c>
      <c r="BC487" t="s">
        <v>4155</v>
      </c>
      <c r="BE487" t="s">
        <v>4215</v>
      </c>
      <c r="BG487" t="s">
        <v>4440</v>
      </c>
      <c r="BM487" t="s">
        <v>4627</v>
      </c>
    </row>
    <row r="488" spans="1:65">
      <c r="A488" s="1">
        <f>HYPERLINK("https://lsnyc.legalserver.org/matter/dynamic-profile/view/1905717","19-1905717")</f>
        <v>0</v>
      </c>
      <c r="B488" t="s">
        <v>76</v>
      </c>
      <c r="C488" t="s">
        <v>93</v>
      </c>
      <c r="D488" t="s">
        <v>154</v>
      </c>
      <c r="F488" t="s">
        <v>732</v>
      </c>
      <c r="G488" t="s">
        <v>1220</v>
      </c>
      <c r="H488" t="s">
        <v>1705</v>
      </c>
      <c r="I488" t="s">
        <v>1922</v>
      </c>
      <c r="J488" t="s">
        <v>2205</v>
      </c>
      <c r="K488">
        <v>11233</v>
      </c>
      <c r="N488" t="s">
        <v>2233</v>
      </c>
      <c r="O488" t="s">
        <v>2539</v>
      </c>
      <c r="Q488" t="s">
        <v>3199</v>
      </c>
      <c r="R488">
        <v>2</v>
      </c>
      <c r="S488">
        <v>1</v>
      </c>
      <c r="T488">
        <v>52.77</v>
      </c>
      <c r="W488">
        <v>11256</v>
      </c>
      <c r="Y488">
        <v>0</v>
      </c>
      <c r="AA488" t="s">
        <v>90</v>
      </c>
      <c r="AC488" t="s">
        <v>3942</v>
      </c>
      <c r="AD488" t="s">
        <v>141</v>
      </c>
      <c r="AF488" t="s">
        <v>4061</v>
      </c>
      <c r="AH488" t="s">
        <v>3510</v>
      </c>
      <c r="AJ488" t="s">
        <v>3942</v>
      </c>
      <c r="AL488" t="s">
        <v>4086</v>
      </c>
      <c r="AM488" t="s">
        <v>2230</v>
      </c>
      <c r="AO488">
        <v>867</v>
      </c>
      <c r="AQ488">
        <v>6</v>
      </c>
      <c r="AS488" t="s">
        <v>4113</v>
      </c>
      <c r="AU488" t="s">
        <v>4128</v>
      </c>
      <c r="AW488">
        <v>16</v>
      </c>
      <c r="AY488" t="s">
        <v>4140</v>
      </c>
      <c r="BA488" t="s">
        <v>4149</v>
      </c>
      <c r="BC488" t="s">
        <v>4155</v>
      </c>
      <c r="BE488" t="s">
        <v>4162</v>
      </c>
      <c r="BF488" t="s">
        <v>4281</v>
      </c>
      <c r="BG488" t="s">
        <v>4303</v>
      </c>
      <c r="BM488" t="s">
        <v>4627</v>
      </c>
    </row>
    <row r="489" spans="1:65">
      <c r="A489" s="1">
        <f>HYPERLINK("https://lsnyc.legalserver.org/matter/dynamic-profile/view/1895273","19-1895273")</f>
        <v>0</v>
      </c>
      <c r="B489" t="s">
        <v>76</v>
      </c>
      <c r="C489" t="s">
        <v>93</v>
      </c>
      <c r="D489" t="s">
        <v>99</v>
      </c>
      <c r="F489" t="s">
        <v>484</v>
      </c>
      <c r="G489" t="s">
        <v>1268</v>
      </c>
      <c r="H489" t="s">
        <v>1601</v>
      </c>
      <c r="I489" t="s">
        <v>1921</v>
      </c>
      <c r="J489" t="s">
        <v>2205</v>
      </c>
      <c r="K489">
        <v>11212</v>
      </c>
      <c r="N489" t="s">
        <v>2233</v>
      </c>
      <c r="O489" t="s">
        <v>2540</v>
      </c>
      <c r="P489" t="s">
        <v>2930</v>
      </c>
      <c r="R489">
        <v>2</v>
      </c>
      <c r="S489">
        <v>0</v>
      </c>
      <c r="T489">
        <v>0</v>
      </c>
      <c r="W489">
        <v>0</v>
      </c>
      <c r="X489" t="s">
        <v>3583</v>
      </c>
      <c r="Y489">
        <v>1</v>
      </c>
      <c r="Z489" t="s">
        <v>195</v>
      </c>
      <c r="AA489" t="s">
        <v>90</v>
      </c>
      <c r="AC489" t="s">
        <v>3942</v>
      </c>
      <c r="AD489" t="s">
        <v>247</v>
      </c>
      <c r="AF489" t="s">
        <v>4052</v>
      </c>
      <c r="AH489" t="s">
        <v>4077</v>
      </c>
      <c r="AJ489" t="s">
        <v>3942</v>
      </c>
      <c r="AL489" t="s">
        <v>4100</v>
      </c>
      <c r="AM489" t="s">
        <v>2230</v>
      </c>
      <c r="AO489">
        <v>683</v>
      </c>
      <c r="AQ489">
        <v>10</v>
      </c>
      <c r="AS489" t="s">
        <v>4113</v>
      </c>
      <c r="AU489" t="s">
        <v>4128</v>
      </c>
      <c r="AW489">
        <v>30</v>
      </c>
      <c r="AY489" t="s">
        <v>4140</v>
      </c>
      <c r="BA489" t="s">
        <v>4149</v>
      </c>
      <c r="BB489" t="s">
        <v>4154</v>
      </c>
      <c r="BC489" t="s">
        <v>4128</v>
      </c>
      <c r="BG489" t="s">
        <v>4285</v>
      </c>
      <c r="BM489" t="s">
        <v>4627</v>
      </c>
    </row>
    <row r="490" spans="1:65">
      <c r="A490" s="1">
        <f>HYPERLINK("https://lsnyc.legalserver.org/matter/dynamic-profile/view/1836062","17-1836062")</f>
        <v>0</v>
      </c>
      <c r="B490" t="s">
        <v>76</v>
      </c>
      <c r="C490" t="s">
        <v>93</v>
      </c>
      <c r="D490" t="s">
        <v>302</v>
      </c>
      <c r="F490" t="s">
        <v>585</v>
      </c>
      <c r="G490" t="s">
        <v>1206</v>
      </c>
      <c r="H490" t="s">
        <v>1700</v>
      </c>
      <c r="I490" t="s">
        <v>2002</v>
      </c>
      <c r="J490" t="s">
        <v>2205</v>
      </c>
      <c r="K490">
        <v>11212</v>
      </c>
      <c r="N490" t="s">
        <v>2233</v>
      </c>
      <c r="O490" t="s">
        <v>2462</v>
      </c>
      <c r="Q490" t="s">
        <v>3129</v>
      </c>
      <c r="R490">
        <v>3</v>
      </c>
      <c r="S490">
        <v>0</v>
      </c>
      <c r="T490">
        <v>235.55</v>
      </c>
      <c r="W490">
        <v>48100</v>
      </c>
      <c r="X490" t="s">
        <v>3584</v>
      </c>
      <c r="Y490">
        <v>0.1</v>
      </c>
      <c r="Z490" t="s">
        <v>302</v>
      </c>
      <c r="AA490" t="s">
        <v>3915</v>
      </c>
      <c r="AC490" t="s">
        <v>3942</v>
      </c>
      <c r="AD490" t="s">
        <v>302</v>
      </c>
      <c r="AF490" t="s">
        <v>4055</v>
      </c>
      <c r="AH490" t="s">
        <v>4078</v>
      </c>
      <c r="AJ490" t="s">
        <v>3942</v>
      </c>
      <c r="AL490" t="s">
        <v>4086</v>
      </c>
      <c r="AM490" t="s">
        <v>2230</v>
      </c>
      <c r="AO490">
        <v>893.61</v>
      </c>
      <c r="AQ490">
        <v>31</v>
      </c>
      <c r="AS490" t="s">
        <v>4113</v>
      </c>
      <c r="AT490" t="s">
        <v>4127</v>
      </c>
      <c r="AW490">
        <v>8</v>
      </c>
      <c r="AY490" t="s">
        <v>4140</v>
      </c>
      <c r="BB490" t="s">
        <v>4154</v>
      </c>
      <c r="BF490" t="s">
        <v>4281</v>
      </c>
      <c r="BM490" t="s">
        <v>4627</v>
      </c>
    </row>
    <row r="491" spans="1:65">
      <c r="A491" s="1">
        <f>HYPERLINK("https://lsnyc.legalserver.org/matter/dynamic-profile/view/1905713","19-1905713")</f>
        <v>0</v>
      </c>
      <c r="B491" t="s">
        <v>76</v>
      </c>
      <c r="C491" t="s">
        <v>93</v>
      </c>
      <c r="D491" t="s">
        <v>154</v>
      </c>
      <c r="F491" t="s">
        <v>732</v>
      </c>
      <c r="G491" t="s">
        <v>1220</v>
      </c>
      <c r="H491" t="s">
        <v>1705</v>
      </c>
      <c r="I491" t="s">
        <v>1922</v>
      </c>
      <c r="J491" t="s">
        <v>2205</v>
      </c>
      <c r="K491">
        <v>11233</v>
      </c>
      <c r="N491" t="s">
        <v>2233</v>
      </c>
      <c r="O491" t="s">
        <v>2539</v>
      </c>
      <c r="Q491" t="s">
        <v>3199</v>
      </c>
      <c r="R491">
        <v>2</v>
      </c>
      <c r="S491">
        <v>1</v>
      </c>
      <c r="T491">
        <v>52.77</v>
      </c>
      <c r="W491">
        <v>11256</v>
      </c>
      <c r="Y491">
        <v>0</v>
      </c>
      <c r="AA491" t="s">
        <v>90</v>
      </c>
      <c r="AC491" t="s">
        <v>3942</v>
      </c>
      <c r="AD491" t="s">
        <v>4008</v>
      </c>
      <c r="AF491" t="s">
        <v>4061</v>
      </c>
      <c r="AH491" t="s">
        <v>3510</v>
      </c>
      <c r="AJ491" t="s">
        <v>3942</v>
      </c>
      <c r="AL491" t="s">
        <v>4086</v>
      </c>
      <c r="AM491" t="s">
        <v>2230</v>
      </c>
      <c r="AO491">
        <v>867</v>
      </c>
      <c r="AQ491">
        <v>6</v>
      </c>
      <c r="AS491" t="s">
        <v>4113</v>
      </c>
      <c r="AU491" t="s">
        <v>4128</v>
      </c>
      <c r="AW491">
        <v>16</v>
      </c>
      <c r="AY491" t="s">
        <v>4140</v>
      </c>
      <c r="BA491" t="s">
        <v>4149</v>
      </c>
      <c r="BC491" t="s">
        <v>4155</v>
      </c>
      <c r="BE491" t="s">
        <v>4160</v>
      </c>
      <c r="BF491" t="s">
        <v>4281</v>
      </c>
      <c r="BG491" t="s">
        <v>4054</v>
      </c>
      <c r="BM491" t="s">
        <v>4627</v>
      </c>
    </row>
    <row r="492" spans="1:65">
      <c r="A492" s="1">
        <f>HYPERLINK("https://lsnyc.legalserver.org/matter/dynamic-profile/view/1843178","17-1843178")</f>
        <v>0</v>
      </c>
      <c r="B492" t="s">
        <v>76</v>
      </c>
      <c r="C492" t="s">
        <v>93</v>
      </c>
      <c r="D492" t="s">
        <v>310</v>
      </c>
      <c r="F492" t="s">
        <v>726</v>
      </c>
      <c r="G492" t="s">
        <v>1263</v>
      </c>
      <c r="H492" t="s">
        <v>1709</v>
      </c>
      <c r="J492" t="s">
        <v>2205</v>
      </c>
      <c r="K492">
        <v>11206</v>
      </c>
      <c r="N492" t="s">
        <v>2233</v>
      </c>
      <c r="O492" t="s">
        <v>2533</v>
      </c>
      <c r="Q492" t="s">
        <v>3193</v>
      </c>
      <c r="R492">
        <v>1</v>
      </c>
      <c r="S492">
        <v>1</v>
      </c>
      <c r="T492">
        <v>189.66</v>
      </c>
      <c r="W492">
        <v>30800</v>
      </c>
      <c r="X492" t="s">
        <v>3491</v>
      </c>
      <c r="Y492">
        <v>42.25</v>
      </c>
      <c r="Z492" t="s">
        <v>3850</v>
      </c>
      <c r="AA492" t="s">
        <v>3897</v>
      </c>
      <c r="AC492" t="s">
        <v>3942</v>
      </c>
      <c r="AD492" t="s">
        <v>3951</v>
      </c>
      <c r="AF492" t="s">
        <v>4062</v>
      </c>
      <c r="AH492" t="s">
        <v>4076</v>
      </c>
      <c r="AJ492" t="s">
        <v>3943</v>
      </c>
      <c r="AL492" t="s">
        <v>4087</v>
      </c>
      <c r="AM492" t="s">
        <v>2230</v>
      </c>
      <c r="AO492">
        <v>588</v>
      </c>
      <c r="AQ492">
        <v>8</v>
      </c>
      <c r="AS492" t="s">
        <v>4113</v>
      </c>
      <c r="AT492" t="s">
        <v>4127</v>
      </c>
      <c r="AW492">
        <v>4</v>
      </c>
      <c r="AY492" t="s">
        <v>4140</v>
      </c>
      <c r="BB492" t="s">
        <v>4154</v>
      </c>
      <c r="BF492" t="s">
        <v>4281</v>
      </c>
      <c r="BG492" t="s">
        <v>4441</v>
      </c>
      <c r="BM492" t="s">
        <v>4627</v>
      </c>
    </row>
    <row r="493" spans="1:65">
      <c r="A493" s="1">
        <f>HYPERLINK("https://lsnyc.legalserver.org/matter/dynamic-profile/view/0813882","16-0813882")</f>
        <v>0</v>
      </c>
      <c r="B493" t="s">
        <v>76</v>
      </c>
      <c r="C493" t="s">
        <v>93</v>
      </c>
      <c r="D493" t="s">
        <v>309</v>
      </c>
      <c r="F493" t="s">
        <v>726</v>
      </c>
      <c r="G493" t="s">
        <v>1269</v>
      </c>
      <c r="H493" t="s">
        <v>1712</v>
      </c>
      <c r="I493" t="s">
        <v>1922</v>
      </c>
      <c r="J493" t="s">
        <v>2205</v>
      </c>
      <c r="K493">
        <v>11213</v>
      </c>
      <c r="N493" t="s">
        <v>2233</v>
      </c>
      <c r="O493" t="s">
        <v>2541</v>
      </c>
      <c r="Q493" t="s">
        <v>3200</v>
      </c>
      <c r="R493">
        <v>1</v>
      </c>
      <c r="S493">
        <v>0</v>
      </c>
      <c r="T493">
        <v>242.42</v>
      </c>
      <c r="U493" t="s">
        <v>3452</v>
      </c>
      <c r="W493">
        <v>28800</v>
      </c>
      <c r="X493" t="s">
        <v>3585</v>
      </c>
      <c r="Y493">
        <v>16.65</v>
      </c>
      <c r="Z493" t="s">
        <v>160</v>
      </c>
      <c r="AA493" t="s">
        <v>80</v>
      </c>
      <c r="AC493" t="s">
        <v>3942</v>
      </c>
      <c r="AD493" t="s">
        <v>309</v>
      </c>
      <c r="AF493" t="s">
        <v>4053</v>
      </c>
      <c r="AH493" t="s">
        <v>4076</v>
      </c>
      <c r="AJ493" t="s">
        <v>3942</v>
      </c>
      <c r="AL493" t="s">
        <v>4089</v>
      </c>
      <c r="AM493" t="s">
        <v>2230</v>
      </c>
      <c r="AO493">
        <v>1125</v>
      </c>
      <c r="AQ493">
        <v>5</v>
      </c>
      <c r="AS493" t="s">
        <v>4114</v>
      </c>
      <c r="AU493" t="s">
        <v>4128</v>
      </c>
      <c r="AW493">
        <v>5</v>
      </c>
      <c r="AY493" t="s">
        <v>4140</v>
      </c>
      <c r="BB493" t="s">
        <v>4154</v>
      </c>
      <c r="BG493" t="s">
        <v>4442</v>
      </c>
      <c r="BM493" t="s">
        <v>4627</v>
      </c>
    </row>
    <row r="494" spans="1:65">
      <c r="A494" s="1">
        <f>HYPERLINK("https://lsnyc.legalserver.org/matter/dynamic-profile/view/1836206","17-1836206")</f>
        <v>0</v>
      </c>
      <c r="B494" t="s">
        <v>76</v>
      </c>
      <c r="C494" t="s">
        <v>93</v>
      </c>
      <c r="D494" t="s">
        <v>311</v>
      </c>
      <c r="F494" t="s">
        <v>670</v>
      </c>
      <c r="G494" t="s">
        <v>1021</v>
      </c>
      <c r="H494" t="s">
        <v>1700</v>
      </c>
      <c r="I494" t="s">
        <v>1942</v>
      </c>
      <c r="J494" t="s">
        <v>2205</v>
      </c>
      <c r="K494">
        <v>11212</v>
      </c>
      <c r="N494" t="s">
        <v>2233</v>
      </c>
      <c r="O494" t="s">
        <v>2458</v>
      </c>
      <c r="Q494" t="s">
        <v>3125</v>
      </c>
      <c r="R494">
        <v>2</v>
      </c>
      <c r="S494">
        <v>0</v>
      </c>
      <c r="T494">
        <v>92.81</v>
      </c>
      <c r="W494">
        <v>21672</v>
      </c>
      <c r="Y494">
        <v>1.85</v>
      </c>
      <c r="Z494" t="s">
        <v>3848</v>
      </c>
      <c r="AA494" t="s">
        <v>3915</v>
      </c>
      <c r="AC494" t="s">
        <v>3942</v>
      </c>
      <c r="AD494" t="s">
        <v>311</v>
      </c>
      <c r="AF494" t="s">
        <v>4055</v>
      </c>
      <c r="AH494" t="s">
        <v>4078</v>
      </c>
      <c r="AJ494" t="s">
        <v>3942</v>
      </c>
      <c r="AL494" t="s">
        <v>4086</v>
      </c>
      <c r="AM494" t="s">
        <v>2230</v>
      </c>
      <c r="AO494">
        <v>755</v>
      </c>
      <c r="AQ494">
        <v>31</v>
      </c>
      <c r="AS494" t="s">
        <v>4113</v>
      </c>
      <c r="AT494" t="s">
        <v>4127</v>
      </c>
      <c r="AW494">
        <v>30</v>
      </c>
      <c r="AY494" t="s">
        <v>4140</v>
      </c>
      <c r="BB494" t="s">
        <v>4154</v>
      </c>
      <c r="BF494" t="s">
        <v>4281</v>
      </c>
      <c r="BM494" t="s">
        <v>4627</v>
      </c>
    </row>
    <row r="495" spans="1:65">
      <c r="A495" s="1">
        <f>HYPERLINK("https://lsnyc.legalserver.org/matter/dynamic-profile/view/1905723","19-1905723")</f>
        <v>0</v>
      </c>
      <c r="B495" t="s">
        <v>76</v>
      </c>
      <c r="C495" t="s">
        <v>93</v>
      </c>
      <c r="D495" t="s">
        <v>154</v>
      </c>
      <c r="F495" t="s">
        <v>732</v>
      </c>
      <c r="G495" t="s">
        <v>1220</v>
      </c>
      <c r="H495" t="s">
        <v>1705</v>
      </c>
      <c r="I495" t="s">
        <v>1922</v>
      </c>
      <c r="J495" t="s">
        <v>2205</v>
      </c>
      <c r="K495">
        <v>11233</v>
      </c>
      <c r="N495" t="s">
        <v>2233</v>
      </c>
      <c r="O495" t="s">
        <v>2539</v>
      </c>
      <c r="Q495" t="s">
        <v>3199</v>
      </c>
      <c r="R495">
        <v>2</v>
      </c>
      <c r="S495">
        <v>1</v>
      </c>
      <c r="T495">
        <v>52.77</v>
      </c>
      <c r="W495">
        <v>11256</v>
      </c>
      <c r="Y495">
        <v>0</v>
      </c>
      <c r="AA495" t="s">
        <v>90</v>
      </c>
      <c r="AC495" t="s">
        <v>3942</v>
      </c>
      <c r="AD495" t="s">
        <v>168</v>
      </c>
      <c r="AF495" t="s">
        <v>4061</v>
      </c>
      <c r="AH495" t="s">
        <v>3510</v>
      </c>
      <c r="AJ495" t="s">
        <v>3942</v>
      </c>
      <c r="AL495" t="s">
        <v>4086</v>
      </c>
      <c r="AM495" t="s">
        <v>2230</v>
      </c>
      <c r="AO495">
        <v>867</v>
      </c>
      <c r="AQ495">
        <v>6</v>
      </c>
      <c r="AS495" t="s">
        <v>4113</v>
      </c>
      <c r="AU495" t="s">
        <v>4128</v>
      </c>
      <c r="AW495">
        <v>16</v>
      </c>
      <c r="AY495" t="s">
        <v>4140</v>
      </c>
      <c r="BA495" t="s">
        <v>4149</v>
      </c>
      <c r="BC495" t="s">
        <v>4155</v>
      </c>
      <c r="BE495" t="s">
        <v>4162</v>
      </c>
      <c r="BF495" t="s">
        <v>4281</v>
      </c>
      <c r="BG495" t="s">
        <v>4054</v>
      </c>
      <c r="BM495" t="s">
        <v>4627</v>
      </c>
    </row>
    <row r="496" spans="1:65">
      <c r="A496" s="1">
        <f>HYPERLINK("https://lsnyc.legalserver.org/matter/dynamic-profile/view/1861493","18-1861493")</f>
        <v>0</v>
      </c>
      <c r="B496" t="s">
        <v>76</v>
      </c>
      <c r="C496" t="s">
        <v>93</v>
      </c>
      <c r="D496" t="s">
        <v>312</v>
      </c>
      <c r="F496" t="s">
        <v>732</v>
      </c>
      <c r="G496" t="s">
        <v>1220</v>
      </c>
      <c r="H496" t="s">
        <v>1705</v>
      </c>
      <c r="I496" t="s">
        <v>1922</v>
      </c>
      <c r="J496" t="s">
        <v>2205</v>
      </c>
      <c r="K496">
        <v>11233</v>
      </c>
      <c r="N496" t="s">
        <v>2233</v>
      </c>
      <c r="O496" t="s">
        <v>2539</v>
      </c>
      <c r="Q496" t="s">
        <v>3199</v>
      </c>
      <c r="R496">
        <v>2</v>
      </c>
      <c r="S496">
        <v>1</v>
      </c>
      <c r="T496">
        <v>52.95</v>
      </c>
      <c r="W496">
        <v>11004</v>
      </c>
      <c r="Y496">
        <v>51.9</v>
      </c>
      <c r="Z496" t="s">
        <v>3851</v>
      </c>
      <c r="AA496" t="s">
        <v>80</v>
      </c>
      <c r="AC496" t="s">
        <v>3942</v>
      </c>
      <c r="AD496" t="s">
        <v>4012</v>
      </c>
      <c r="AF496" t="s">
        <v>4053</v>
      </c>
      <c r="AH496" t="s">
        <v>4076</v>
      </c>
      <c r="AJ496" t="s">
        <v>3943</v>
      </c>
      <c r="AL496" t="s">
        <v>4086</v>
      </c>
      <c r="AM496" t="s">
        <v>2230</v>
      </c>
      <c r="AO496">
        <v>867</v>
      </c>
      <c r="AQ496">
        <v>6</v>
      </c>
      <c r="AS496" t="s">
        <v>4113</v>
      </c>
      <c r="AU496" t="s">
        <v>4128</v>
      </c>
      <c r="AW496">
        <v>16</v>
      </c>
      <c r="AY496" t="s">
        <v>4140</v>
      </c>
      <c r="BC496" t="s">
        <v>4155</v>
      </c>
      <c r="BF496" t="s">
        <v>4281</v>
      </c>
      <c r="BM496" t="s">
        <v>4627</v>
      </c>
    </row>
    <row r="497" spans="1:65">
      <c r="A497" s="1">
        <f>HYPERLINK("https://lsnyc.legalserver.org/matter/dynamic-profile/view/1905780","19-1905780")</f>
        <v>0</v>
      </c>
      <c r="B497" t="s">
        <v>76</v>
      </c>
      <c r="C497" t="s">
        <v>93</v>
      </c>
      <c r="D497" t="s">
        <v>154</v>
      </c>
      <c r="F497" t="s">
        <v>532</v>
      </c>
      <c r="G497" t="s">
        <v>1066</v>
      </c>
      <c r="H497" t="s">
        <v>1601</v>
      </c>
      <c r="I497" t="s">
        <v>1947</v>
      </c>
      <c r="J497" t="s">
        <v>2205</v>
      </c>
      <c r="K497">
        <v>11212</v>
      </c>
      <c r="N497" t="s">
        <v>2233</v>
      </c>
      <c r="O497" t="s">
        <v>2298</v>
      </c>
      <c r="Q497" t="s">
        <v>2980</v>
      </c>
      <c r="R497">
        <v>1</v>
      </c>
      <c r="S497">
        <v>0</v>
      </c>
      <c r="T497">
        <v>248.47</v>
      </c>
      <c r="W497">
        <v>31033.6</v>
      </c>
      <c r="X497" t="s">
        <v>3586</v>
      </c>
      <c r="Y497">
        <v>0</v>
      </c>
      <c r="AA497" t="s">
        <v>90</v>
      </c>
      <c r="AC497" t="s">
        <v>3942</v>
      </c>
      <c r="AD497" t="s">
        <v>404</v>
      </c>
      <c r="AF497" t="s">
        <v>4054</v>
      </c>
      <c r="AH497" t="s">
        <v>3510</v>
      </c>
      <c r="AJ497" t="s">
        <v>3942</v>
      </c>
      <c r="AL497" t="s">
        <v>4086</v>
      </c>
      <c r="AM497" t="s">
        <v>2230</v>
      </c>
      <c r="AO497">
        <v>839.77</v>
      </c>
      <c r="AQ497">
        <v>8</v>
      </c>
      <c r="AS497" t="s">
        <v>4113</v>
      </c>
      <c r="AU497" t="s">
        <v>4128</v>
      </c>
      <c r="AW497">
        <v>24</v>
      </c>
      <c r="AY497" t="s">
        <v>4140</v>
      </c>
      <c r="BA497" t="s">
        <v>4149</v>
      </c>
      <c r="BC497" t="s">
        <v>4155</v>
      </c>
      <c r="BE497" t="s">
        <v>4159</v>
      </c>
      <c r="BF497" t="s">
        <v>4281</v>
      </c>
      <c r="BG497" t="s">
        <v>4159</v>
      </c>
      <c r="BM497" t="s">
        <v>4627</v>
      </c>
    </row>
    <row r="498" spans="1:65">
      <c r="A498" s="1">
        <f>HYPERLINK("https://lsnyc.legalserver.org/matter/dynamic-profile/view/0809425","16-0809425")</f>
        <v>0</v>
      </c>
      <c r="B498" t="s">
        <v>77</v>
      </c>
      <c r="C498" t="s">
        <v>93</v>
      </c>
      <c r="D498" t="s">
        <v>313</v>
      </c>
      <c r="F498" t="s">
        <v>519</v>
      </c>
      <c r="G498" t="s">
        <v>1051</v>
      </c>
      <c r="H498" t="s">
        <v>1589</v>
      </c>
      <c r="I498" t="s">
        <v>1926</v>
      </c>
      <c r="J498" t="s">
        <v>2205</v>
      </c>
      <c r="K498">
        <v>11212</v>
      </c>
      <c r="N498" t="s">
        <v>2233</v>
      </c>
      <c r="O498" t="s">
        <v>2284</v>
      </c>
      <c r="Q498" t="s">
        <v>2966</v>
      </c>
      <c r="R498">
        <v>1</v>
      </c>
      <c r="S498">
        <v>1</v>
      </c>
      <c r="T498">
        <v>0</v>
      </c>
      <c r="W498">
        <v>0</v>
      </c>
      <c r="X498" t="s">
        <v>3587</v>
      </c>
      <c r="Y498">
        <v>7.35</v>
      </c>
      <c r="Z498" t="s">
        <v>3852</v>
      </c>
      <c r="AA498" t="s">
        <v>90</v>
      </c>
      <c r="AC498" t="s">
        <v>3942</v>
      </c>
      <c r="AD498" t="s">
        <v>4013</v>
      </c>
      <c r="AF498" t="s">
        <v>4050</v>
      </c>
      <c r="AH498" t="s">
        <v>4076</v>
      </c>
      <c r="AJ498" t="s">
        <v>3942</v>
      </c>
      <c r="AL498" t="s">
        <v>4096</v>
      </c>
      <c r="AM498" t="s">
        <v>2230</v>
      </c>
      <c r="AN498" t="s">
        <v>4107</v>
      </c>
      <c r="AO498">
        <v>0</v>
      </c>
      <c r="AQ498">
        <v>12</v>
      </c>
      <c r="AS498" t="s">
        <v>4113</v>
      </c>
      <c r="AT498" t="s">
        <v>4127</v>
      </c>
      <c r="AW498">
        <v>1</v>
      </c>
      <c r="AY498" t="s">
        <v>4140</v>
      </c>
      <c r="BB498" t="s">
        <v>4154</v>
      </c>
      <c r="BG498" t="s">
        <v>4443</v>
      </c>
      <c r="BM498" t="s">
        <v>4627</v>
      </c>
    </row>
    <row r="499" spans="1:65">
      <c r="A499" s="1">
        <f>HYPERLINK("https://lsnyc.legalserver.org/matter/dynamic-profile/view/0820315","16-0820315")</f>
        <v>0</v>
      </c>
      <c r="B499" t="s">
        <v>77</v>
      </c>
      <c r="C499" t="s">
        <v>93</v>
      </c>
      <c r="D499" t="s">
        <v>130</v>
      </c>
      <c r="F499" t="s">
        <v>515</v>
      </c>
      <c r="G499" t="s">
        <v>1048</v>
      </c>
      <c r="H499" t="s">
        <v>1587</v>
      </c>
      <c r="I499" t="s">
        <v>1925</v>
      </c>
      <c r="J499" t="s">
        <v>2205</v>
      </c>
      <c r="K499">
        <v>11212</v>
      </c>
      <c r="N499" t="s">
        <v>2233</v>
      </c>
      <c r="O499" t="s">
        <v>2280</v>
      </c>
      <c r="Q499" t="s">
        <v>2963</v>
      </c>
      <c r="R499">
        <v>2</v>
      </c>
      <c r="S499">
        <v>2</v>
      </c>
      <c r="T499">
        <v>58.91</v>
      </c>
      <c r="W499">
        <v>23112</v>
      </c>
      <c r="Y499">
        <v>4.3</v>
      </c>
      <c r="Z499" t="s">
        <v>339</v>
      </c>
      <c r="AA499" t="s">
        <v>3897</v>
      </c>
      <c r="AC499" t="s">
        <v>3942</v>
      </c>
      <c r="AD499" t="s">
        <v>130</v>
      </c>
      <c r="AF499" t="s">
        <v>4062</v>
      </c>
      <c r="AH499" t="s">
        <v>4076</v>
      </c>
      <c r="AJ499" t="s">
        <v>3942</v>
      </c>
      <c r="AK499" t="s">
        <v>4084</v>
      </c>
      <c r="AM499" t="s">
        <v>2230</v>
      </c>
      <c r="AN499" t="s">
        <v>4107</v>
      </c>
      <c r="AO499">
        <v>0</v>
      </c>
      <c r="AQ499">
        <v>12</v>
      </c>
      <c r="AR499" t="s">
        <v>4112</v>
      </c>
      <c r="AT499" t="s">
        <v>4127</v>
      </c>
      <c r="AV499" t="s">
        <v>4137</v>
      </c>
      <c r="AW499">
        <v>0</v>
      </c>
      <c r="AY499" t="s">
        <v>4140</v>
      </c>
      <c r="BB499" t="s">
        <v>4154</v>
      </c>
      <c r="BF499" t="s">
        <v>4281</v>
      </c>
      <c r="BG499" t="s">
        <v>4309</v>
      </c>
      <c r="BM499" t="s">
        <v>4627</v>
      </c>
    </row>
    <row r="500" spans="1:65">
      <c r="A500" s="1">
        <f>HYPERLINK("https://lsnyc.legalserver.org/matter/dynamic-profile/view/0820308","16-0820308")</f>
        <v>0</v>
      </c>
      <c r="B500" t="s">
        <v>77</v>
      </c>
      <c r="C500" t="s">
        <v>93</v>
      </c>
      <c r="D500" t="s">
        <v>130</v>
      </c>
      <c r="F500" t="s">
        <v>733</v>
      </c>
      <c r="G500" t="s">
        <v>1270</v>
      </c>
      <c r="H500" t="s">
        <v>1589</v>
      </c>
      <c r="I500" t="s">
        <v>1991</v>
      </c>
      <c r="J500" t="s">
        <v>2205</v>
      </c>
      <c r="K500">
        <v>11212</v>
      </c>
      <c r="N500" t="s">
        <v>2233</v>
      </c>
      <c r="O500" t="s">
        <v>2542</v>
      </c>
      <c r="Q500" t="s">
        <v>3201</v>
      </c>
      <c r="R500">
        <v>1</v>
      </c>
      <c r="S500">
        <v>1</v>
      </c>
      <c r="T500">
        <v>175.77</v>
      </c>
      <c r="W500">
        <v>35635</v>
      </c>
      <c r="Y500">
        <v>0.2</v>
      </c>
      <c r="Z500" t="s">
        <v>3853</v>
      </c>
      <c r="AA500" t="s">
        <v>90</v>
      </c>
      <c r="AC500" t="s">
        <v>3942</v>
      </c>
      <c r="AD500" t="s">
        <v>4014</v>
      </c>
      <c r="AF500" t="s">
        <v>4062</v>
      </c>
      <c r="AH500" t="s">
        <v>4076</v>
      </c>
      <c r="AI500" t="s">
        <v>4082</v>
      </c>
      <c r="AL500" t="s">
        <v>4087</v>
      </c>
      <c r="AM500" t="s">
        <v>2230</v>
      </c>
      <c r="AN500" t="s">
        <v>4107</v>
      </c>
      <c r="AO500">
        <v>0</v>
      </c>
      <c r="AQ500">
        <v>21</v>
      </c>
      <c r="AS500" t="s">
        <v>4113</v>
      </c>
      <c r="AU500" t="s">
        <v>4131</v>
      </c>
      <c r="AW500">
        <v>2</v>
      </c>
      <c r="AY500" t="s">
        <v>4140</v>
      </c>
      <c r="BB500" t="s">
        <v>4154</v>
      </c>
      <c r="BD500" t="s">
        <v>4157</v>
      </c>
      <c r="BE500" t="s">
        <v>4216</v>
      </c>
      <c r="BF500" t="s">
        <v>4281</v>
      </c>
      <c r="BG500" t="s">
        <v>4444</v>
      </c>
      <c r="BM500" t="s">
        <v>4627</v>
      </c>
    </row>
    <row r="501" spans="1:65">
      <c r="A501" s="1">
        <f>HYPERLINK("https://lsnyc.legalserver.org/matter/dynamic-profile/view/0800537","16-0800537")</f>
        <v>0</v>
      </c>
      <c r="B501" t="s">
        <v>77</v>
      </c>
      <c r="C501" t="s">
        <v>93</v>
      </c>
      <c r="D501" t="s">
        <v>314</v>
      </c>
      <c r="F501" t="s">
        <v>733</v>
      </c>
      <c r="G501" t="s">
        <v>1270</v>
      </c>
      <c r="H501" t="s">
        <v>1589</v>
      </c>
      <c r="I501" t="s">
        <v>1991</v>
      </c>
      <c r="J501" t="s">
        <v>2205</v>
      </c>
      <c r="K501">
        <v>11212</v>
      </c>
      <c r="N501" t="s">
        <v>2233</v>
      </c>
      <c r="O501" t="s">
        <v>2542</v>
      </c>
      <c r="Q501" t="s">
        <v>3201</v>
      </c>
      <c r="R501">
        <v>1</v>
      </c>
      <c r="S501">
        <v>1</v>
      </c>
      <c r="T501">
        <v>118.97</v>
      </c>
      <c r="W501">
        <v>19059</v>
      </c>
      <c r="Y501">
        <v>33.15</v>
      </c>
      <c r="Z501" t="s">
        <v>3831</v>
      </c>
      <c r="AA501" t="s">
        <v>84</v>
      </c>
      <c r="AC501" t="s">
        <v>3942</v>
      </c>
      <c r="AD501" t="s">
        <v>314</v>
      </c>
      <c r="AF501" t="s">
        <v>4050</v>
      </c>
      <c r="AH501" t="s">
        <v>4076</v>
      </c>
      <c r="AI501" t="s">
        <v>4082</v>
      </c>
      <c r="AL501" t="s">
        <v>4087</v>
      </c>
      <c r="AM501" t="s">
        <v>2230</v>
      </c>
      <c r="AN501" t="s">
        <v>4107</v>
      </c>
      <c r="AO501">
        <v>0</v>
      </c>
      <c r="AQ501">
        <v>21</v>
      </c>
      <c r="AR501" t="s">
        <v>4112</v>
      </c>
      <c r="AU501" t="s">
        <v>4131</v>
      </c>
      <c r="AW501">
        <v>2</v>
      </c>
      <c r="AY501" t="s">
        <v>4140</v>
      </c>
      <c r="BB501" t="s">
        <v>4154</v>
      </c>
      <c r="BD501" t="s">
        <v>4157</v>
      </c>
      <c r="BE501" t="s">
        <v>4216</v>
      </c>
      <c r="BG501" t="s">
        <v>4445</v>
      </c>
      <c r="BM501" t="s">
        <v>4627</v>
      </c>
    </row>
    <row r="502" spans="1:65">
      <c r="A502" s="1">
        <f>HYPERLINK("https://lsnyc.legalserver.org/matter/dynamic-profile/view/0820320","16-0820320")</f>
        <v>0</v>
      </c>
      <c r="B502" t="s">
        <v>77</v>
      </c>
      <c r="C502" t="s">
        <v>93</v>
      </c>
      <c r="D502" t="s">
        <v>130</v>
      </c>
      <c r="F502" t="s">
        <v>734</v>
      </c>
      <c r="G502" t="s">
        <v>1066</v>
      </c>
      <c r="H502" t="s">
        <v>1713</v>
      </c>
      <c r="I502" t="s">
        <v>1920</v>
      </c>
      <c r="J502" t="s">
        <v>2205</v>
      </c>
      <c r="K502">
        <v>11212</v>
      </c>
      <c r="N502" t="s">
        <v>2233</v>
      </c>
      <c r="O502" t="s">
        <v>2543</v>
      </c>
      <c r="Q502" t="s">
        <v>3202</v>
      </c>
      <c r="R502">
        <v>1</v>
      </c>
      <c r="S502">
        <v>2</v>
      </c>
      <c r="T502">
        <v>11.55</v>
      </c>
      <c r="W502">
        <v>2328</v>
      </c>
      <c r="Y502">
        <v>0.1</v>
      </c>
      <c r="Z502" t="s">
        <v>341</v>
      </c>
      <c r="AA502" t="s">
        <v>3897</v>
      </c>
      <c r="AC502" t="s">
        <v>3942</v>
      </c>
      <c r="AD502" t="s">
        <v>130</v>
      </c>
      <c r="AF502" t="s">
        <v>4062</v>
      </c>
      <c r="AH502" t="s">
        <v>4076</v>
      </c>
      <c r="AJ502" t="s">
        <v>3942</v>
      </c>
      <c r="AK502" t="s">
        <v>4084</v>
      </c>
      <c r="AM502" t="s">
        <v>2230</v>
      </c>
      <c r="AN502" t="s">
        <v>4107</v>
      </c>
      <c r="AO502">
        <v>0</v>
      </c>
      <c r="AQ502">
        <v>12</v>
      </c>
      <c r="AR502" t="s">
        <v>4112</v>
      </c>
      <c r="AT502" t="s">
        <v>4127</v>
      </c>
      <c r="AV502" t="s">
        <v>4137</v>
      </c>
      <c r="AW502">
        <v>0</v>
      </c>
      <c r="AY502" t="s">
        <v>4140</v>
      </c>
      <c r="BB502" t="s">
        <v>4154</v>
      </c>
      <c r="BF502" t="s">
        <v>4281</v>
      </c>
      <c r="BG502" t="s">
        <v>4309</v>
      </c>
      <c r="BM502" t="s">
        <v>4627</v>
      </c>
    </row>
    <row r="503" spans="1:65">
      <c r="A503" s="1">
        <f>HYPERLINK("https://lsnyc.legalserver.org/matter/dynamic-profile/view/0800574","16-0800574")</f>
        <v>0</v>
      </c>
      <c r="B503" t="s">
        <v>77</v>
      </c>
      <c r="C503" t="s">
        <v>93</v>
      </c>
      <c r="D503" t="s">
        <v>315</v>
      </c>
      <c r="F503" t="s">
        <v>734</v>
      </c>
      <c r="G503" t="s">
        <v>1066</v>
      </c>
      <c r="H503" t="s">
        <v>1587</v>
      </c>
      <c r="I503" t="s">
        <v>1920</v>
      </c>
      <c r="J503" t="s">
        <v>2205</v>
      </c>
      <c r="K503">
        <v>11212</v>
      </c>
      <c r="N503" t="s">
        <v>2233</v>
      </c>
      <c r="O503" t="s">
        <v>2543</v>
      </c>
      <c r="Q503" t="s">
        <v>3202</v>
      </c>
      <c r="R503">
        <v>1</v>
      </c>
      <c r="S503">
        <v>2</v>
      </c>
      <c r="T503">
        <v>11.55</v>
      </c>
      <c r="W503">
        <v>2328</v>
      </c>
      <c r="Y503">
        <v>192.3</v>
      </c>
      <c r="Z503" t="s">
        <v>3831</v>
      </c>
      <c r="AA503" t="s">
        <v>3901</v>
      </c>
      <c r="AC503" t="s">
        <v>3942</v>
      </c>
      <c r="AD503" t="s">
        <v>315</v>
      </c>
      <c r="AF503" t="s">
        <v>4050</v>
      </c>
      <c r="AH503" t="s">
        <v>4076</v>
      </c>
      <c r="AJ503" t="s">
        <v>3942</v>
      </c>
      <c r="AL503" t="s">
        <v>4096</v>
      </c>
      <c r="AM503" t="s">
        <v>2230</v>
      </c>
      <c r="AN503" t="s">
        <v>4107</v>
      </c>
      <c r="AO503">
        <v>0</v>
      </c>
      <c r="AQ503">
        <v>12</v>
      </c>
      <c r="AS503" t="s">
        <v>4113</v>
      </c>
      <c r="AU503" t="s">
        <v>4132</v>
      </c>
      <c r="AW503">
        <v>1</v>
      </c>
      <c r="AY503" t="s">
        <v>4140</v>
      </c>
      <c r="BB503" t="s">
        <v>4154</v>
      </c>
      <c r="BG503" t="s">
        <v>4446</v>
      </c>
      <c r="BM503" t="s">
        <v>4627</v>
      </c>
    </row>
    <row r="504" spans="1:65">
      <c r="A504" s="1">
        <f>HYPERLINK("https://lsnyc.legalserver.org/matter/dynamic-profile/view/0829098","17-0829098")</f>
        <v>0</v>
      </c>
      <c r="B504" t="s">
        <v>78</v>
      </c>
      <c r="C504" t="s">
        <v>93</v>
      </c>
      <c r="D504" t="s">
        <v>279</v>
      </c>
      <c r="F504" t="s">
        <v>625</v>
      </c>
      <c r="G504" t="s">
        <v>797</v>
      </c>
      <c r="H504" t="s">
        <v>1714</v>
      </c>
      <c r="I504">
        <v>5</v>
      </c>
      <c r="J504" t="s">
        <v>2205</v>
      </c>
      <c r="K504">
        <v>11238</v>
      </c>
      <c r="N504" t="s">
        <v>2233</v>
      </c>
      <c r="O504" t="s">
        <v>2255</v>
      </c>
      <c r="P504" t="s">
        <v>2930</v>
      </c>
      <c r="R504">
        <v>2</v>
      </c>
      <c r="S504">
        <v>0</v>
      </c>
      <c r="T504">
        <v>184.73</v>
      </c>
      <c r="U504" t="s">
        <v>3445</v>
      </c>
      <c r="V504" t="s">
        <v>3460</v>
      </c>
      <c r="W504">
        <v>30000</v>
      </c>
      <c r="Y504">
        <v>155.05</v>
      </c>
      <c r="Z504" t="s">
        <v>291</v>
      </c>
      <c r="AA504" t="s">
        <v>3916</v>
      </c>
      <c r="AC504" t="s">
        <v>3942</v>
      </c>
      <c r="AD504" t="s">
        <v>279</v>
      </c>
      <c r="AF504" t="s">
        <v>4050</v>
      </c>
      <c r="AH504" t="s">
        <v>4076</v>
      </c>
      <c r="AI504" t="s">
        <v>4082</v>
      </c>
      <c r="AK504" t="s">
        <v>4084</v>
      </c>
      <c r="AM504" t="s">
        <v>2230</v>
      </c>
      <c r="AO504">
        <v>900</v>
      </c>
      <c r="AQ504">
        <v>10</v>
      </c>
      <c r="AS504" t="s">
        <v>4113</v>
      </c>
      <c r="AT504" t="s">
        <v>4127</v>
      </c>
      <c r="AW504">
        <v>29</v>
      </c>
      <c r="AY504" t="s">
        <v>4140</v>
      </c>
      <c r="BB504" t="s">
        <v>4154</v>
      </c>
      <c r="BF504" t="s">
        <v>4281</v>
      </c>
      <c r="BG504" t="s">
        <v>4447</v>
      </c>
      <c r="BM504" t="s">
        <v>4627</v>
      </c>
    </row>
    <row r="505" spans="1:65">
      <c r="A505" s="1">
        <f>HYPERLINK("https://lsnyc.legalserver.org/matter/dynamic-profile/view/1836793","17-1836793")</f>
        <v>0</v>
      </c>
      <c r="B505" t="s">
        <v>78</v>
      </c>
      <c r="C505" t="s">
        <v>93</v>
      </c>
      <c r="D505" t="s">
        <v>316</v>
      </c>
      <c r="F505" t="s">
        <v>496</v>
      </c>
      <c r="G505" t="s">
        <v>1271</v>
      </c>
      <c r="H505" t="s">
        <v>1715</v>
      </c>
      <c r="I505" t="s">
        <v>2038</v>
      </c>
      <c r="J505" t="s">
        <v>2205</v>
      </c>
      <c r="K505">
        <v>11212</v>
      </c>
      <c r="N505" t="s">
        <v>2233</v>
      </c>
      <c r="O505" t="s">
        <v>2544</v>
      </c>
      <c r="Q505" t="s">
        <v>3203</v>
      </c>
      <c r="R505">
        <v>3</v>
      </c>
      <c r="S505">
        <v>1</v>
      </c>
      <c r="T505">
        <v>126.83</v>
      </c>
      <c r="V505" t="s">
        <v>3456</v>
      </c>
      <c r="W505">
        <v>31200</v>
      </c>
      <c r="Y505">
        <v>127.8</v>
      </c>
      <c r="Z505" t="s">
        <v>3854</v>
      </c>
      <c r="AA505" t="s">
        <v>90</v>
      </c>
      <c r="AC505" t="s">
        <v>3942</v>
      </c>
      <c r="AD505" t="s">
        <v>305</v>
      </c>
      <c r="AF505" t="s">
        <v>4050</v>
      </c>
      <c r="AH505" t="s">
        <v>4076</v>
      </c>
      <c r="AJ505" t="s">
        <v>3942</v>
      </c>
      <c r="AL505" t="s">
        <v>4097</v>
      </c>
      <c r="AM505" t="s">
        <v>2230</v>
      </c>
      <c r="AO505">
        <v>1197</v>
      </c>
      <c r="AQ505">
        <v>60</v>
      </c>
      <c r="AS505" t="s">
        <v>4113</v>
      </c>
      <c r="AU505" t="s">
        <v>4128</v>
      </c>
      <c r="AW505">
        <v>16</v>
      </c>
      <c r="AY505" t="s">
        <v>4140</v>
      </c>
      <c r="BB505" t="s">
        <v>4154</v>
      </c>
      <c r="BE505" t="s">
        <v>4128</v>
      </c>
      <c r="BG505" t="s">
        <v>4448</v>
      </c>
      <c r="BM505" t="s">
        <v>4627</v>
      </c>
    </row>
    <row r="506" spans="1:65">
      <c r="A506" s="1">
        <f>HYPERLINK("https://lsnyc.legalserver.org/matter/dynamic-profile/view/1833135","17-1833135")</f>
        <v>0</v>
      </c>
      <c r="B506" t="s">
        <v>79</v>
      </c>
      <c r="C506" t="s">
        <v>94</v>
      </c>
      <c r="D506" t="s">
        <v>317</v>
      </c>
      <c r="F506" t="s">
        <v>507</v>
      </c>
      <c r="G506" t="s">
        <v>1272</v>
      </c>
      <c r="H506" t="s">
        <v>1716</v>
      </c>
      <c r="I506" t="s">
        <v>1931</v>
      </c>
      <c r="J506" t="s">
        <v>2206</v>
      </c>
      <c r="K506">
        <v>10467</v>
      </c>
      <c r="N506" t="s">
        <v>2237</v>
      </c>
      <c r="O506" t="s">
        <v>2545</v>
      </c>
      <c r="Q506" t="s">
        <v>3204</v>
      </c>
      <c r="R506">
        <v>2</v>
      </c>
      <c r="S506">
        <v>0</v>
      </c>
      <c r="T506">
        <v>128.27</v>
      </c>
      <c r="W506">
        <v>23626</v>
      </c>
      <c r="Y506">
        <v>648.15</v>
      </c>
      <c r="Z506" t="s">
        <v>201</v>
      </c>
      <c r="AA506" t="s">
        <v>3917</v>
      </c>
      <c r="AC506" t="s">
        <v>3942</v>
      </c>
      <c r="AD506" t="s">
        <v>4015</v>
      </c>
      <c r="AF506" t="s">
        <v>4064</v>
      </c>
      <c r="AH506" t="s">
        <v>4077</v>
      </c>
      <c r="AJ506" t="s">
        <v>3943</v>
      </c>
      <c r="AL506" t="s">
        <v>4086</v>
      </c>
      <c r="AM506" t="s">
        <v>2230</v>
      </c>
      <c r="AO506">
        <v>983.34</v>
      </c>
      <c r="AP506" t="s">
        <v>4108</v>
      </c>
      <c r="AQ506" t="s">
        <v>4110</v>
      </c>
      <c r="AS506" t="s">
        <v>4113</v>
      </c>
      <c r="AU506" t="s">
        <v>4134</v>
      </c>
      <c r="AW506">
        <v>9</v>
      </c>
      <c r="AY506" t="s">
        <v>4140</v>
      </c>
      <c r="BB506" t="s">
        <v>4154</v>
      </c>
      <c r="BF506" t="s">
        <v>4281</v>
      </c>
      <c r="BM506" t="s">
        <v>4627</v>
      </c>
    </row>
    <row r="507" spans="1:65">
      <c r="A507" s="1">
        <f>HYPERLINK("https://lsnyc.legalserver.org/matter/dynamic-profile/view/1910919","19-1910919")</f>
        <v>0</v>
      </c>
      <c r="B507" t="s">
        <v>79</v>
      </c>
      <c r="C507" t="s">
        <v>93</v>
      </c>
      <c r="D507" t="s">
        <v>123</v>
      </c>
      <c r="F507" t="s">
        <v>735</v>
      </c>
      <c r="G507" t="s">
        <v>1273</v>
      </c>
      <c r="H507" t="s">
        <v>1717</v>
      </c>
      <c r="I507" t="s">
        <v>1936</v>
      </c>
      <c r="J507" t="s">
        <v>2205</v>
      </c>
      <c r="K507">
        <v>11208</v>
      </c>
      <c r="N507" t="s">
        <v>2233</v>
      </c>
      <c r="O507" t="s">
        <v>2546</v>
      </c>
      <c r="Q507" t="s">
        <v>3205</v>
      </c>
      <c r="R507">
        <v>1</v>
      </c>
      <c r="S507">
        <v>0</v>
      </c>
      <c r="T507">
        <v>291.43</v>
      </c>
      <c r="W507">
        <v>36400</v>
      </c>
      <c r="Y507">
        <v>0</v>
      </c>
      <c r="AA507" t="s">
        <v>70</v>
      </c>
      <c r="AB507" t="s">
        <v>3940</v>
      </c>
      <c r="AC507" t="s">
        <v>3943</v>
      </c>
      <c r="AF507" t="s">
        <v>4050</v>
      </c>
      <c r="AH507" t="s">
        <v>4079</v>
      </c>
      <c r="AJ507" t="s">
        <v>3943</v>
      </c>
      <c r="AL507" t="s">
        <v>4088</v>
      </c>
      <c r="AM507" t="s">
        <v>2230</v>
      </c>
      <c r="AO507">
        <v>1300</v>
      </c>
      <c r="AQ507">
        <v>2</v>
      </c>
      <c r="AS507" t="s">
        <v>4114</v>
      </c>
      <c r="AU507" t="s">
        <v>4128</v>
      </c>
      <c r="AW507">
        <v>1</v>
      </c>
      <c r="AY507" t="s">
        <v>4140</v>
      </c>
      <c r="AZ507" t="s">
        <v>4148</v>
      </c>
      <c r="BB507" t="s">
        <v>4154</v>
      </c>
      <c r="BC507" t="s">
        <v>4128</v>
      </c>
      <c r="BE507" t="s">
        <v>4128</v>
      </c>
      <c r="BG507" t="s">
        <v>4449</v>
      </c>
      <c r="BM507" t="s">
        <v>4627</v>
      </c>
    </row>
    <row r="508" spans="1:65">
      <c r="A508" s="1">
        <f>HYPERLINK("https://lsnyc.legalserver.org/matter/dynamic-profile/view/1900959","19-1900959")</f>
        <v>0</v>
      </c>
      <c r="B508" t="s">
        <v>79</v>
      </c>
      <c r="C508" t="s">
        <v>93</v>
      </c>
      <c r="D508" t="s">
        <v>318</v>
      </c>
      <c r="F508" t="s">
        <v>686</v>
      </c>
      <c r="G508" t="s">
        <v>1066</v>
      </c>
      <c r="H508" t="s">
        <v>1698</v>
      </c>
      <c r="I508" t="s">
        <v>1944</v>
      </c>
      <c r="J508" t="s">
        <v>2205</v>
      </c>
      <c r="K508">
        <v>11213</v>
      </c>
      <c r="N508" t="s">
        <v>2234</v>
      </c>
      <c r="O508" t="s">
        <v>2484</v>
      </c>
      <c r="Q508" t="s">
        <v>3150</v>
      </c>
      <c r="R508">
        <v>2</v>
      </c>
      <c r="S508">
        <v>1</v>
      </c>
      <c r="T508">
        <v>118.97</v>
      </c>
      <c r="W508">
        <v>25376</v>
      </c>
      <c r="X508" t="s">
        <v>3588</v>
      </c>
      <c r="Y508">
        <v>0.5</v>
      </c>
      <c r="Z508" t="s">
        <v>124</v>
      </c>
      <c r="AA508" t="s">
        <v>90</v>
      </c>
      <c r="AC508" t="s">
        <v>3942</v>
      </c>
      <c r="AD508" t="s">
        <v>368</v>
      </c>
      <c r="AF508" t="s">
        <v>4051</v>
      </c>
      <c r="AH508" t="s">
        <v>4077</v>
      </c>
      <c r="AJ508" t="s">
        <v>3942</v>
      </c>
      <c r="AK508" t="s">
        <v>4084</v>
      </c>
      <c r="AM508" t="s">
        <v>2230</v>
      </c>
      <c r="AO508">
        <v>560</v>
      </c>
      <c r="AQ508">
        <v>19</v>
      </c>
      <c r="AS508" t="s">
        <v>4113</v>
      </c>
      <c r="AU508" t="s">
        <v>4128</v>
      </c>
      <c r="AW508">
        <v>18</v>
      </c>
      <c r="AY508" t="s">
        <v>4140</v>
      </c>
      <c r="BC508" t="s">
        <v>4155</v>
      </c>
      <c r="BF508" t="s">
        <v>4281</v>
      </c>
      <c r="BG508" t="s">
        <v>4284</v>
      </c>
      <c r="BM508" t="s">
        <v>4627</v>
      </c>
    </row>
    <row r="509" spans="1:65">
      <c r="A509" s="1">
        <f>HYPERLINK("https://lsnyc.legalserver.org/matter/dynamic-profile/view/1895329","19-1895329")</f>
        <v>0</v>
      </c>
      <c r="B509" t="s">
        <v>79</v>
      </c>
      <c r="C509" t="s">
        <v>93</v>
      </c>
      <c r="D509" t="s">
        <v>99</v>
      </c>
      <c r="F509" t="s">
        <v>501</v>
      </c>
      <c r="G509" t="s">
        <v>1214</v>
      </c>
      <c r="H509" t="s">
        <v>1698</v>
      </c>
      <c r="I509" t="s">
        <v>1951</v>
      </c>
      <c r="J509" t="s">
        <v>2205</v>
      </c>
      <c r="K509">
        <v>11213</v>
      </c>
      <c r="N509" t="s">
        <v>2234</v>
      </c>
      <c r="O509" t="s">
        <v>2472</v>
      </c>
      <c r="Q509" t="s">
        <v>3139</v>
      </c>
      <c r="R509">
        <v>2</v>
      </c>
      <c r="S509">
        <v>0</v>
      </c>
      <c r="T509">
        <v>96.97</v>
      </c>
      <c r="W509">
        <v>16398</v>
      </c>
      <c r="X509" t="s">
        <v>3538</v>
      </c>
      <c r="Y509">
        <v>4.5</v>
      </c>
      <c r="Z509" t="s">
        <v>3824</v>
      </c>
      <c r="AA509" t="s">
        <v>70</v>
      </c>
      <c r="AC509" t="s">
        <v>3942</v>
      </c>
      <c r="AD509" t="s">
        <v>99</v>
      </c>
      <c r="AF509" t="s">
        <v>4051</v>
      </c>
      <c r="AH509" t="s">
        <v>4077</v>
      </c>
      <c r="AJ509" t="s">
        <v>3942</v>
      </c>
      <c r="AL509" t="s">
        <v>4100</v>
      </c>
      <c r="AM509" t="s">
        <v>2230</v>
      </c>
      <c r="AO509">
        <v>1268</v>
      </c>
      <c r="AQ509">
        <v>19</v>
      </c>
      <c r="AS509" t="s">
        <v>4113</v>
      </c>
      <c r="AU509" t="s">
        <v>4135</v>
      </c>
      <c r="AW509">
        <v>2</v>
      </c>
      <c r="AY509" t="s">
        <v>4140</v>
      </c>
      <c r="BC509" t="s">
        <v>4155</v>
      </c>
      <c r="BF509" t="s">
        <v>4281</v>
      </c>
      <c r="BG509" t="s">
        <v>4128</v>
      </c>
      <c r="BM509" t="s">
        <v>4627</v>
      </c>
    </row>
    <row r="510" spans="1:65">
      <c r="A510" s="1">
        <f>HYPERLINK("https://lsnyc.legalserver.org/matter/dynamic-profile/view/1895303","19-1895303")</f>
        <v>0</v>
      </c>
      <c r="B510" t="s">
        <v>79</v>
      </c>
      <c r="C510" t="s">
        <v>93</v>
      </c>
      <c r="D510" t="s">
        <v>99</v>
      </c>
      <c r="F510" t="s">
        <v>664</v>
      </c>
      <c r="G510" t="s">
        <v>1198</v>
      </c>
      <c r="H510" t="s">
        <v>1698</v>
      </c>
      <c r="I510" t="s">
        <v>1975</v>
      </c>
      <c r="J510" t="s">
        <v>2205</v>
      </c>
      <c r="K510">
        <v>11213</v>
      </c>
      <c r="N510" t="s">
        <v>2234</v>
      </c>
      <c r="O510" t="s">
        <v>2451</v>
      </c>
      <c r="Q510" t="s">
        <v>3119</v>
      </c>
      <c r="R510">
        <v>4</v>
      </c>
      <c r="S510">
        <v>0</v>
      </c>
      <c r="T510">
        <v>186.06</v>
      </c>
      <c r="W510">
        <v>47909.8</v>
      </c>
      <c r="Y510">
        <v>105.3</v>
      </c>
      <c r="Z510" t="s">
        <v>102</v>
      </c>
      <c r="AA510" t="s">
        <v>70</v>
      </c>
      <c r="AC510" t="s">
        <v>3942</v>
      </c>
      <c r="AD510" t="s">
        <v>99</v>
      </c>
      <c r="AF510" t="s">
        <v>4051</v>
      </c>
      <c r="AH510" t="s">
        <v>4077</v>
      </c>
      <c r="AJ510" t="s">
        <v>3942</v>
      </c>
      <c r="AL510" t="s">
        <v>4100</v>
      </c>
      <c r="AM510" t="s">
        <v>2230</v>
      </c>
      <c r="AO510">
        <v>1507.16</v>
      </c>
      <c r="AQ510">
        <v>19</v>
      </c>
      <c r="AS510" t="s">
        <v>4113</v>
      </c>
      <c r="AU510" t="s">
        <v>4129</v>
      </c>
      <c r="AW510">
        <v>22</v>
      </c>
      <c r="AY510" t="s">
        <v>4140</v>
      </c>
      <c r="BA510" t="s">
        <v>4149</v>
      </c>
      <c r="BB510" t="s">
        <v>4154</v>
      </c>
      <c r="BG510" t="s">
        <v>4285</v>
      </c>
      <c r="BM510" t="s">
        <v>4627</v>
      </c>
    </row>
    <row r="511" spans="1:65">
      <c r="A511" s="1">
        <f>HYPERLINK("https://lsnyc.legalserver.org/matter/dynamic-profile/view/0832076","17-0832076")</f>
        <v>0</v>
      </c>
      <c r="B511" t="s">
        <v>79</v>
      </c>
      <c r="C511" t="s">
        <v>94</v>
      </c>
      <c r="D511" t="s">
        <v>319</v>
      </c>
      <c r="F511" t="s">
        <v>736</v>
      </c>
      <c r="G511" t="s">
        <v>780</v>
      </c>
      <c r="H511" t="s">
        <v>1718</v>
      </c>
      <c r="I511" t="s">
        <v>2039</v>
      </c>
      <c r="J511" t="s">
        <v>2206</v>
      </c>
      <c r="K511">
        <v>10453</v>
      </c>
      <c r="N511" t="s">
        <v>2235</v>
      </c>
      <c r="O511" t="s">
        <v>2547</v>
      </c>
      <c r="P511" t="s">
        <v>2930</v>
      </c>
      <c r="R511">
        <v>2</v>
      </c>
      <c r="S511">
        <v>2</v>
      </c>
      <c r="T511">
        <v>158.54</v>
      </c>
      <c r="W511">
        <v>39000</v>
      </c>
      <c r="Y511">
        <v>43.75</v>
      </c>
      <c r="Z511" t="s">
        <v>3855</v>
      </c>
      <c r="AA511" t="s">
        <v>3907</v>
      </c>
      <c r="AC511" t="s">
        <v>3942</v>
      </c>
      <c r="AD511" t="s">
        <v>4015</v>
      </c>
      <c r="AF511" t="s">
        <v>4058</v>
      </c>
      <c r="AH511" t="s">
        <v>4076</v>
      </c>
      <c r="AJ511" t="s">
        <v>3942</v>
      </c>
      <c r="AL511" t="s">
        <v>4090</v>
      </c>
      <c r="AM511" t="s">
        <v>2230</v>
      </c>
      <c r="AO511">
        <v>984.75</v>
      </c>
      <c r="AQ511">
        <v>48</v>
      </c>
      <c r="AS511" t="s">
        <v>4113</v>
      </c>
      <c r="AU511" t="s">
        <v>4128</v>
      </c>
      <c r="AW511">
        <v>3</v>
      </c>
      <c r="AY511" t="s">
        <v>4141</v>
      </c>
      <c r="BB511" t="s">
        <v>4154</v>
      </c>
      <c r="BF511" t="s">
        <v>4281</v>
      </c>
      <c r="BG511" t="s">
        <v>4450</v>
      </c>
      <c r="BM511" t="s">
        <v>4627</v>
      </c>
    </row>
    <row r="512" spans="1:65">
      <c r="A512" s="1">
        <f>HYPERLINK("https://lsnyc.legalserver.org/matter/dynamic-profile/view/1899623","19-1899623")</f>
        <v>0</v>
      </c>
      <c r="B512" t="s">
        <v>79</v>
      </c>
      <c r="C512" t="s">
        <v>94</v>
      </c>
      <c r="D512" t="s">
        <v>200</v>
      </c>
      <c r="F512" t="s">
        <v>737</v>
      </c>
      <c r="G512" t="s">
        <v>1274</v>
      </c>
      <c r="H512" t="s">
        <v>1719</v>
      </c>
      <c r="I512" t="s">
        <v>1942</v>
      </c>
      <c r="J512" t="s">
        <v>2206</v>
      </c>
      <c r="K512">
        <v>10456</v>
      </c>
      <c r="N512" t="s">
        <v>2233</v>
      </c>
      <c r="O512" t="s">
        <v>2548</v>
      </c>
      <c r="Q512" t="s">
        <v>3206</v>
      </c>
      <c r="R512">
        <v>1</v>
      </c>
      <c r="S512">
        <v>0</v>
      </c>
      <c r="T512">
        <v>120.96</v>
      </c>
      <c r="W512">
        <v>15108</v>
      </c>
      <c r="Y512">
        <v>0</v>
      </c>
      <c r="AA512" t="s">
        <v>3918</v>
      </c>
      <c r="AC512" t="s">
        <v>3942</v>
      </c>
      <c r="AD512" t="s">
        <v>3971</v>
      </c>
      <c r="AF512" t="s">
        <v>4054</v>
      </c>
      <c r="AH512" t="s">
        <v>4081</v>
      </c>
      <c r="AJ512" t="s">
        <v>3943</v>
      </c>
      <c r="AL512" t="s">
        <v>4089</v>
      </c>
      <c r="AM512" t="s">
        <v>2230</v>
      </c>
      <c r="AO512">
        <v>879</v>
      </c>
      <c r="AQ512">
        <v>46</v>
      </c>
      <c r="AS512" t="s">
        <v>4114</v>
      </c>
      <c r="AU512" t="s">
        <v>4128</v>
      </c>
      <c r="AW512">
        <v>30</v>
      </c>
      <c r="AY512" t="s">
        <v>4141</v>
      </c>
      <c r="BC512" t="s">
        <v>4155</v>
      </c>
      <c r="BF512" t="s">
        <v>4281</v>
      </c>
      <c r="BM512" t="s">
        <v>4627</v>
      </c>
    </row>
    <row r="513" spans="1:67">
      <c r="A513" s="1">
        <f>HYPERLINK("https://lsnyc.legalserver.org/matter/dynamic-profile/view/1899593","19-1899593")</f>
        <v>0</v>
      </c>
      <c r="B513" t="s">
        <v>79</v>
      </c>
      <c r="C513" t="s">
        <v>94</v>
      </c>
      <c r="D513" t="s">
        <v>200</v>
      </c>
      <c r="F513" t="s">
        <v>625</v>
      </c>
      <c r="G513" t="s">
        <v>1275</v>
      </c>
      <c r="H513" t="s">
        <v>1720</v>
      </c>
      <c r="I513">
        <v>6</v>
      </c>
      <c r="J513" t="s">
        <v>2206</v>
      </c>
      <c r="K513">
        <v>10452</v>
      </c>
      <c r="N513" t="s">
        <v>2233</v>
      </c>
      <c r="O513" t="s">
        <v>2549</v>
      </c>
      <c r="P513" t="s">
        <v>2930</v>
      </c>
      <c r="R513">
        <v>3</v>
      </c>
      <c r="S513">
        <v>1</v>
      </c>
      <c r="T513">
        <v>91.68000000000001</v>
      </c>
      <c r="W513">
        <v>23608</v>
      </c>
      <c r="Y513">
        <v>0.25</v>
      </c>
      <c r="Z513" t="s">
        <v>381</v>
      </c>
      <c r="AA513" t="s">
        <v>3918</v>
      </c>
      <c r="AC513" t="s">
        <v>3942</v>
      </c>
      <c r="AD513" t="s">
        <v>3971</v>
      </c>
      <c r="AF513" t="s">
        <v>4065</v>
      </c>
      <c r="AH513" t="s">
        <v>4081</v>
      </c>
      <c r="AJ513" t="s">
        <v>3943</v>
      </c>
      <c r="AL513" t="s">
        <v>4089</v>
      </c>
      <c r="AM513" t="s">
        <v>2230</v>
      </c>
      <c r="AO513">
        <v>2000</v>
      </c>
      <c r="AQ513">
        <v>2</v>
      </c>
      <c r="AS513" t="s">
        <v>4117</v>
      </c>
      <c r="AU513" t="s">
        <v>4128</v>
      </c>
      <c r="AW513">
        <v>1</v>
      </c>
      <c r="AY513" t="s">
        <v>4141</v>
      </c>
      <c r="BC513" t="s">
        <v>4155</v>
      </c>
      <c r="BF513" t="s">
        <v>4281</v>
      </c>
      <c r="BM513" t="s">
        <v>4627</v>
      </c>
    </row>
    <row r="514" spans="1:67">
      <c r="A514" s="1">
        <f>HYPERLINK("https://lsnyc.legalserver.org/matter/dynamic-profile/view/1899626","19-1899626")</f>
        <v>0</v>
      </c>
      <c r="B514" t="s">
        <v>79</v>
      </c>
      <c r="C514" t="s">
        <v>94</v>
      </c>
      <c r="D514" t="s">
        <v>200</v>
      </c>
      <c r="F514" t="s">
        <v>738</v>
      </c>
      <c r="G514" t="s">
        <v>1276</v>
      </c>
      <c r="H514" t="s">
        <v>1721</v>
      </c>
      <c r="I514" t="s">
        <v>1925</v>
      </c>
      <c r="J514" t="s">
        <v>2206</v>
      </c>
      <c r="K514">
        <v>10457</v>
      </c>
      <c r="N514" t="s">
        <v>2233</v>
      </c>
      <c r="O514" t="s">
        <v>2550</v>
      </c>
      <c r="Q514" t="s">
        <v>3207</v>
      </c>
      <c r="R514">
        <v>1</v>
      </c>
      <c r="S514">
        <v>1</v>
      </c>
      <c r="T514">
        <v>124.19</v>
      </c>
      <c r="W514">
        <v>21000</v>
      </c>
      <c r="Y514">
        <v>0</v>
      </c>
      <c r="AA514" t="s">
        <v>3918</v>
      </c>
      <c r="AC514" t="s">
        <v>3942</v>
      </c>
      <c r="AD514" t="s">
        <v>3971</v>
      </c>
      <c r="AF514" t="s">
        <v>4054</v>
      </c>
      <c r="AH514" t="s">
        <v>4081</v>
      </c>
      <c r="AJ514" t="s">
        <v>3943</v>
      </c>
      <c r="AL514" t="s">
        <v>4089</v>
      </c>
      <c r="AM514" t="s">
        <v>2230</v>
      </c>
      <c r="AO514">
        <v>1226</v>
      </c>
      <c r="AQ514">
        <v>19</v>
      </c>
      <c r="AS514" t="s">
        <v>4113</v>
      </c>
      <c r="AU514" t="s">
        <v>4128</v>
      </c>
      <c r="AW514">
        <v>27</v>
      </c>
      <c r="AY514" t="s">
        <v>4140</v>
      </c>
      <c r="BC514" t="s">
        <v>4155</v>
      </c>
      <c r="BF514" t="s">
        <v>4281</v>
      </c>
      <c r="BM514" t="s">
        <v>4627</v>
      </c>
    </row>
    <row r="515" spans="1:67">
      <c r="A515" s="1">
        <f>HYPERLINK("https://lsnyc.legalserver.org/matter/dynamic-profile/view/1911435","19-1911435")</f>
        <v>0</v>
      </c>
      <c r="B515" t="s">
        <v>79</v>
      </c>
      <c r="C515" t="s">
        <v>93</v>
      </c>
      <c r="D515" t="s">
        <v>180</v>
      </c>
      <c r="F515" t="s">
        <v>603</v>
      </c>
      <c r="G515" t="s">
        <v>1277</v>
      </c>
      <c r="H515" t="s">
        <v>1722</v>
      </c>
      <c r="I515" t="s">
        <v>1972</v>
      </c>
      <c r="J515" t="s">
        <v>2205</v>
      </c>
      <c r="K515">
        <v>11208</v>
      </c>
      <c r="N515" t="s">
        <v>2233</v>
      </c>
      <c r="O515" t="s">
        <v>2551</v>
      </c>
      <c r="Q515" t="s">
        <v>3208</v>
      </c>
      <c r="R515">
        <v>2</v>
      </c>
      <c r="S515">
        <v>1</v>
      </c>
      <c r="T515">
        <v>146.27</v>
      </c>
      <c r="W515">
        <v>31200</v>
      </c>
      <c r="Y515">
        <v>0.6</v>
      </c>
      <c r="Z515" t="s">
        <v>180</v>
      </c>
      <c r="AA515" t="s">
        <v>3898</v>
      </c>
      <c r="AB515" t="s">
        <v>3940</v>
      </c>
      <c r="AC515" t="s">
        <v>3943</v>
      </c>
      <c r="AF515" t="s">
        <v>4050</v>
      </c>
      <c r="AH515" t="s">
        <v>4079</v>
      </c>
      <c r="AJ515" t="s">
        <v>3943</v>
      </c>
      <c r="AL515" t="s">
        <v>4070</v>
      </c>
      <c r="AM515" t="s">
        <v>2230</v>
      </c>
      <c r="AO515">
        <v>1300</v>
      </c>
      <c r="AQ515">
        <v>3</v>
      </c>
      <c r="AS515" t="s">
        <v>4114</v>
      </c>
      <c r="AU515" t="s">
        <v>4128</v>
      </c>
      <c r="AW515">
        <v>2</v>
      </c>
      <c r="AY515" t="s">
        <v>4141</v>
      </c>
      <c r="BA515" t="s">
        <v>4149</v>
      </c>
      <c r="BB515" t="s">
        <v>4154</v>
      </c>
      <c r="BC515" t="s">
        <v>4128</v>
      </c>
      <c r="BE515" t="s">
        <v>4159</v>
      </c>
      <c r="BG515" t="s">
        <v>4451</v>
      </c>
      <c r="BM515" t="s">
        <v>4627</v>
      </c>
    </row>
    <row r="516" spans="1:67">
      <c r="A516" s="1">
        <f>HYPERLINK("https://lsnyc.legalserver.org/matter/dynamic-profile/view/1898400","19-1898400")</f>
        <v>0</v>
      </c>
      <c r="B516" t="s">
        <v>79</v>
      </c>
      <c r="C516" t="s">
        <v>94</v>
      </c>
      <c r="D516" t="s">
        <v>320</v>
      </c>
      <c r="F516" t="s">
        <v>739</v>
      </c>
      <c r="G516" t="s">
        <v>1278</v>
      </c>
      <c r="H516" t="s">
        <v>1723</v>
      </c>
      <c r="I516">
        <v>29</v>
      </c>
      <c r="J516" t="s">
        <v>2206</v>
      </c>
      <c r="K516">
        <v>10460</v>
      </c>
      <c r="N516" t="s">
        <v>2233</v>
      </c>
      <c r="O516" t="s">
        <v>2552</v>
      </c>
      <c r="Q516" t="s">
        <v>3209</v>
      </c>
      <c r="R516">
        <v>1</v>
      </c>
      <c r="S516">
        <v>0</v>
      </c>
      <c r="T516">
        <v>187.35</v>
      </c>
      <c r="W516">
        <v>23400</v>
      </c>
      <c r="Y516">
        <v>1.2</v>
      </c>
      <c r="Z516" t="s">
        <v>3856</v>
      </c>
      <c r="AA516" t="s">
        <v>3899</v>
      </c>
      <c r="AC516" t="s">
        <v>3942</v>
      </c>
      <c r="AD516" t="s">
        <v>3971</v>
      </c>
      <c r="AF516" t="s">
        <v>4053</v>
      </c>
      <c r="AH516" t="s">
        <v>4081</v>
      </c>
      <c r="AJ516" t="s">
        <v>3943</v>
      </c>
      <c r="AL516" t="s">
        <v>4098</v>
      </c>
      <c r="AM516" t="s">
        <v>2230</v>
      </c>
      <c r="AO516">
        <v>950</v>
      </c>
      <c r="AQ516">
        <v>29</v>
      </c>
      <c r="AR516" t="s">
        <v>4112</v>
      </c>
      <c r="AT516" t="s">
        <v>4127</v>
      </c>
      <c r="AW516">
        <v>10</v>
      </c>
      <c r="AY516" t="s">
        <v>4140</v>
      </c>
      <c r="BC516" t="s">
        <v>4155</v>
      </c>
      <c r="BF516" t="s">
        <v>4281</v>
      </c>
      <c r="BM516" t="s">
        <v>4627</v>
      </c>
    </row>
    <row r="517" spans="1:67">
      <c r="A517" s="1">
        <f>HYPERLINK("https://lsnyc.legalserver.org/matter/dynamic-profile/view/1890006","19-1890006")</f>
        <v>0</v>
      </c>
      <c r="B517" t="s">
        <v>79</v>
      </c>
      <c r="C517" t="s">
        <v>94</v>
      </c>
      <c r="D517" t="s">
        <v>321</v>
      </c>
      <c r="F517" t="s">
        <v>740</v>
      </c>
      <c r="G517" t="s">
        <v>1279</v>
      </c>
      <c r="H517" t="s">
        <v>1724</v>
      </c>
      <c r="I517" t="s">
        <v>2040</v>
      </c>
      <c r="J517" t="s">
        <v>2206</v>
      </c>
      <c r="K517">
        <v>10466</v>
      </c>
      <c r="N517" t="s">
        <v>2233</v>
      </c>
      <c r="O517" t="s">
        <v>2553</v>
      </c>
      <c r="Q517" t="s">
        <v>3208</v>
      </c>
      <c r="R517">
        <v>1</v>
      </c>
      <c r="S517">
        <v>0</v>
      </c>
      <c r="T517">
        <v>62.45</v>
      </c>
      <c r="W517">
        <v>7800</v>
      </c>
      <c r="Y517">
        <v>0</v>
      </c>
      <c r="AA517" t="s">
        <v>3919</v>
      </c>
      <c r="AC517" t="s">
        <v>3942</v>
      </c>
      <c r="AD517" t="s">
        <v>3971</v>
      </c>
      <c r="AE517" t="s">
        <v>4049</v>
      </c>
      <c r="AH517" t="s">
        <v>4081</v>
      </c>
      <c r="AJ517" t="s">
        <v>3943</v>
      </c>
      <c r="AL517" t="s">
        <v>4087</v>
      </c>
      <c r="AM517" t="s">
        <v>2230</v>
      </c>
      <c r="AO517">
        <v>700</v>
      </c>
      <c r="AP517" t="s">
        <v>4108</v>
      </c>
      <c r="AQ517" t="s">
        <v>4110</v>
      </c>
      <c r="AS517" t="s">
        <v>4117</v>
      </c>
      <c r="AT517" t="s">
        <v>4127</v>
      </c>
      <c r="AW517">
        <v>1</v>
      </c>
      <c r="AY517" t="s">
        <v>4140</v>
      </c>
      <c r="BC517" t="s">
        <v>4155</v>
      </c>
      <c r="BF517" t="s">
        <v>4281</v>
      </c>
      <c r="BM517" t="s">
        <v>4627</v>
      </c>
    </row>
    <row r="518" spans="1:67">
      <c r="A518" s="1">
        <f>HYPERLINK("https://lsnyc.legalserver.org/matter/dynamic-profile/view/0826864","17-0826864")</f>
        <v>0</v>
      </c>
      <c r="B518" t="s">
        <v>79</v>
      </c>
      <c r="C518" t="s">
        <v>94</v>
      </c>
      <c r="D518" t="s">
        <v>322</v>
      </c>
      <c r="F518" t="s">
        <v>741</v>
      </c>
      <c r="G518" t="s">
        <v>1280</v>
      </c>
      <c r="H518" t="s">
        <v>1725</v>
      </c>
      <c r="I518" t="s">
        <v>1942</v>
      </c>
      <c r="J518" t="s">
        <v>2206</v>
      </c>
      <c r="K518">
        <v>10455</v>
      </c>
      <c r="N518" t="s">
        <v>2238</v>
      </c>
      <c r="O518" t="s">
        <v>2554</v>
      </c>
      <c r="Q518" t="s">
        <v>3210</v>
      </c>
      <c r="R518">
        <v>1</v>
      </c>
      <c r="S518">
        <v>0</v>
      </c>
      <c r="T518">
        <v>73.13</v>
      </c>
      <c r="U518" t="s">
        <v>3444</v>
      </c>
      <c r="V518" t="s">
        <v>3457</v>
      </c>
      <c r="W518">
        <v>8820</v>
      </c>
      <c r="Y518">
        <v>127.1</v>
      </c>
      <c r="Z518" t="s">
        <v>3828</v>
      </c>
      <c r="AA518" t="s">
        <v>3920</v>
      </c>
      <c r="AC518" t="s">
        <v>3942</v>
      </c>
      <c r="AD518" t="s">
        <v>322</v>
      </c>
      <c r="AF518" t="s">
        <v>4053</v>
      </c>
      <c r="AH518" t="s">
        <v>4076</v>
      </c>
      <c r="AJ518" t="s">
        <v>3943</v>
      </c>
      <c r="AL518" t="s">
        <v>4091</v>
      </c>
      <c r="AM518" t="s">
        <v>4106</v>
      </c>
      <c r="AO518">
        <v>184</v>
      </c>
      <c r="AQ518">
        <v>463</v>
      </c>
      <c r="AS518" t="s">
        <v>4123</v>
      </c>
      <c r="AU518" t="s">
        <v>4070</v>
      </c>
      <c r="AW518">
        <v>19</v>
      </c>
      <c r="AY518" t="s">
        <v>4140</v>
      </c>
      <c r="BB518" t="s">
        <v>4154</v>
      </c>
      <c r="BG518" t="s">
        <v>4452</v>
      </c>
      <c r="BI518" t="s">
        <v>4620</v>
      </c>
      <c r="BK518" t="s">
        <v>4623</v>
      </c>
      <c r="BM518" t="s">
        <v>4627</v>
      </c>
      <c r="BN518" t="s">
        <v>4629</v>
      </c>
      <c r="BO518" t="s">
        <v>4633</v>
      </c>
    </row>
    <row r="519" spans="1:67">
      <c r="A519" s="1">
        <f>HYPERLINK("https://lsnyc.legalserver.org/matter/dynamic-profile/view/0797188","16-0797188")</f>
        <v>0</v>
      </c>
      <c r="B519" t="s">
        <v>79</v>
      </c>
      <c r="C519" t="s">
        <v>94</v>
      </c>
      <c r="D519" t="s">
        <v>323</v>
      </c>
      <c r="F519" t="s">
        <v>742</v>
      </c>
      <c r="G519" t="s">
        <v>1281</v>
      </c>
      <c r="H519" t="s">
        <v>1726</v>
      </c>
      <c r="I519" t="s">
        <v>2041</v>
      </c>
      <c r="J519" t="s">
        <v>2206</v>
      </c>
      <c r="K519">
        <v>10452</v>
      </c>
      <c r="N519" t="s">
        <v>2233</v>
      </c>
      <c r="O519" t="s">
        <v>2555</v>
      </c>
      <c r="Q519" t="s">
        <v>3211</v>
      </c>
      <c r="R519">
        <v>2</v>
      </c>
      <c r="S519">
        <v>0</v>
      </c>
      <c r="T519">
        <v>169.49</v>
      </c>
      <c r="W519">
        <v>27000</v>
      </c>
      <c r="Y519">
        <v>336.08</v>
      </c>
      <c r="Z519" t="s">
        <v>457</v>
      </c>
      <c r="AA519" t="s">
        <v>3921</v>
      </c>
      <c r="AC519" t="s">
        <v>3942</v>
      </c>
      <c r="AD519" t="s">
        <v>4016</v>
      </c>
      <c r="AF519" t="s">
        <v>4053</v>
      </c>
      <c r="AH519" t="s">
        <v>4076</v>
      </c>
      <c r="AJ519" t="s">
        <v>3943</v>
      </c>
      <c r="AL519" t="s">
        <v>4087</v>
      </c>
      <c r="AM519" t="s">
        <v>2230</v>
      </c>
      <c r="AO519">
        <v>1495</v>
      </c>
      <c r="AP519" t="s">
        <v>4108</v>
      </c>
      <c r="AQ519" t="s">
        <v>4110</v>
      </c>
      <c r="AS519" t="s">
        <v>4113</v>
      </c>
      <c r="AU519" t="s">
        <v>4129</v>
      </c>
      <c r="AW519">
        <v>8</v>
      </c>
      <c r="AY519" t="s">
        <v>4140</v>
      </c>
      <c r="BB519" t="s">
        <v>4154</v>
      </c>
      <c r="BG519" t="s">
        <v>4453</v>
      </c>
      <c r="BM519" t="s">
        <v>4627</v>
      </c>
    </row>
    <row r="520" spans="1:67">
      <c r="A520" s="1">
        <f>HYPERLINK("https://lsnyc.legalserver.org/matter/dynamic-profile/view/0803743","16-0803743")</f>
        <v>0</v>
      </c>
      <c r="B520" t="s">
        <v>79</v>
      </c>
      <c r="C520" t="s">
        <v>94</v>
      </c>
      <c r="D520" t="s">
        <v>324</v>
      </c>
      <c r="F520" t="s">
        <v>743</v>
      </c>
      <c r="G520" t="s">
        <v>1281</v>
      </c>
      <c r="H520" t="s">
        <v>1727</v>
      </c>
      <c r="I520" t="s">
        <v>1942</v>
      </c>
      <c r="J520" t="s">
        <v>2206</v>
      </c>
      <c r="K520">
        <v>10452</v>
      </c>
      <c r="N520" t="s">
        <v>2233</v>
      </c>
      <c r="O520" t="s">
        <v>2556</v>
      </c>
      <c r="Q520" t="s">
        <v>3212</v>
      </c>
      <c r="R520">
        <v>1</v>
      </c>
      <c r="S520">
        <v>0</v>
      </c>
      <c r="T520">
        <v>20</v>
      </c>
      <c r="W520">
        <v>2376</v>
      </c>
      <c r="Y520">
        <v>10.1</v>
      </c>
      <c r="Z520" t="s">
        <v>118</v>
      </c>
      <c r="AA520" t="s">
        <v>3920</v>
      </c>
      <c r="AC520" t="s">
        <v>3942</v>
      </c>
      <c r="AD520" t="s">
        <v>4017</v>
      </c>
      <c r="AF520" t="s">
        <v>4050</v>
      </c>
      <c r="AH520" t="s">
        <v>4076</v>
      </c>
      <c r="AI520" t="s">
        <v>4082</v>
      </c>
      <c r="AL520" t="s">
        <v>4095</v>
      </c>
      <c r="AM520" t="s">
        <v>2230</v>
      </c>
      <c r="AO520">
        <v>1309</v>
      </c>
      <c r="AQ520">
        <v>24</v>
      </c>
      <c r="AS520" t="s">
        <v>4113</v>
      </c>
      <c r="AU520" t="s">
        <v>4128</v>
      </c>
      <c r="AW520">
        <v>2</v>
      </c>
      <c r="AY520" t="s">
        <v>4140</v>
      </c>
      <c r="BB520" t="s">
        <v>4154</v>
      </c>
      <c r="BG520" t="s">
        <v>4454</v>
      </c>
      <c r="BM520" t="s">
        <v>4627</v>
      </c>
      <c r="BO520" t="s">
        <v>4634</v>
      </c>
    </row>
    <row r="521" spans="1:67">
      <c r="A521" s="1">
        <f>HYPERLINK("https://lsnyc.legalserver.org/matter/dynamic-profile/view/1890017","19-1890017")</f>
        <v>0</v>
      </c>
      <c r="B521" t="s">
        <v>79</v>
      </c>
      <c r="C521" t="s">
        <v>94</v>
      </c>
      <c r="D521" t="s">
        <v>321</v>
      </c>
      <c r="F521" t="s">
        <v>744</v>
      </c>
      <c r="G521" t="s">
        <v>1282</v>
      </c>
      <c r="H521" t="s">
        <v>1728</v>
      </c>
      <c r="I521">
        <v>3</v>
      </c>
      <c r="J521" t="s">
        <v>2206</v>
      </c>
      <c r="K521">
        <v>10462</v>
      </c>
      <c r="N521" t="s">
        <v>2233</v>
      </c>
      <c r="O521" t="s">
        <v>2557</v>
      </c>
      <c r="Q521" t="s">
        <v>3213</v>
      </c>
      <c r="R521">
        <v>1</v>
      </c>
      <c r="S521">
        <v>0</v>
      </c>
      <c r="T521">
        <v>101.75</v>
      </c>
      <c r="W521">
        <v>12708</v>
      </c>
      <c r="X521" t="s">
        <v>3589</v>
      </c>
      <c r="Y521">
        <v>2</v>
      </c>
      <c r="Z521" t="s">
        <v>113</v>
      </c>
      <c r="AA521" t="s">
        <v>3919</v>
      </c>
      <c r="AC521" t="s">
        <v>3942</v>
      </c>
      <c r="AD521" t="s">
        <v>321</v>
      </c>
      <c r="AF521" t="s">
        <v>4062</v>
      </c>
      <c r="AH521" t="s">
        <v>3510</v>
      </c>
      <c r="AI521" t="s">
        <v>4082</v>
      </c>
      <c r="AK521" t="s">
        <v>4084</v>
      </c>
      <c r="AM521" t="s">
        <v>2230</v>
      </c>
      <c r="AO521">
        <v>800</v>
      </c>
      <c r="AP521" t="s">
        <v>4108</v>
      </c>
      <c r="AQ521" t="s">
        <v>4110</v>
      </c>
      <c r="AR521" t="s">
        <v>4112</v>
      </c>
      <c r="AU521" t="s">
        <v>4132</v>
      </c>
      <c r="AW521">
        <v>1</v>
      </c>
      <c r="AY521" t="s">
        <v>4140</v>
      </c>
      <c r="BC521" t="s">
        <v>4155</v>
      </c>
      <c r="BG521" t="s">
        <v>4455</v>
      </c>
      <c r="BM521" t="s">
        <v>4627</v>
      </c>
    </row>
    <row r="522" spans="1:67">
      <c r="A522" s="1">
        <f>HYPERLINK("https://lsnyc.legalserver.org/matter/dynamic-profile/view/0795762","16-0795762")</f>
        <v>0</v>
      </c>
      <c r="B522" t="s">
        <v>79</v>
      </c>
      <c r="C522" t="s">
        <v>94</v>
      </c>
      <c r="D522" t="s">
        <v>325</v>
      </c>
      <c r="F522" t="s">
        <v>625</v>
      </c>
      <c r="G522" t="s">
        <v>1102</v>
      </c>
      <c r="H522" t="s">
        <v>1729</v>
      </c>
      <c r="I522" t="s">
        <v>1956</v>
      </c>
      <c r="J522" t="s">
        <v>2206</v>
      </c>
      <c r="K522">
        <v>10453</v>
      </c>
      <c r="N522" t="s">
        <v>2233</v>
      </c>
      <c r="O522" t="s">
        <v>2558</v>
      </c>
      <c r="Q522" t="s">
        <v>3214</v>
      </c>
      <c r="R522">
        <v>2</v>
      </c>
      <c r="S522">
        <v>0</v>
      </c>
      <c r="T522">
        <v>67.8</v>
      </c>
      <c r="W522">
        <v>10800</v>
      </c>
      <c r="Y522">
        <v>317.65</v>
      </c>
      <c r="Z522" t="s">
        <v>3857</v>
      </c>
      <c r="AA522" t="s">
        <v>3903</v>
      </c>
      <c r="AC522" t="s">
        <v>3942</v>
      </c>
      <c r="AD522" t="s">
        <v>4016</v>
      </c>
      <c r="AF522" t="s">
        <v>4053</v>
      </c>
      <c r="AH522" t="s">
        <v>4076</v>
      </c>
      <c r="AI522" t="s">
        <v>4082</v>
      </c>
      <c r="AL522" t="s">
        <v>4097</v>
      </c>
      <c r="AM522" t="s">
        <v>2230</v>
      </c>
      <c r="AO522">
        <v>652</v>
      </c>
      <c r="AP522" t="s">
        <v>4108</v>
      </c>
      <c r="AQ522" t="s">
        <v>4110</v>
      </c>
      <c r="AS522" t="s">
        <v>4113</v>
      </c>
      <c r="AU522" t="s">
        <v>4134</v>
      </c>
      <c r="AW522">
        <v>45</v>
      </c>
      <c r="AY522" t="s">
        <v>4141</v>
      </c>
      <c r="BB522" t="s">
        <v>4154</v>
      </c>
      <c r="BG522" t="s">
        <v>4456</v>
      </c>
      <c r="BI522" t="s">
        <v>4621</v>
      </c>
      <c r="BK522" t="s">
        <v>4623</v>
      </c>
      <c r="BM522" t="s">
        <v>4627</v>
      </c>
      <c r="BN522" t="s">
        <v>4629</v>
      </c>
      <c r="BO522" t="s">
        <v>4635</v>
      </c>
    </row>
    <row r="523" spans="1:67">
      <c r="A523" s="1">
        <f>HYPERLINK("https://lsnyc.legalserver.org/matter/dynamic-profile/view/1899633","19-1899633")</f>
        <v>0</v>
      </c>
      <c r="B523" t="s">
        <v>79</v>
      </c>
      <c r="C523" t="s">
        <v>94</v>
      </c>
      <c r="D523" t="s">
        <v>200</v>
      </c>
      <c r="F523" t="s">
        <v>745</v>
      </c>
      <c r="G523" t="s">
        <v>1283</v>
      </c>
      <c r="H523" t="s">
        <v>1730</v>
      </c>
      <c r="I523" t="s">
        <v>2042</v>
      </c>
      <c r="J523" t="s">
        <v>2206</v>
      </c>
      <c r="K523">
        <v>10467</v>
      </c>
      <c r="N523" t="s">
        <v>2233</v>
      </c>
      <c r="O523" t="s">
        <v>2559</v>
      </c>
      <c r="Q523" t="s">
        <v>3215</v>
      </c>
      <c r="R523">
        <v>2</v>
      </c>
      <c r="S523">
        <v>0</v>
      </c>
      <c r="T523">
        <v>65.06999999999999</v>
      </c>
      <c r="W523">
        <v>11004</v>
      </c>
      <c r="Y523">
        <v>0</v>
      </c>
      <c r="AA523" t="s">
        <v>3918</v>
      </c>
      <c r="AC523" t="s">
        <v>3942</v>
      </c>
      <c r="AD523" t="s">
        <v>3971</v>
      </c>
      <c r="AE523" t="s">
        <v>4049</v>
      </c>
      <c r="AH523" t="s">
        <v>4081</v>
      </c>
      <c r="AJ523" t="s">
        <v>3943</v>
      </c>
      <c r="AL523" t="s">
        <v>4089</v>
      </c>
      <c r="AM523" t="s">
        <v>2230</v>
      </c>
      <c r="AO523">
        <v>1531.65</v>
      </c>
      <c r="AQ523">
        <v>65</v>
      </c>
      <c r="AS523" t="s">
        <v>4113</v>
      </c>
      <c r="AU523" t="s">
        <v>4129</v>
      </c>
      <c r="AW523">
        <v>15</v>
      </c>
      <c r="AY523" t="s">
        <v>4140</v>
      </c>
      <c r="BC523" t="s">
        <v>4155</v>
      </c>
      <c r="BD523" t="s">
        <v>4157</v>
      </c>
      <c r="BE523">
        <v>4043580</v>
      </c>
      <c r="BF523" t="s">
        <v>4281</v>
      </c>
      <c r="BM523" t="s">
        <v>4627</v>
      </c>
    </row>
    <row r="524" spans="1:67">
      <c r="A524" s="1">
        <f>HYPERLINK("https://lsnyc.legalserver.org/matter/dynamic-profile/view/1884754","18-1884754")</f>
        <v>0</v>
      </c>
      <c r="B524" t="s">
        <v>79</v>
      </c>
      <c r="C524" t="s">
        <v>94</v>
      </c>
      <c r="D524" t="s">
        <v>206</v>
      </c>
      <c r="F524" t="s">
        <v>746</v>
      </c>
      <c r="G524" t="s">
        <v>1284</v>
      </c>
      <c r="H524" t="s">
        <v>1731</v>
      </c>
      <c r="I524" t="s">
        <v>2018</v>
      </c>
      <c r="J524" t="s">
        <v>2206</v>
      </c>
      <c r="K524">
        <v>10458</v>
      </c>
      <c r="N524" t="s">
        <v>2233</v>
      </c>
      <c r="O524" t="s">
        <v>2560</v>
      </c>
      <c r="Q524" t="s">
        <v>3216</v>
      </c>
      <c r="R524">
        <v>1</v>
      </c>
      <c r="S524">
        <v>0</v>
      </c>
      <c r="T524">
        <v>29.24</v>
      </c>
      <c r="W524">
        <v>3550</v>
      </c>
      <c r="X524" t="s">
        <v>3590</v>
      </c>
      <c r="Y524">
        <v>0</v>
      </c>
      <c r="AA524" t="s">
        <v>3922</v>
      </c>
      <c r="AC524" t="s">
        <v>3942</v>
      </c>
      <c r="AD524" t="s">
        <v>3971</v>
      </c>
      <c r="AF524" t="s">
        <v>4058</v>
      </c>
      <c r="AH524" t="s">
        <v>4081</v>
      </c>
      <c r="AJ524" t="s">
        <v>3943</v>
      </c>
      <c r="AL524" t="s">
        <v>4087</v>
      </c>
      <c r="AM524" t="s">
        <v>2230</v>
      </c>
      <c r="AO524">
        <v>921</v>
      </c>
      <c r="AP524" t="s">
        <v>4108</v>
      </c>
      <c r="AQ524" t="s">
        <v>4110</v>
      </c>
      <c r="AS524" t="s">
        <v>4113</v>
      </c>
      <c r="AU524" t="s">
        <v>4128</v>
      </c>
      <c r="AV524" t="s">
        <v>4137</v>
      </c>
      <c r="AW524">
        <v>0</v>
      </c>
      <c r="AY524" t="s">
        <v>4141</v>
      </c>
      <c r="BC524" t="s">
        <v>4155</v>
      </c>
      <c r="BF524" t="s">
        <v>4281</v>
      </c>
      <c r="BM524" t="s">
        <v>4627</v>
      </c>
    </row>
    <row r="525" spans="1:67">
      <c r="A525" s="1">
        <f>HYPERLINK("https://lsnyc.legalserver.org/matter/dynamic-profile/view/1899630","19-1899630")</f>
        <v>0</v>
      </c>
      <c r="B525" t="s">
        <v>79</v>
      </c>
      <c r="C525" t="s">
        <v>94</v>
      </c>
      <c r="D525" t="s">
        <v>200</v>
      </c>
      <c r="F525" t="s">
        <v>685</v>
      </c>
      <c r="G525" t="s">
        <v>1285</v>
      </c>
      <c r="H525" t="s">
        <v>1732</v>
      </c>
      <c r="I525" t="s">
        <v>2043</v>
      </c>
      <c r="J525" t="s">
        <v>2206</v>
      </c>
      <c r="K525">
        <v>10455</v>
      </c>
      <c r="N525" t="s">
        <v>2233</v>
      </c>
      <c r="O525" t="s">
        <v>2561</v>
      </c>
      <c r="Q525" t="s">
        <v>3217</v>
      </c>
      <c r="R525">
        <v>1</v>
      </c>
      <c r="S525">
        <v>0</v>
      </c>
      <c r="T525">
        <v>243.49</v>
      </c>
      <c r="W525">
        <v>30411.84</v>
      </c>
      <c r="Y525">
        <v>0</v>
      </c>
      <c r="AA525" t="s">
        <v>3918</v>
      </c>
      <c r="AC525" t="s">
        <v>3942</v>
      </c>
      <c r="AD525" t="s">
        <v>3971</v>
      </c>
      <c r="AF525" t="s">
        <v>4066</v>
      </c>
      <c r="AH525" t="s">
        <v>4081</v>
      </c>
      <c r="AJ525" t="s">
        <v>3943</v>
      </c>
      <c r="AL525" t="s">
        <v>4092</v>
      </c>
      <c r="AM525" t="s">
        <v>2230</v>
      </c>
      <c r="AO525">
        <v>1008</v>
      </c>
      <c r="AQ525">
        <v>143</v>
      </c>
      <c r="AS525" t="s">
        <v>4124</v>
      </c>
      <c r="AU525" t="s">
        <v>4128</v>
      </c>
      <c r="AW525">
        <v>5</v>
      </c>
      <c r="AY525" t="s">
        <v>4140</v>
      </c>
      <c r="BC525" t="s">
        <v>4155</v>
      </c>
      <c r="BF525" t="s">
        <v>4281</v>
      </c>
      <c r="BM525" t="s">
        <v>4627</v>
      </c>
    </row>
    <row r="526" spans="1:67">
      <c r="A526" s="1">
        <f>HYPERLINK("https://lsnyc.legalserver.org/matter/dynamic-profile/view/1890025","19-1890025")</f>
        <v>0</v>
      </c>
      <c r="B526" t="s">
        <v>79</v>
      </c>
      <c r="C526" t="s">
        <v>94</v>
      </c>
      <c r="D526" t="s">
        <v>190</v>
      </c>
      <c r="F526" t="s">
        <v>636</v>
      </c>
      <c r="G526" t="s">
        <v>1286</v>
      </c>
      <c r="H526" t="s">
        <v>1733</v>
      </c>
      <c r="I526">
        <v>402</v>
      </c>
      <c r="J526" t="s">
        <v>2206</v>
      </c>
      <c r="K526">
        <v>10457</v>
      </c>
      <c r="N526" t="s">
        <v>2233</v>
      </c>
      <c r="O526" t="s">
        <v>2562</v>
      </c>
      <c r="Q526" t="s">
        <v>3218</v>
      </c>
      <c r="R526">
        <v>2</v>
      </c>
      <c r="S526">
        <v>0</v>
      </c>
      <c r="T526">
        <v>0</v>
      </c>
      <c r="W526">
        <v>0</v>
      </c>
      <c r="Y526">
        <v>0</v>
      </c>
      <c r="AA526" t="s">
        <v>3919</v>
      </c>
      <c r="AC526" t="s">
        <v>3942</v>
      </c>
      <c r="AD526" t="s">
        <v>190</v>
      </c>
      <c r="AF526" t="s">
        <v>4052</v>
      </c>
      <c r="AH526" t="s">
        <v>4081</v>
      </c>
      <c r="AI526" t="s">
        <v>4082</v>
      </c>
      <c r="AK526" t="s">
        <v>4084</v>
      </c>
      <c r="AM526" t="s">
        <v>2230</v>
      </c>
      <c r="AO526">
        <v>400</v>
      </c>
      <c r="AP526" t="s">
        <v>4108</v>
      </c>
      <c r="AQ526" t="s">
        <v>4110</v>
      </c>
      <c r="AR526" t="s">
        <v>4112</v>
      </c>
      <c r="AT526" t="s">
        <v>4127</v>
      </c>
      <c r="AW526">
        <v>12</v>
      </c>
      <c r="AY526" t="s">
        <v>4140</v>
      </c>
      <c r="BB526" t="s">
        <v>4154</v>
      </c>
      <c r="BF526" t="s">
        <v>4281</v>
      </c>
      <c r="BM526" t="s">
        <v>4627</v>
      </c>
    </row>
    <row r="527" spans="1:67">
      <c r="A527" s="1">
        <f>HYPERLINK("https://lsnyc.legalserver.org/matter/dynamic-profile/view/1885020","18-1885020")</f>
        <v>0</v>
      </c>
      <c r="B527" t="s">
        <v>79</v>
      </c>
      <c r="C527" t="s">
        <v>93</v>
      </c>
      <c r="D527" t="s">
        <v>253</v>
      </c>
      <c r="F527" t="s">
        <v>664</v>
      </c>
      <c r="G527" t="s">
        <v>1198</v>
      </c>
      <c r="H527" t="s">
        <v>1698</v>
      </c>
      <c r="I527" t="s">
        <v>1975</v>
      </c>
      <c r="J527" t="s">
        <v>2205</v>
      </c>
      <c r="K527">
        <v>11213</v>
      </c>
      <c r="N527" t="s">
        <v>2233</v>
      </c>
      <c r="O527" t="s">
        <v>2451</v>
      </c>
      <c r="Q527" t="s">
        <v>3119</v>
      </c>
      <c r="R527">
        <v>4</v>
      </c>
      <c r="S527">
        <v>0</v>
      </c>
      <c r="T527">
        <v>190.88</v>
      </c>
      <c r="W527">
        <v>47909.8</v>
      </c>
      <c r="Y527">
        <v>113.65</v>
      </c>
      <c r="Z527" t="s">
        <v>196</v>
      </c>
      <c r="AA527" t="s">
        <v>90</v>
      </c>
      <c r="AC527" t="s">
        <v>3942</v>
      </c>
      <c r="AD527" t="s">
        <v>471</v>
      </c>
      <c r="AF527" t="s">
        <v>4058</v>
      </c>
      <c r="AH527" t="s">
        <v>4076</v>
      </c>
      <c r="AJ527" t="s">
        <v>3943</v>
      </c>
      <c r="AL527" t="s">
        <v>4100</v>
      </c>
      <c r="AM527" t="s">
        <v>2230</v>
      </c>
      <c r="AO527">
        <v>1507.16</v>
      </c>
      <c r="AQ527">
        <v>19</v>
      </c>
      <c r="AS527" t="s">
        <v>4113</v>
      </c>
      <c r="AU527" t="s">
        <v>4129</v>
      </c>
      <c r="AW527">
        <v>22</v>
      </c>
      <c r="AY527" t="s">
        <v>4140</v>
      </c>
      <c r="BA527" t="s">
        <v>4149</v>
      </c>
      <c r="BB527" t="s">
        <v>4154</v>
      </c>
      <c r="BE527" t="s">
        <v>4163</v>
      </c>
      <c r="BG527" t="s">
        <v>4425</v>
      </c>
      <c r="BM527" t="s">
        <v>4627</v>
      </c>
    </row>
    <row r="528" spans="1:67">
      <c r="A528" s="1">
        <f>HYPERLINK("https://lsnyc.legalserver.org/matter/dynamic-profile/view/1895319","19-1895319")</f>
        <v>0</v>
      </c>
      <c r="B528" t="s">
        <v>79</v>
      </c>
      <c r="C528" t="s">
        <v>93</v>
      </c>
      <c r="D528" t="s">
        <v>99</v>
      </c>
      <c r="F528" t="s">
        <v>560</v>
      </c>
      <c r="G528" t="s">
        <v>1236</v>
      </c>
      <c r="H528" t="s">
        <v>1698</v>
      </c>
      <c r="I528" t="s">
        <v>1948</v>
      </c>
      <c r="J528" t="s">
        <v>2205</v>
      </c>
      <c r="K528">
        <v>11213</v>
      </c>
      <c r="N528" t="s">
        <v>2234</v>
      </c>
      <c r="O528" t="s">
        <v>2499</v>
      </c>
      <c r="Q528" t="s">
        <v>3162</v>
      </c>
      <c r="R528">
        <v>2</v>
      </c>
      <c r="S528">
        <v>1</v>
      </c>
      <c r="T528">
        <v>234.41</v>
      </c>
      <c r="W528">
        <v>50000</v>
      </c>
      <c r="X528" t="s">
        <v>3591</v>
      </c>
      <c r="Y528">
        <v>1.8</v>
      </c>
      <c r="Z528" t="s">
        <v>464</v>
      </c>
      <c r="AA528" t="s">
        <v>70</v>
      </c>
      <c r="AC528" t="s">
        <v>3942</v>
      </c>
      <c r="AD528" t="s">
        <v>99</v>
      </c>
      <c r="AF528" t="s">
        <v>4051</v>
      </c>
      <c r="AH528" t="s">
        <v>4077</v>
      </c>
      <c r="AJ528" t="s">
        <v>3942</v>
      </c>
      <c r="AL528" t="s">
        <v>4100</v>
      </c>
      <c r="AM528" t="s">
        <v>2230</v>
      </c>
      <c r="AO528">
        <v>693</v>
      </c>
      <c r="AQ528">
        <v>19</v>
      </c>
      <c r="AS528" t="s">
        <v>4113</v>
      </c>
      <c r="AU528" t="s">
        <v>4128</v>
      </c>
      <c r="AW528">
        <v>20</v>
      </c>
      <c r="AY528" t="s">
        <v>4140</v>
      </c>
      <c r="BA528" t="s">
        <v>4149</v>
      </c>
      <c r="BB528" t="s">
        <v>4154</v>
      </c>
      <c r="BF528" t="s">
        <v>4281</v>
      </c>
      <c r="BG528" t="s">
        <v>4457</v>
      </c>
      <c r="BM528" t="s">
        <v>4627</v>
      </c>
    </row>
    <row r="529" spans="1:65">
      <c r="A529" s="1">
        <f>HYPERLINK("https://lsnyc.legalserver.org/matter/dynamic-profile/view/1899597","19-1899597")</f>
        <v>0</v>
      </c>
      <c r="B529" t="s">
        <v>79</v>
      </c>
      <c r="C529" t="s">
        <v>94</v>
      </c>
      <c r="D529" t="s">
        <v>200</v>
      </c>
      <c r="F529" t="s">
        <v>747</v>
      </c>
      <c r="G529" t="s">
        <v>1030</v>
      </c>
      <c r="H529" t="s">
        <v>1734</v>
      </c>
      <c r="I529" t="s">
        <v>2044</v>
      </c>
      <c r="J529" t="s">
        <v>2206</v>
      </c>
      <c r="K529">
        <v>10470</v>
      </c>
      <c r="N529" t="s">
        <v>2233</v>
      </c>
      <c r="O529" t="s">
        <v>2563</v>
      </c>
      <c r="P529" t="s">
        <v>2930</v>
      </c>
      <c r="R529">
        <v>1</v>
      </c>
      <c r="S529">
        <v>0</v>
      </c>
      <c r="T529">
        <v>0</v>
      </c>
      <c r="W529">
        <v>0</v>
      </c>
      <c r="Y529">
        <v>0</v>
      </c>
      <c r="AA529" t="s">
        <v>3918</v>
      </c>
      <c r="AC529" t="s">
        <v>3942</v>
      </c>
      <c r="AD529" t="s">
        <v>3971</v>
      </c>
      <c r="AF529" t="s">
        <v>4053</v>
      </c>
      <c r="AH529" t="s">
        <v>4081</v>
      </c>
      <c r="AJ529" t="s">
        <v>3943</v>
      </c>
      <c r="AL529" t="s">
        <v>4089</v>
      </c>
      <c r="AM529" t="s">
        <v>2230</v>
      </c>
      <c r="AN529" t="s">
        <v>4107</v>
      </c>
      <c r="AO529">
        <v>0</v>
      </c>
      <c r="AQ529">
        <v>61</v>
      </c>
      <c r="AS529" t="s">
        <v>4117</v>
      </c>
      <c r="AU529" t="s">
        <v>4128</v>
      </c>
      <c r="AV529" t="s">
        <v>4137</v>
      </c>
      <c r="AW529">
        <v>0</v>
      </c>
      <c r="AY529" t="s">
        <v>4140</v>
      </c>
      <c r="BC529" t="s">
        <v>4155</v>
      </c>
      <c r="BF529" t="s">
        <v>4281</v>
      </c>
      <c r="BM529" t="s">
        <v>4627</v>
      </c>
    </row>
    <row r="530" spans="1:65">
      <c r="A530" s="1">
        <f>HYPERLINK("https://lsnyc.legalserver.org/matter/dynamic-profile/view/1895307","19-1895307")</f>
        <v>0</v>
      </c>
      <c r="B530" t="s">
        <v>79</v>
      </c>
      <c r="C530" t="s">
        <v>93</v>
      </c>
      <c r="D530" t="s">
        <v>99</v>
      </c>
      <c r="F530" t="s">
        <v>694</v>
      </c>
      <c r="G530" t="s">
        <v>1187</v>
      </c>
      <c r="H530" t="s">
        <v>1698</v>
      </c>
      <c r="I530" t="s">
        <v>1942</v>
      </c>
      <c r="J530" t="s">
        <v>2205</v>
      </c>
      <c r="K530">
        <v>11213</v>
      </c>
      <c r="N530" t="s">
        <v>2234</v>
      </c>
      <c r="O530" t="s">
        <v>2493</v>
      </c>
      <c r="Q530" t="s">
        <v>3157</v>
      </c>
      <c r="R530">
        <v>3</v>
      </c>
      <c r="S530">
        <v>3</v>
      </c>
      <c r="T530">
        <v>52.62</v>
      </c>
      <c r="W530">
        <v>18200</v>
      </c>
      <c r="Y530">
        <v>1.6</v>
      </c>
      <c r="Z530" t="s">
        <v>3858</v>
      </c>
      <c r="AA530" t="s">
        <v>70</v>
      </c>
      <c r="AC530" t="s">
        <v>3942</v>
      </c>
      <c r="AD530" t="s">
        <v>99</v>
      </c>
      <c r="AF530" t="s">
        <v>4051</v>
      </c>
      <c r="AH530" t="s">
        <v>4077</v>
      </c>
      <c r="AJ530" t="s">
        <v>3942</v>
      </c>
      <c r="AL530" t="s">
        <v>4100</v>
      </c>
      <c r="AM530" t="s">
        <v>2230</v>
      </c>
      <c r="AO530">
        <v>951</v>
      </c>
      <c r="AQ530">
        <v>19</v>
      </c>
      <c r="AS530" t="s">
        <v>4113</v>
      </c>
      <c r="AU530" t="s">
        <v>4134</v>
      </c>
      <c r="AW530">
        <v>16</v>
      </c>
      <c r="AY530" t="s">
        <v>4140</v>
      </c>
      <c r="BB530" t="s">
        <v>4154</v>
      </c>
      <c r="BG530" t="s">
        <v>4285</v>
      </c>
      <c r="BM530" t="s">
        <v>4627</v>
      </c>
    </row>
    <row r="531" spans="1:65">
      <c r="A531" s="1">
        <f>HYPERLINK("https://lsnyc.legalserver.org/matter/dynamic-profile/view/1886946","19-1886946")</f>
        <v>0</v>
      </c>
      <c r="B531" t="s">
        <v>79</v>
      </c>
      <c r="C531" t="s">
        <v>94</v>
      </c>
      <c r="D531" t="s">
        <v>326</v>
      </c>
      <c r="F531" t="s">
        <v>736</v>
      </c>
      <c r="G531" t="s">
        <v>1113</v>
      </c>
      <c r="H531" t="s">
        <v>1735</v>
      </c>
      <c r="I531" t="s">
        <v>2045</v>
      </c>
      <c r="J531" t="s">
        <v>2206</v>
      </c>
      <c r="K531">
        <v>10457</v>
      </c>
      <c r="N531" t="s">
        <v>2233</v>
      </c>
      <c r="O531" t="s">
        <v>2564</v>
      </c>
      <c r="Q531" t="s">
        <v>3219</v>
      </c>
      <c r="R531">
        <v>2</v>
      </c>
      <c r="S531">
        <v>0</v>
      </c>
      <c r="T531">
        <v>61.36</v>
      </c>
      <c r="W531">
        <v>10100</v>
      </c>
      <c r="Y531">
        <v>3.35</v>
      </c>
      <c r="Z531" t="s">
        <v>3848</v>
      </c>
      <c r="AA531" t="s">
        <v>3923</v>
      </c>
      <c r="AC531" t="s">
        <v>3942</v>
      </c>
      <c r="AD531" t="s">
        <v>326</v>
      </c>
      <c r="AF531" t="s">
        <v>4067</v>
      </c>
      <c r="AH531" t="s">
        <v>4081</v>
      </c>
      <c r="AJ531" t="s">
        <v>3943</v>
      </c>
      <c r="AL531" t="s">
        <v>4099</v>
      </c>
      <c r="AM531" t="s">
        <v>2230</v>
      </c>
      <c r="AO531">
        <v>1100</v>
      </c>
      <c r="AQ531">
        <v>300</v>
      </c>
      <c r="AS531" t="s">
        <v>4117</v>
      </c>
      <c r="AT531" t="s">
        <v>4127</v>
      </c>
      <c r="AV531" t="s">
        <v>4137</v>
      </c>
      <c r="AW531">
        <v>0</v>
      </c>
      <c r="AY531" t="s">
        <v>4141</v>
      </c>
      <c r="BA531" t="s">
        <v>4153</v>
      </c>
      <c r="BB531" t="s">
        <v>4154</v>
      </c>
      <c r="BG531" t="s">
        <v>4458</v>
      </c>
      <c r="BM531" t="s">
        <v>4627</v>
      </c>
    </row>
    <row r="532" spans="1:65">
      <c r="A532" s="1">
        <f>HYPERLINK("https://lsnyc.legalserver.org/matter/dynamic-profile/view/0810651","16-0810651")</f>
        <v>0</v>
      </c>
      <c r="B532" t="s">
        <v>79</v>
      </c>
      <c r="C532" t="s">
        <v>94</v>
      </c>
      <c r="D532" t="s">
        <v>327</v>
      </c>
      <c r="F532" t="s">
        <v>496</v>
      </c>
      <c r="G532" t="s">
        <v>1287</v>
      </c>
      <c r="H532" t="s">
        <v>1736</v>
      </c>
      <c r="I532" t="s">
        <v>1959</v>
      </c>
      <c r="J532" t="s">
        <v>2206</v>
      </c>
      <c r="K532">
        <v>10453</v>
      </c>
      <c r="N532" t="s">
        <v>2233</v>
      </c>
      <c r="O532" t="s">
        <v>2565</v>
      </c>
      <c r="Q532" t="s">
        <v>3220</v>
      </c>
      <c r="R532">
        <v>1</v>
      </c>
      <c r="S532">
        <v>0</v>
      </c>
      <c r="T532">
        <v>98.43000000000001</v>
      </c>
      <c r="W532">
        <v>11693.76</v>
      </c>
      <c r="Y532">
        <v>129.7</v>
      </c>
      <c r="Z532" t="s">
        <v>462</v>
      </c>
      <c r="AA532" t="s">
        <v>3924</v>
      </c>
      <c r="AC532" t="s">
        <v>3942</v>
      </c>
      <c r="AD532" t="s">
        <v>327</v>
      </c>
      <c r="AF532" t="s">
        <v>4053</v>
      </c>
      <c r="AH532" t="s">
        <v>4076</v>
      </c>
      <c r="AI532" t="s">
        <v>4082</v>
      </c>
      <c r="AL532" t="s">
        <v>4087</v>
      </c>
      <c r="AM532" t="s">
        <v>2230</v>
      </c>
      <c r="AO532">
        <v>964.97</v>
      </c>
      <c r="AQ532">
        <v>71</v>
      </c>
      <c r="AS532" t="s">
        <v>4113</v>
      </c>
      <c r="AU532" t="s">
        <v>4134</v>
      </c>
      <c r="AW532">
        <v>12</v>
      </c>
      <c r="AY532" t="s">
        <v>4141</v>
      </c>
      <c r="BB532" t="s">
        <v>4154</v>
      </c>
      <c r="BG532" t="s">
        <v>4459</v>
      </c>
      <c r="BM532" t="s">
        <v>4627</v>
      </c>
    </row>
    <row r="533" spans="1:65">
      <c r="A533" s="1">
        <f>HYPERLINK("https://lsnyc.legalserver.org/matter/dynamic-profile/view/1904281","19-1904281")</f>
        <v>0</v>
      </c>
      <c r="B533" t="s">
        <v>79</v>
      </c>
      <c r="C533" t="s">
        <v>93</v>
      </c>
      <c r="D533" t="s">
        <v>249</v>
      </c>
      <c r="F533" t="s">
        <v>740</v>
      </c>
      <c r="G533" t="s">
        <v>1288</v>
      </c>
      <c r="H533" t="s">
        <v>1737</v>
      </c>
      <c r="I533" t="s">
        <v>1968</v>
      </c>
      <c r="J533" t="s">
        <v>2205</v>
      </c>
      <c r="K533">
        <v>11212</v>
      </c>
      <c r="N533" t="s">
        <v>2233</v>
      </c>
      <c r="O533" t="s">
        <v>2566</v>
      </c>
      <c r="Q533" t="s">
        <v>3221</v>
      </c>
      <c r="R533">
        <v>4</v>
      </c>
      <c r="S533">
        <v>0</v>
      </c>
      <c r="T533">
        <v>111.01</v>
      </c>
      <c r="W533">
        <v>28584</v>
      </c>
      <c r="Y533">
        <v>1</v>
      </c>
      <c r="Z533" t="s">
        <v>249</v>
      </c>
      <c r="AA533" t="s">
        <v>3890</v>
      </c>
      <c r="AC533" t="s">
        <v>3942</v>
      </c>
      <c r="AD533" t="s">
        <v>142</v>
      </c>
      <c r="AF533" t="s">
        <v>4050</v>
      </c>
      <c r="AH533" t="s">
        <v>3510</v>
      </c>
      <c r="AJ533" t="s">
        <v>3943</v>
      </c>
      <c r="AL533" t="s">
        <v>4098</v>
      </c>
      <c r="AM533" t="s">
        <v>2230</v>
      </c>
      <c r="AO533">
        <v>1800</v>
      </c>
      <c r="AQ533">
        <v>4</v>
      </c>
      <c r="AS533" t="s">
        <v>4114</v>
      </c>
      <c r="AU533" t="s">
        <v>4130</v>
      </c>
      <c r="AW533">
        <v>4</v>
      </c>
      <c r="AY533" t="s">
        <v>4140</v>
      </c>
      <c r="BA533" t="s">
        <v>4149</v>
      </c>
      <c r="BC533" t="s">
        <v>4156</v>
      </c>
      <c r="BD533" t="s">
        <v>4157</v>
      </c>
      <c r="BE533" t="s">
        <v>4217</v>
      </c>
      <c r="BG533" t="s">
        <v>4460</v>
      </c>
      <c r="BM533" t="s">
        <v>4627</v>
      </c>
    </row>
    <row r="534" spans="1:65">
      <c r="A534" s="1">
        <f>HYPERLINK("https://lsnyc.legalserver.org/matter/dynamic-profile/view/1845273","17-1845273")</f>
        <v>0</v>
      </c>
      <c r="B534" t="s">
        <v>80</v>
      </c>
      <c r="C534" t="s">
        <v>93</v>
      </c>
      <c r="D534" t="s">
        <v>231</v>
      </c>
      <c r="F534" t="s">
        <v>499</v>
      </c>
      <c r="G534" t="s">
        <v>1289</v>
      </c>
      <c r="H534" t="s">
        <v>1738</v>
      </c>
      <c r="I534" t="s">
        <v>2046</v>
      </c>
      <c r="J534" t="s">
        <v>2205</v>
      </c>
      <c r="K534">
        <v>11213</v>
      </c>
      <c r="N534" t="s">
        <v>2233</v>
      </c>
      <c r="O534" t="s">
        <v>2567</v>
      </c>
      <c r="P534" t="s">
        <v>2930</v>
      </c>
      <c r="R534">
        <v>1</v>
      </c>
      <c r="S534">
        <v>2</v>
      </c>
      <c r="T534">
        <v>145.62</v>
      </c>
      <c r="U534" t="s">
        <v>3453</v>
      </c>
      <c r="W534">
        <v>29736</v>
      </c>
      <c r="Y534">
        <v>0.5</v>
      </c>
      <c r="Z534" t="s">
        <v>187</v>
      </c>
      <c r="AA534" t="s">
        <v>3897</v>
      </c>
      <c r="AC534" t="s">
        <v>3942</v>
      </c>
      <c r="AD534" t="s">
        <v>339</v>
      </c>
      <c r="AF534" t="s">
        <v>4058</v>
      </c>
      <c r="AH534" t="s">
        <v>4076</v>
      </c>
      <c r="AJ534" t="s">
        <v>3942</v>
      </c>
      <c r="AL534" t="s">
        <v>4087</v>
      </c>
      <c r="AM534" t="s">
        <v>2230</v>
      </c>
      <c r="AN534" t="s">
        <v>4107</v>
      </c>
      <c r="AO534">
        <v>0</v>
      </c>
      <c r="AQ534">
        <v>74</v>
      </c>
      <c r="AS534" t="s">
        <v>4113</v>
      </c>
      <c r="AT534" t="s">
        <v>4127</v>
      </c>
      <c r="AV534" t="s">
        <v>4137</v>
      </c>
      <c r="AW534">
        <v>0</v>
      </c>
      <c r="AY534" t="s">
        <v>4140</v>
      </c>
      <c r="BB534" t="s">
        <v>4154</v>
      </c>
      <c r="BF534" t="s">
        <v>4281</v>
      </c>
      <c r="BM534" t="s">
        <v>4627</v>
      </c>
    </row>
    <row r="535" spans="1:65">
      <c r="A535" s="1">
        <f>HYPERLINK("https://lsnyc.legalserver.org/matter/dynamic-profile/view/1892341","19-1892341")</f>
        <v>0</v>
      </c>
      <c r="B535" t="s">
        <v>80</v>
      </c>
      <c r="C535" t="s">
        <v>93</v>
      </c>
      <c r="D535" t="s">
        <v>168</v>
      </c>
      <c r="F535" t="s">
        <v>748</v>
      </c>
      <c r="G535" t="s">
        <v>1290</v>
      </c>
      <c r="H535" t="s">
        <v>1739</v>
      </c>
      <c r="I535" t="s">
        <v>1947</v>
      </c>
      <c r="J535" t="s">
        <v>2205</v>
      </c>
      <c r="K535">
        <v>11233</v>
      </c>
      <c r="N535" t="s">
        <v>2233</v>
      </c>
      <c r="O535" t="s">
        <v>2568</v>
      </c>
      <c r="Q535" t="s">
        <v>3222</v>
      </c>
      <c r="R535">
        <v>1</v>
      </c>
      <c r="S535">
        <v>1</v>
      </c>
      <c r="T535">
        <v>149.76</v>
      </c>
      <c r="W535">
        <v>25324</v>
      </c>
      <c r="Y535">
        <v>0</v>
      </c>
      <c r="AA535" t="s">
        <v>90</v>
      </c>
      <c r="AC535" t="s">
        <v>3942</v>
      </c>
      <c r="AD535" t="s">
        <v>141</v>
      </c>
      <c r="AF535" t="s">
        <v>4053</v>
      </c>
      <c r="AH535" t="s">
        <v>4076</v>
      </c>
      <c r="AJ535" t="s">
        <v>3943</v>
      </c>
      <c r="AL535" t="s">
        <v>4095</v>
      </c>
      <c r="AM535" t="s">
        <v>2230</v>
      </c>
      <c r="AO535">
        <v>733.64</v>
      </c>
      <c r="AQ535">
        <v>32</v>
      </c>
      <c r="AS535" t="s">
        <v>4113</v>
      </c>
      <c r="AU535" t="s">
        <v>4128</v>
      </c>
      <c r="AW535">
        <v>5</v>
      </c>
      <c r="AY535" t="s">
        <v>4140</v>
      </c>
      <c r="BA535" t="s">
        <v>4149</v>
      </c>
      <c r="BB535" t="s">
        <v>4154</v>
      </c>
      <c r="BE535" t="s">
        <v>4128</v>
      </c>
      <c r="BG535" t="s">
        <v>4461</v>
      </c>
      <c r="BM535" t="s">
        <v>4627</v>
      </c>
    </row>
    <row r="536" spans="1:65">
      <c r="A536" s="1">
        <f>HYPERLINK("https://lsnyc.legalserver.org/matter/dynamic-profile/view/1892345","19-1892345")</f>
        <v>0</v>
      </c>
      <c r="B536" t="s">
        <v>80</v>
      </c>
      <c r="C536" t="s">
        <v>93</v>
      </c>
      <c r="D536" t="s">
        <v>168</v>
      </c>
      <c r="F536" t="s">
        <v>748</v>
      </c>
      <c r="G536" t="s">
        <v>1290</v>
      </c>
      <c r="H536" t="s">
        <v>1739</v>
      </c>
      <c r="I536" t="s">
        <v>1947</v>
      </c>
      <c r="J536" t="s">
        <v>2205</v>
      </c>
      <c r="K536">
        <v>11233</v>
      </c>
      <c r="N536" t="s">
        <v>2233</v>
      </c>
      <c r="O536" t="s">
        <v>2568</v>
      </c>
      <c r="Q536" t="s">
        <v>3222</v>
      </c>
      <c r="R536">
        <v>1</v>
      </c>
      <c r="S536">
        <v>1</v>
      </c>
      <c r="T536">
        <v>149.76</v>
      </c>
      <c r="W536">
        <v>25324</v>
      </c>
      <c r="X536" t="s">
        <v>3592</v>
      </c>
      <c r="Y536">
        <v>0</v>
      </c>
      <c r="AA536" t="s">
        <v>90</v>
      </c>
      <c r="AC536" t="s">
        <v>3942</v>
      </c>
      <c r="AD536" t="s">
        <v>4018</v>
      </c>
      <c r="AF536" t="s">
        <v>4061</v>
      </c>
      <c r="AH536" t="s">
        <v>3510</v>
      </c>
      <c r="AJ536" t="s">
        <v>3942</v>
      </c>
      <c r="AL536" t="s">
        <v>4095</v>
      </c>
      <c r="AM536" t="s">
        <v>2230</v>
      </c>
      <c r="AO536">
        <v>733.64</v>
      </c>
      <c r="AQ536">
        <v>32</v>
      </c>
      <c r="AS536" t="s">
        <v>4113</v>
      </c>
      <c r="AU536" t="s">
        <v>4128</v>
      </c>
      <c r="AW536">
        <v>5</v>
      </c>
      <c r="AY536" t="s">
        <v>4140</v>
      </c>
      <c r="BA536" t="s">
        <v>4149</v>
      </c>
      <c r="BB536" t="s">
        <v>4154</v>
      </c>
      <c r="BE536" t="s">
        <v>4128</v>
      </c>
      <c r="BF536" t="s">
        <v>4281</v>
      </c>
      <c r="BG536" t="s">
        <v>4128</v>
      </c>
      <c r="BM536" t="s">
        <v>4627</v>
      </c>
    </row>
    <row r="537" spans="1:65">
      <c r="A537" s="1">
        <f>HYPERLINK("https://lsnyc.legalserver.org/matter/dynamic-profile/view/1892349","19-1892349")</f>
        <v>0</v>
      </c>
      <c r="B537" t="s">
        <v>80</v>
      </c>
      <c r="C537" t="s">
        <v>93</v>
      </c>
      <c r="D537" t="s">
        <v>168</v>
      </c>
      <c r="F537" t="s">
        <v>748</v>
      </c>
      <c r="G537" t="s">
        <v>1290</v>
      </c>
      <c r="H537" t="s">
        <v>1739</v>
      </c>
      <c r="I537" t="s">
        <v>1947</v>
      </c>
      <c r="J537" t="s">
        <v>2205</v>
      </c>
      <c r="K537">
        <v>11233</v>
      </c>
      <c r="N537" t="s">
        <v>2233</v>
      </c>
      <c r="O537" t="s">
        <v>2568</v>
      </c>
      <c r="Q537" t="s">
        <v>3222</v>
      </c>
      <c r="R537">
        <v>1</v>
      </c>
      <c r="S537">
        <v>1</v>
      </c>
      <c r="T537">
        <v>149.76</v>
      </c>
      <c r="W537">
        <v>25324</v>
      </c>
      <c r="X537" t="s">
        <v>3592</v>
      </c>
      <c r="Y537">
        <v>0</v>
      </c>
      <c r="AA537" t="s">
        <v>90</v>
      </c>
      <c r="AC537" t="s">
        <v>3942</v>
      </c>
      <c r="AD537" t="s">
        <v>4019</v>
      </c>
      <c r="AF537" t="s">
        <v>4050</v>
      </c>
      <c r="AH537" t="s">
        <v>4076</v>
      </c>
      <c r="AJ537" t="s">
        <v>3942</v>
      </c>
      <c r="AL537" t="s">
        <v>4095</v>
      </c>
      <c r="AM537" t="s">
        <v>2230</v>
      </c>
      <c r="AO537">
        <v>733.64</v>
      </c>
      <c r="AQ537">
        <v>32</v>
      </c>
      <c r="AS537" t="s">
        <v>4113</v>
      </c>
      <c r="AU537" t="s">
        <v>4128</v>
      </c>
      <c r="AW537">
        <v>5</v>
      </c>
      <c r="AY537" t="s">
        <v>4140</v>
      </c>
      <c r="BA537" t="s">
        <v>4149</v>
      </c>
      <c r="BB537" t="s">
        <v>4154</v>
      </c>
      <c r="BE537" t="s">
        <v>4128</v>
      </c>
      <c r="BG537" t="s">
        <v>4462</v>
      </c>
      <c r="BM537" t="s">
        <v>4627</v>
      </c>
    </row>
    <row r="538" spans="1:65">
      <c r="A538" s="1">
        <f>HYPERLINK("https://lsnyc.legalserver.org/matter/dynamic-profile/view/1845445","17-1845445")</f>
        <v>0</v>
      </c>
      <c r="B538" t="s">
        <v>80</v>
      </c>
      <c r="C538" t="s">
        <v>93</v>
      </c>
      <c r="D538" t="s">
        <v>106</v>
      </c>
      <c r="F538" t="s">
        <v>749</v>
      </c>
      <c r="G538" t="s">
        <v>1291</v>
      </c>
      <c r="H538" t="s">
        <v>1738</v>
      </c>
      <c r="I538" t="s">
        <v>1923</v>
      </c>
      <c r="J538" t="s">
        <v>2205</v>
      </c>
      <c r="K538">
        <v>11213</v>
      </c>
      <c r="N538" t="s">
        <v>2233</v>
      </c>
      <c r="O538" t="s">
        <v>2569</v>
      </c>
      <c r="P538" t="s">
        <v>2930</v>
      </c>
      <c r="R538">
        <v>2</v>
      </c>
      <c r="S538">
        <v>0</v>
      </c>
      <c r="T538">
        <v>125.62</v>
      </c>
      <c r="U538" t="s">
        <v>3453</v>
      </c>
      <c r="W538">
        <v>32400</v>
      </c>
      <c r="Y538">
        <v>0</v>
      </c>
      <c r="AA538" t="s">
        <v>3897</v>
      </c>
      <c r="AB538" t="s">
        <v>3941</v>
      </c>
      <c r="AC538" t="s">
        <v>3943</v>
      </c>
      <c r="AD538" t="s">
        <v>106</v>
      </c>
      <c r="AF538" t="s">
        <v>4058</v>
      </c>
      <c r="AH538" t="s">
        <v>4076</v>
      </c>
      <c r="AJ538" t="s">
        <v>3942</v>
      </c>
      <c r="AL538" t="s">
        <v>4087</v>
      </c>
      <c r="AM538" t="s">
        <v>2230</v>
      </c>
      <c r="AN538" t="s">
        <v>4107</v>
      </c>
      <c r="AO538">
        <v>0</v>
      </c>
      <c r="AQ538">
        <v>74</v>
      </c>
      <c r="AS538" t="s">
        <v>4113</v>
      </c>
      <c r="AT538" t="s">
        <v>4127</v>
      </c>
      <c r="AV538" t="s">
        <v>4137</v>
      </c>
      <c r="AW538">
        <v>0</v>
      </c>
      <c r="AY538" t="s">
        <v>4140</v>
      </c>
      <c r="BB538" t="s">
        <v>4154</v>
      </c>
      <c r="BF538" t="s">
        <v>4281</v>
      </c>
      <c r="BM538" t="s">
        <v>4627</v>
      </c>
    </row>
    <row r="539" spans="1:65">
      <c r="A539" s="1">
        <f>HYPERLINK("https://lsnyc.legalserver.org/matter/dynamic-profile/view/1845644","17-1845644")</f>
        <v>0</v>
      </c>
      <c r="B539" t="s">
        <v>80</v>
      </c>
      <c r="C539" t="s">
        <v>93</v>
      </c>
      <c r="D539" t="s">
        <v>106</v>
      </c>
      <c r="F539" t="s">
        <v>636</v>
      </c>
      <c r="G539" t="s">
        <v>1292</v>
      </c>
      <c r="H539" t="s">
        <v>1740</v>
      </c>
      <c r="I539" t="s">
        <v>2047</v>
      </c>
      <c r="J539" t="s">
        <v>2205</v>
      </c>
      <c r="K539">
        <v>11213</v>
      </c>
      <c r="N539" t="s">
        <v>2233</v>
      </c>
      <c r="O539" t="s">
        <v>2570</v>
      </c>
      <c r="Q539" t="s">
        <v>3223</v>
      </c>
      <c r="R539">
        <v>2</v>
      </c>
      <c r="S539">
        <v>1</v>
      </c>
      <c r="T539">
        <v>30.81</v>
      </c>
      <c r="U539" t="s">
        <v>3453</v>
      </c>
      <c r="W539">
        <v>6292</v>
      </c>
      <c r="Y539">
        <v>0</v>
      </c>
      <c r="AA539" t="s">
        <v>3897</v>
      </c>
      <c r="AC539" t="s">
        <v>3942</v>
      </c>
      <c r="AD539" t="s">
        <v>339</v>
      </c>
      <c r="AF539" t="s">
        <v>4058</v>
      </c>
      <c r="AH539" t="s">
        <v>4076</v>
      </c>
      <c r="AJ539" t="s">
        <v>3942</v>
      </c>
      <c r="AK539" t="s">
        <v>4084</v>
      </c>
      <c r="AM539" t="s">
        <v>2230</v>
      </c>
      <c r="AO539">
        <v>1100</v>
      </c>
      <c r="AQ539">
        <v>74</v>
      </c>
      <c r="AS539" t="s">
        <v>4113</v>
      </c>
      <c r="AT539" t="s">
        <v>4127</v>
      </c>
      <c r="AW539">
        <v>8</v>
      </c>
      <c r="AY539" t="s">
        <v>4140</v>
      </c>
      <c r="BB539" t="s">
        <v>4154</v>
      </c>
      <c r="BF539" t="s">
        <v>4281</v>
      </c>
      <c r="BM539" t="s">
        <v>4627</v>
      </c>
    </row>
    <row r="540" spans="1:65">
      <c r="A540" s="1">
        <f>HYPERLINK("https://lsnyc.legalserver.org/matter/dynamic-profile/view/1839938","17-1839938")</f>
        <v>0</v>
      </c>
      <c r="B540" t="s">
        <v>80</v>
      </c>
      <c r="C540" t="s">
        <v>93</v>
      </c>
      <c r="D540" t="s">
        <v>328</v>
      </c>
      <c r="F540" t="s">
        <v>636</v>
      </c>
      <c r="G540" t="s">
        <v>1292</v>
      </c>
      <c r="H540" t="s">
        <v>1740</v>
      </c>
      <c r="I540" t="s">
        <v>2047</v>
      </c>
      <c r="J540" t="s">
        <v>2205</v>
      </c>
      <c r="K540">
        <v>11213</v>
      </c>
      <c r="N540" t="s">
        <v>2233</v>
      </c>
      <c r="O540" t="s">
        <v>2570</v>
      </c>
      <c r="Q540" t="s">
        <v>3223</v>
      </c>
      <c r="R540">
        <v>2</v>
      </c>
      <c r="S540">
        <v>1</v>
      </c>
      <c r="T540">
        <v>30.81</v>
      </c>
      <c r="U540" t="s">
        <v>3453</v>
      </c>
      <c r="W540">
        <v>6292</v>
      </c>
      <c r="X540" t="s">
        <v>3593</v>
      </c>
      <c r="Y540">
        <v>0</v>
      </c>
      <c r="AA540" t="s">
        <v>3897</v>
      </c>
      <c r="AC540" t="s">
        <v>3942</v>
      </c>
      <c r="AD540" t="s">
        <v>339</v>
      </c>
      <c r="AF540" t="s">
        <v>4061</v>
      </c>
      <c r="AH540" t="s">
        <v>3510</v>
      </c>
      <c r="AJ540" t="s">
        <v>3942</v>
      </c>
      <c r="AK540" t="s">
        <v>4084</v>
      </c>
      <c r="AM540" t="s">
        <v>2230</v>
      </c>
      <c r="AO540">
        <v>1100</v>
      </c>
      <c r="AQ540">
        <v>74</v>
      </c>
      <c r="AS540" t="s">
        <v>4113</v>
      </c>
      <c r="AT540" t="s">
        <v>4127</v>
      </c>
      <c r="AW540">
        <v>8</v>
      </c>
      <c r="AY540" t="s">
        <v>4140</v>
      </c>
      <c r="BB540" t="s">
        <v>4154</v>
      </c>
      <c r="BF540" t="s">
        <v>4281</v>
      </c>
      <c r="BM540" t="s">
        <v>4627</v>
      </c>
    </row>
    <row r="541" spans="1:65">
      <c r="A541" s="1">
        <f>HYPERLINK("https://lsnyc.legalserver.org/matter/dynamic-profile/view/0780350","15-0780350")</f>
        <v>0</v>
      </c>
      <c r="B541" t="s">
        <v>80</v>
      </c>
      <c r="C541" t="s">
        <v>93</v>
      </c>
      <c r="D541" t="s">
        <v>329</v>
      </c>
      <c r="F541" t="s">
        <v>750</v>
      </c>
      <c r="G541" t="s">
        <v>797</v>
      </c>
      <c r="H541" t="s">
        <v>1741</v>
      </c>
      <c r="I541" t="s">
        <v>2048</v>
      </c>
      <c r="J541" t="s">
        <v>2205</v>
      </c>
      <c r="K541">
        <v>11208</v>
      </c>
      <c r="N541" t="s">
        <v>2233</v>
      </c>
      <c r="O541" t="s">
        <v>2571</v>
      </c>
      <c r="Q541" t="s">
        <v>3224</v>
      </c>
      <c r="R541">
        <v>2</v>
      </c>
      <c r="S541">
        <v>0</v>
      </c>
      <c r="T541">
        <v>56.72</v>
      </c>
      <c r="W541">
        <v>9036</v>
      </c>
      <c r="Y541">
        <v>61.1</v>
      </c>
      <c r="Z541" t="s">
        <v>3859</v>
      </c>
      <c r="AA541" t="s">
        <v>3901</v>
      </c>
      <c r="AB541" t="s">
        <v>3940</v>
      </c>
      <c r="AC541" t="s">
        <v>3944</v>
      </c>
      <c r="AD541" t="s">
        <v>4020</v>
      </c>
      <c r="AF541" t="s">
        <v>4053</v>
      </c>
      <c r="AH541" t="s">
        <v>4076</v>
      </c>
      <c r="AI541" t="s">
        <v>4082</v>
      </c>
      <c r="AL541" t="s">
        <v>4087</v>
      </c>
      <c r="AM541" t="s">
        <v>2230</v>
      </c>
      <c r="AO541">
        <v>1089</v>
      </c>
      <c r="AP541" t="s">
        <v>4108</v>
      </c>
      <c r="AQ541" t="s">
        <v>4110</v>
      </c>
      <c r="AR541" t="s">
        <v>4112</v>
      </c>
      <c r="AT541" t="s">
        <v>4127</v>
      </c>
      <c r="AW541">
        <v>38</v>
      </c>
      <c r="AY541" t="s">
        <v>4140</v>
      </c>
      <c r="BB541" t="s">
        <v>4154</v>
      </c>
      <c r="BG541" t="s">
        <v>4463</v>
      </c>
      <c r="BM541" t="s">
        <v>4627</v>
      </c>
    </row>
    <row r="542" spans="1:65">
      <c r="A542" s="1">
        <f>HYPERLINK("https://lsnyc.legalserver.org/matter/dynamic-profile/view/0830504","17-0830504")</f>
        <v>0</v>
      </c>
      <c r="B542" t="s">
        <v>80</v>
      </c>
      <c r="C542" t="s">
        <v>93</v>
      </c>
      <c r="D542" t="s">
        <v>330</v>
      </c>
      <c r="F542" t="s">
        <v>749</v>
      </c>
      <c r="G542" t="s">
        <v>1291</v>
      </c>
      <c r="H542" t="s">
        <v>1738</v>
      </c>
      <c r="I542" t="s">
        <v>1923</v>
      </c>
      <c r="J542" t="s">
        <v>2205</v>
      </c>
      <c r="K542">
        <v>11213</v>
      </c>
      <c r="N542" t="s">
        <v>2239</v>
      </c>
      <c r="O542" t="s">
        <v>2569</v>
      </c>
      <c r="P542" t="s">
        <v>2930</v>
      </c>
      <c r="R542">
        <v>2</v>
      </c>
      <c r="S542">
        <v>0</v>
      </c>
      <c r="T542">
        <v>125.62</v>
      </c>
      <c r="U542" t="s">
        <v>3453</v>
      </c>
      <c r="W542">
        <v>20400</v>
      </c>
      <c r="Y542">
        <v>0</v>
      </c>
      <c r="AA542" t="s">
        <v>3897</v>
      </c>
      <c r="AC542" t="s">
        <v>3942</v>
      </c>
      <c r="AD542" t="s">
        <v>276</v>
      </c>
      <c r="AF542" t="s">
        <v>4061</v>
      </c>
      <c r="AH542" t="s">
        <v>3510</v>
      </c>
      <c r="AJ542" t="s">
        <v>3942</v>
      </c>
      <c r="AK542" t="s">
        <v>4084</v>
      </c>
      <c r="AM542" t="s">
        <v>2230</v>
      </c>
      <c r="AN542" t="s">
        <v>4107</v>
      </c>
      <c r="AO542">
        <v>0</v>
      </c>
      <c r="AQ542">
        <v>74</v>
      </c>
      <c r="AS542" t="s">
        <v>4113</v>
      </c>
      <c r="AT542" t="s">
        <v>4127</v>
      </c>
      <c r="AV542" t="s">
        <v>4137</v>
      </c>
      <c r="AW542">
        <v>0</v>
      </c>
      <c r="AY542" t="s">
        <v>4140</v>
      </c>
      <c r="BB542" t="s">
        <v>4154</v>
      </c>
      <c r="BF542" t="s">
        <v>4281</v>
      </c>
      <c r="BM542" t="s">
        <v>4627</v>
      </c>
    </row>
    <row r="543" spans="1:65">
      <c r="A543" s="1">
        <f>HYPERLINK("https://lsnyc.legalserver.org/matter/dynamic-profile/view/1840992","17-1840992")</f>
        <v>0</v>
      </c>
      <c r="B543" t="s">
        <v>80</v>
      </c>
      <c r="C543" t="s">
        <v>93</v>
      </c>
      <c r="D543" t="s">
        <v>331</v>
      </c>
      <c r="F543" t="s">
        <v>751</v>
      </c>
      <c r="G543" t="s">
        <v>1293</v>
      </c>
      <c r="H543" t="s">
        <v>1738</v>
      </c>
      <c r="I543" t="s">
        <v>1970</v>
      </c>
      <c r="J543" t="s">
        <v>2205</v>
      </c>
      <c r="K543">
        <v>11213</v>
      </c>
      <c r="N543" t="s">
        <v>2233</v>
      </c>
      <c r="O543" t="s">
        <v>2572</v>
      </c>
      <c r="P543" t="s">
        <v>2930</v>
      </c>
      <c r="R543">
        <v>2</v>
      </c>
      <c r="S543">
        <v>2</v>
      </c>
      <c r="T543">
        <v>406.5</v>
      </c>
      <c r="U543" t="s">
        <v>3453</v>
      </c>
      <c r="W543">
        <v>100000</v>
      </c>
      <c r="Y543">
        <v>0</v>
      </c>
      <c r="AA543" t="s">
        <v>3897</v>
      </c>
      <c r="AC543" t="s">
        <v>3942</v>
      </c>
      <c r="AD543" t="s">
        <v>339</v>
      </c>
      <c r="AF543" t="s">
        <v>4061</v>
      </c>
      <c r="AH543" t="s">
        <v>3510</v>
      </c>
      <c r="AJ543" t="s">
        <v>3942</v>
      </c>
      <c r="AK543" t="s">
        <v>4084</v>
      </c>
      <c r="AM543" t="s">
        <v>2230</v>
      </c>
      <c r="AN543" t="s">
        <v>4107</v>
      </c>
      <c r="AO543">
        <v>0</v>
      </c>
      <c r="AQ543">
        <v>74</v>
      </c>
      <c r="AS543" t="s">
        <v>4113</v>
      </c>
      <c r="AT543" t="s">
        <v>4127</v>
      </c>
      <c r="AV543" t="s">
        <v>4137</v>
      </c>
      <c r="AW543">
        <v>0</v>
      </c>
      <c r="AY543" t="s">
        <v>4140</v>
      </c>
      <c r="BB543" t="s">
        <v>4154</v>
      </c>
      <c r="BF543" t="s">
        <v>4281</v>
      </c>
      <c r="BM543" t="s">
        <v>4627</v>
      </c>
    </row>
    <row r="544" spans="1:65">
      <c r="A544" s="1">
        <f>HYPERLINK("https://lsnyc.legalserver.org/matter/dynamic-profile/view/1845640","17-1845640")</f>
        <v>0</v>
      </c>
      <c r="B544" t="s">
        <v>80</v>
      </c>
      <c r="C544" t="s">
        <v>93</v>
      </c>
      <c r="D544" t="s">
        <v>106</v>
      </c>
      <c r="F544" t="s">
        <v>751</v>
      </c>
      <c r="G544" t="s">
        <v>1293</v>
      </c>
      <c r="H544" t="s">
        <v>1738</v>
      </c>
      <c r="I544" t="s">
        <v>1970</v>
      </c>
      <c r="J544" t="s">
        <v>2205</v>
      </c>
      <c r="K544">
        <v>11213</v>
      </c>
      <c r="N544" t="s">
        <v>2233</v>
      </c>
      <c r="O544" t="s">
        <v>2572</v>
      </c>
      <c r="P544" t="s">
        <v>2930</v>
      </c>
      <c r="R544">
        <v>2</v>
      </c>
      <c r="S544">
        <v>2</v>
      </c>
      <c r="T544">
        <v>406.5</v>
      </c>
      <c r="U544" t="s">
        <v>3453</v>
      </c>
      <c r="W544">
        <v>100000</v>
      </c>
      <c r="Y544">
        <v>0</v>
      </c>
      <c r="AA544" t="s">
        <v>3897</v>
      </c>
      <c r="AC544" t="s">
        <v>3942</v>
      </c>
      <c r="AD544" t="s">
        <v>339</v>
      </c>
      <c r="AF544" t="s">
        <v>4058</v>
      </c>
      <c r="AH544" t="s">
        <v>4076</v>
      </c>
      <c r="AJ544" t="s">
        <v>3942</v>
      </c>
      <c r="AL544" t="s">
        <v>4087</v>
      </c>
      <c r="AM544" t="s">
        <v>2230</v>
      </c>
      <c r="AN544" t="s">
        <v>4107</v>
      </c>
      <c r="AO544">
        <v>0</v>
      </c>
      <c r="AQ544">
        <v>74</v>
      </c>
      <c r="AS544" t="s">
        <v>4113</v>
      </c>
      <c r="AT544" t="s">
        <v>4127</v>
      </c>
      <c r="AV544" t="s">
        <v>4137</v>
      </c>
      <c r="AW544">
        <v>0</v>
      </c>
      <c r="AY544" t="s">
        <v>4140</v>
      </c>
      <c r="BB544" t="s">
        <v>4154</v>
      </c>
      <c r="BF544" t="s">
        <v>4281</v>
      </c>
      <c r="BM544" t="s">
        <v>4627</v>
      </c>
    </row>
    <row r="545" spans="1:67">
      <c r="A545" s="1">
        <f>HYPERLINK("https://lsnyc.legalserver.org/matter/dynamic-profile/view/1845341","17-1845341")</f>
        <v>0</v>
      </c>
      <c r="B545" t="s">
        <v>80</v>
      </c>
      <c r="C545" t="s">
        <v>93</v>
      </c>
      <c r="D545" t="s">
        <v>332</v>
      </c>
      <c r="F545" t="s">
        <v>752</v>
      </c>
      <c r="G545" t="s">
        <v>1294</v>
      </c>
      <c r="H545" t="s">
        <v>1738</v>
      </c>
      <c r="I545" t="s">
        <v>1923</v>
      </c>
      <c r="J545" t="s">
        <v>2205</v>
      </c>
      <c r="K545">
        <v>11213</v>
      </c>
      <c r="N545" t="s">
        <v>2233</v>
      </c>
      <c r="O545" t="s">
        <v>2573</v>
      </c>
      <c r="P545" t="s">
        <v>2930</v>
      </c>
      <c r="R545">
        <v>2</v>
      </c>
      <c r="S545">
        <v>1</v>
      </c>
      <c r="T545">
        <v>142.86</v>
      </c>
      <c r="U545" t="s">
        <v>3453</v>
      </c>
      <c r="W545">
        <v>29172</v>
      </c>
      <c r="Y545">
        <v>0</v>
      </c>
      <c r="AA545" t="s">
        <v>3897</v>
      </c>
      <c r="AC545" t="s">
        <v>3942</v>
      </c>
      <c r="AD545" t="s">
        <v>339</v>
      </c>
      <c r="AF545" t="s">
        <v>4058</v>
      </c>
      <c r="AH545" t="s">
        <v>4076</v>
      </c>
      <c r="AJ545" t="s">
        <v>3942</v>
      </c>
      <c r="AK545" t="s">
        <v>4084</v>
      </c>
      <c r="AM545" t="s">
        <v>2230</v>
      </c>
      <c r="AN545" t="s">
        <v>4107</v>
      </c>
      <c r="AO545">
        <v>0</v>
      </c>
      <c r="AQ545">
        <v>74</v>
      </c>
      <c r="AS545" t="s">
        <v>4113</v>
      </c>
      <c r="AT545" t="s">
        <v>4127</v>
      </c>
      <c r="AV545" t="s">
        <v>4137</v>
      </c>
      <c r="AW545">
        <v>0</v>
      </c>
      <c r="AY545" t="s">
        <v>4140</v>
      </c>
      <c r="BB545" t="s">
        <v>4154</v>
      </c>
      <c r="BF545" t="s">
        <v>4281</v>
      </c>
      <c r="BM545" t="s">
        <v>4627</v>
      </c>
    </row>
    <row r="546" spans="1:67">
      <c r="A546" s="1">
        <f>HYPERLINK("https://lsnyc.legalserver.org/matter/dynamic-profile/view/0830285","17-0830285")</f>
        <v>0</v>
      </c>
      <c r="B546" t="s">
        <v>80</v>
      </c>
      <c r="C546" t="s">
        <v>93</v>
      </c>
      <c r="D546" t="s">
        <v>333</v>
      </c>
      <c r="F546" t="s">
        <v>499</v>
      </c>
      <c r="G546" t="s">
        <v>1289</v>
      </c>
      <c r="H546" t="s">
        <v>1738</v>
      </c>
      <c r="I546" t="s">
        <v>2046</v>
      </c>
      <c r="J546" t="s">
        <v>2205</v>
      </c>
      <c r="K546">
        <v>11213</v>
      </c>
      <c r="N546" t="s">
        <v>2239</v>
      </c>
      <c r="O546" t="s">
        <v>2567</v>
      </c>
      <c r="P546" t="s">
        <v>2930</v>
      </c>
      <c r="R546">
        <v>1</v>
      </c>
      <c r="S546">
        <v>2</v>
      </c>
      <c r="T546">
        <v>145.62</v>
      </c>
      <c r="U546" t="s">
        <v>3453</v>
      </c>
      <c r="W546">
        <v>29736</v>
      </c>
      <c r="Y546">
        <v>45.25</v>
      </c>
      <c r="Z546" t="s">
        <v>3860</v>
      </c>
      <c r="AA546" t="s">
        <v>3897</v>
      </c>
      <c r="AC546" t="s">
        <v>3942</v>
      </c>
      <c r="AD546" t="s">
        <v>255</v>
      </c>
      <c r="AF546" t="s">
        <v>4061</v>
      </c>
      <c r="AH546" t="s">
        <v>3510</v>
      </c>
      <c r="AJ546" t="s">
        <v>3942</v>
      </c>
      <c r="AK546" t="s">
        <v>4084</v>
      </c>
      <c r="AM546" t="s">
        <v>2230</v>
      </c>
      <c r="AN546" t="s">
        <v>4107</v>
      </c>
      <c r="AO546">
        <v>0</v>
      </c>
      <c r="AQ546">
        <v>74</v>
      </c>
      <c r="AS546" t="s">
        <v>4113</v>
      </c>
      <c r="AT546" t="s">
        <v>4127</v>
      </c>
      <c r="AV546" t="s">
        <v>4137</v>
      </c>
      <c r="AW546">
        <v>0</v>
      </c>
      <c r="AY546" t="s">
        <v>4140</v>
      </c>
      <c r="BB546" t="s">
        <v>4154</v>
      </c>
      <c r="BF546" t="s">
        <v>4281</v>
      </c>
      <c r="BM546" t="s">
        <v>4627</v>
      </c>
    </row>
    <row r="547" spans="1:67">
      <c r="A547" s="1">
        <f>HYPERLINK("https://lsnyc.legalserver.org/matter/dynamic-profile/view/1845335","17-1845335")</f>
        <v>0</v>
      </c>
      <c r="B547" t="s">
        <v>80</v>
      </c>
      <c r="C547" t="s">
        <v>93</v>
      </c>
      <c r="D547" t="s">
        <v>334</v>
      </c>
      <c r="F547" t="s">
        <v>753</v>
      </c>
      <c r="G547" t="s">
        <v>1295</v>
      </c>
      <c r="H547" t="s">
        <v>1740</v>
      </c>
      <c r="I547" t="s">
        <v>1978</v>
      </c>
      <c r="J547" t="s">
        <v>2205</v>
      </c>
      <c r="K547">
        <v>11213</v>
      </c>
      <c r="N547" t="s">
        <v>2233</v>
      </c>
      <c r="O547" t="s">
        <v>2574</v>
      </c>
      <c r="P547" t="s">
        <v>2930</v>
      </c>
      <c r="R547">
        <v>2</v>
      </c>
      <c r="S547">
        <v>0</v>
      </c>
      <c r="T547">
        <v>78.98999999999999</v>
      </c>
      <c r="U547" t="s">
        <v>3453</v>
      </c>
      <c r="W547">
        <v>12828</v>
      </c>
      <c r="Y547">
        <v>0</v>
      </c>
      <c r="AA547" t="s">
        <v>3897</v>
      </c>
      <c r="AC547" t="s">
        <v>3942</v>
      </c>
      <c r="AD547" t="s">
        <v>339</v>
      </c>
      <c r="AF547" t="s">
        <v>4058</v>
      </c>
      <c r="AH547" t="s">
        <v>4076</v>
      </c>
      <c r="AJ547" t="s">
        <v>3942</v>
      </c>
      <c r="AK547" t="s">
        <v>4084</v>
      </c>
      <c r="AM547" t="s">
        <v>2230</v>
      </c>
      <c r="AO547">
        <v>1108.91</v>
      </c>
      <c r="AQ547">
        <v>74</v>
      </c>
      <c r="AS547" t="s">
        <v>4113</v>
      </c>
      <c r="AT547" t="s">
        <v>4127</v>
      </c>
      <c r="AW547">
        <v>25</v>
      </c>
      <c r="AY547" t="s">
        <v>4140</v>
      </c>
      <c r="BB547" t="s">
        <v>4154</v>
      </c>
      <c r="BF547" t="s">
        <v>4281</v>
      </c>
      <c r="BM547" t="s">
        <v>4627</v>
      </c>
    </row>
    <row r="548" spans="1:67">
      <c r="A548" s="1">
        <f>HYPERLINK("https://lsnyc.legalserver.org/matter/dynamic-profile/view/0793591","15-0793591")</f>
        <v>0</v>
      </c>
      <c r="B548" t="s">
        <v>80</v>
      </c>
      <c r="C548" t="s">
        <v>93</v>
      </c>
      <c r="D548" t="s">
        <v>335</v>
      </c>
      <c r="F548" t="s">
        <v>750</v>
      </c>
      <c r="G548" t="s">
        <v>797</v>
      </c>
      <c r="H548" t="s">
        <v>1741</v>
      </c>
      <c r="I548" t="s">
        <v>2048</v>
      </c>
      <c r="J548" t="s">
        <v>2205</v>
      </c>
      <c r="K548">
        <v>11208</v>
      </c>
      <c r="N548" t="s">
        <v>2235</v>
      </c>
      <c r="O548" t="s">
        <v>2571</v>
      </c>
      <c r="Q548" t="s">
        <v>3224</v>
      </c>
      <c r="R548">
        <v>2</v>
      </c>
      <c r="S548">
        <v>0</v>
      </c>
      <c r="T548">
        <v>56.72</v>
      </c>
      <c r="W548">
        <v>9036</v>
      </c>
      <c r="Y548">
        <v>19.75</v>
      </c>
      <c r="Z548" t="s">
        <v>3861</v>
      </c>
      <c r="AA548" t="s">
        <v>88</v>
      </c>
      <c r="AB548" t="s">
        <v>3940</v>
      </c>
      <c r="AC548" t="s">
        <v>3944</v>
      </c>
      <c r="AD548" t="s">
        <v>4021</v>
      </c>
      <c r="AF548" t="s">
        <v>4068</v>
      </c>
      <c r="AH548" t="s">
        <v>4076</v>
      </c>
      <c r="AI548" t="s">
        <v>4082</v>
      </c>
      <c r="AL548" t="s">
        <v>4086</v>
      </c>
      <c r="AM548" t="s">
        <v>2230</v>
      </c>
      <c r="AO548">
        <v>1337</v>
      </c>
      <c r="AQ548">
        <v>294</v>
      </c>
      <c r="AS548" t="s">
        <v>4125</v>
      </c>
      <c r="AU548" t="s">
        <v>4129</v>
      </c>
      <c r="AW548">
        <v>40</v>
      </c>
      <c r="AY548" t="s">
        <v>4140</v>
      </c>
      <c r="BB548" t="s">
        <v>4154</v>
      </c>
      <c r="BG548" t="s">
        <v>4464</v>
      </c>
      <c r="BM548" t="s">
        <v>4627</v>
      </c>
    </row>
    <row r="549" spans="1:67">
      <c r="A549" s="1">
        <f>HYPERLINK("https://lsnyc.legalserver.org/matter/dynamic-profile/view/1892356","19-1892356")</f>
        <v>0</v>
      </c>
      <c r="B549" t="s">
        <v>80</v>
      </c>
      <c r="C549" t="s">
        <v>93</v>
      </c>
      <c r="D549" t="s">
        <v>168</v>
      </c>
      <c r="F549" t="s">
        <v>754</v>
      </c>
      <c r="G549" t="s">
        <v>1296</v>
      </c>
      <c r="H549" t="s">
        <v>1742</v>
      </c>
      <c r="I549" t="s">
        <v>1933</v>
      </c>
      <c r="J549" t="s">
        <v>2205</v>
      </c>
      <c r="K549">
        <v>11217</v>
      </c>
      <c r="N549" t="s">
        <v>2233</v>
      </c>
      <c r="O549" t="s">
        <v>2575</v>
      </c>
      <c r="Q549" t="s">
        <v>3225</v>
      </c>
      <c r="R549">
        <v>1</v>
      </c>
      <c r="S549">
        <v>0</v>
      </c>
      <c r="T549">
        <v>120.1</v>
      </c>
      <c r="W549">
        <v>15000</v>
      </c>
      <c r="Y549">
        <v>0</v>
      </c>
      <c r="AA549" t="s">
        <v>90</v>
      </c>
      <c r="AC549" t="s">
        <v>3942</v>
      </c>
      <c r="AD549" t="s">
        <v>4018</v>
      </c>
      <c r="AF549" t="s">
        <v>4053</v>
      </c>
      <c r="AH549" t="s">
        <v>3510</v>
      </c>
      <c r="AJ549" t="s">
        <v>3943</v>
      </c>
      <c r="AL549" t="s">
        <v>4095</v>
      </c>
      <c r="AM549" t="s">
        <v>2230</v>
      </c>
      <c r="AO549">
        <v>431</v>
      </c>
      <c r="AQ549">
        <v>7</v>
      </c>
      <c r="AS549" t="s">
        <v>4113</v>
      </c>
      <c r="AU549" t="s">
        <v>4129</v>
      </c>
      <c r="AV549" t="s">
        <v>4137</v>
      </c>
      <c r="AW549">
        <v>0</v>
      </c>
      <c r="AY549" t="s">
        <v>4140</v>
      </c>
      <c r="BA549" t="s">
        <v>4149</v>
      </c>
      <c r="BB549" t="s">
        <v>4154</v>
      </c>
      <c r="BE549" t="s">
        <v>4128</v>
      </c>
      <c r="BG549" t="s">
        <v>4465</v>
      </c>
      <c r="BM549" t="s">
        <v>4627</v>
      </c>
    </row>
    <row r="550" spans="1:67">
      <c r="A550" s="1">
        <f>HYPERLINK("https://lsnyc.legalserver.org/matter/dynamic-profile/view/1849906","17-1849906")</f>
        <v>0</v>
      </c>
      <c r="B550" t="s">
        <v>80</v>
      </c>
      <c r="C550" t="s">
        <v>93</v>
      </c>
      <c r="D550" t="s">
        <v>336</v>
      </c>
      <c r="F550" t="s">
        <v>754</v>
      </c>
      <c r="G550" t="s">
        <v>1296</v>
      </c>
      <c r="H550" t="s">
        <v>1743</v>
      </c>
      <c r="I550" t="s">
        <v>2049</v>
      </c>
      <c r="J550" t="s">
        <v>2205</v>
      </c>
      <c r="K550">
        <v>11217</v>
      </c>
      <c r="N550" t="s">
        <v>2233</v>
      </c>
      <c r="O550" t="s">
        <v>2575</v>
      </c>
      <c r="Q550" t="s">
        <v>3225</v>
      </c>
      <c r="R550">
        <v>1</v>
      </c>
      <c r="S550">
        <v>0</v>
      </c>
      <c r="T550">
        <v>95.94</v>
      </c>
      <c r="W550">
        <v>11570</v>
      </c>
      <c r="Y550">
        <v>12.75</v>
      </c>
      <c r="Z550" t="s">
        <v>3862</v>
      </c>
      <c r="AA550" t="s">
        <v>3915</v>
      </c>
      <c r="AC550" t="s">
        <v>3942</v>
      </c>
      <c r="AD550" t="s">
        <v>4022</v>
      </c>
      <c r="AF550" t="s">
        <v>4055</v>
      </c>
      <c r="AH550" t="s">
        <v>4080</v>
      </c>
      <c r="AJ550" t="s">
        <v>3942</v>
      </c>
      <c r="AL550" t="s">
        <v>4086</v>
      </c>
      <c r="AM550" t="s">
        <v>2230</v>
      </c>
      <c r="AN550" t="s">
        <v>4107</v>
      </c>
      <c r="AO550">
        <v>0</v>
      </c>
      <c r="AQ550">
        <v>2</v>
      </c>
      <c r="AS550" t="s">
        <v>4117</v>
      </c>
      <c r="AT550" t="s">
        <v>4127</v>
      </c>
      <c r="AW550">
        <v>14</v>
      </c>
      <c r="AY550" t="s">
        <v>4140</v>
      </c>
      <c r="BB550" t="s">
        <v>4154</v>
      </c>
      <c r="BF550" t="s">
        <v>4281</v>
      </c>
      <c r="BM550" t="s">
        <v>4627</v>
      </c>
    </row>
    <row r="551" spans="1:67">
      <c r="A551" s="1">
        <f>HYPERLINK("https://lsnyc.legalserver.org/matter/dynamic-profile/view/1876794","18-1876794")</f>
        <v>0</v>
      </c>
      <c r="B551" t="s">
        <v>80</v>
      </c>
      <c r="C551" t="s">
        <v>93</v>
      </c>
      <c r="D551" t="s">
        <v>227</v>
      </c>
      <c r="F551" t="s">
        <v>746</v>
      </c>
      <c r="G551" t="s">
        <v>1297</v>
      </c>
      <c r="H551" t="s">
        <v>1744</v>
      </c>
      <c r="I551" t="s">
        <v>1950</v>
      </c>
      <c r="J551" t="s">
        <v>2205</v>
      </c>
      <c r="K551">
        <v>11207</v>
      </c>
      <c r="N551" t="s">
        <v>2240</v>
      </c>
      <c r="O551" t="s">
        <v>2576</v>
      </c>
      <c r="Q551" t="s">
        <v>3226</v>
      </c>
      <c r="R551">
        <v>2</v>
      </c>
      <c r="S551">
        <v>0</v>
      </c>
      <c r="T551">
        <v>54.68</v>
      </c>
      <c r="W551">
        <v>9000</v>
      </c>
      <c r="X551" t="s">
        <v>3473</v>
      </c>
      <c r="Y551">
        <v>0</v>
      </c>
      <c r="AA551" t="s">
        <v>3905</v>
      </c>
      <c r="AC551" t="s">
        <v>3942</v>
      </c>
      <c r="AF551" t="s">
        <v>4069</v>
      </c>
      <c r="AH551" t="s">
        <v>3510</v>
      </c>
      <c r="AJ551" t="s">
        <v>3943</v>
      </c>
      <c r="AL551" t="s">
        <v>4099</v>
      </c>
      <c r="AM551" t="s">
        <v>2230</v>
      </c>
      <c r="AO551">
        <v>1301.25</v>
      </c>
      <c r="AQ551">
        <v>6</v>
      </c>
      <c r="AS551" t="s">
        <v>4113</v>
      </c>
      <c r="AU551" t="s">
        <v>4130</v>
      </c>
      <c r="AW551">
        <v>10</v>
      </c>
      <c r="AY551" t="s">
        <v>4140</v>
      </c>
      <c r="AZ551" t="s">
        <v>4148</v>
      </c>
      <c r="BC551" t="s">
        <v>4156</v>
      </c>
      <c r="BE551" t="s">
        <v>4218</v>
      </c>
      <c r="BG551" t="s">
        <v>4466</v>
      </c>
      <c r="BM551" t="s">
        <v>4627</v>
      </c>
    </row>
    <row r="552" spans="1:67">
      <c r="A552" s="1">
        <f>HYPERLINK("https://lsnyc.legalserver.org/matter/dynamic-profile/view/1845563","17-1845563")</f>
        <v>0</v>
      </c>
      <c r="B552" t="s">
        <v>80</v>
      </c>
      <c r="C552" t="s">
        <v>93</v>
      </c>
      <c r="D552" t="s">
        <v>106</v>
      </c>
      <c r="F552" t="s">
        <v>755</v>
      </c>
      <c r="G552" t="s">
        <v>1212</v>
      </c>
      <c r="H552" t="s">
        <v>1740</v>
      </c>
      <c r="J552" t="s">
        <v>2205</v>
      </c>
      <c r="K552">
        <v>11213</v>
      </c>
      <c r="N552" t="s">
        <v>2233</v>
      </c>
      <c r="O552" t="s">
        <v>2577</v>
      </c>
      <c r="Q552" t="s">
        <v>3227</v>
      </c>
      <c r="R552">
        <v>1</v>
      </c>
      <c r="S552">
        <v>0</v>
      </c>
      <c r="T552">
        <v>89.65000000000001</v>
      </c>
      <c r="U552" t="s">
        <v>3453</v>
      </c>
      <c r="W552">
        <v>10812</v>
      </c>
      <c r="Y552">
        <v>0</v>
      </c>
      <c r="AA552" t="s">
        <v>3897</v>
      </c>
      <c r="AC552" t="s">
        <v>3942</v>
      </c>
      <c r="AD552" t="s">
        <v>339</v>
      </c>
      <c r="AF552" t="s">
        <v>4058</v>
      </c>
      <c r="AH552" t="s">
        <v>4076</v>
      </c>
      <c r="AJ552" t="s">
        <v>3942</v>
      </c>
      <c r="AL552" t="s">
        <v>4087</v>
      </c>
      <c r="AM552" t="s">
        <v>2230</v>
      </c>
      <c r="AN552" t="s">
        <v>4107</v>
      </c>
      <c r="AO552">
        <v>0</v>
      </c>
      <c r="AQ552">
        <v>74</v>
      </c>
      <c r="AS552" t="s">
        <v>4113</v>
      </c>
      <c r="AT552" t="s">
        <v>4127</v>
      </c>
      <c r="AV552" t="s">
        <v>4137</v>
      </c>
      <c r="AW552">
        <v>0</v>
      </c>
      <c r="AY552" t="s">
        <v>4140</v>
      </c>
      <c r="BB552" t="s">
        <v>4154</v>
      </c>
      <c r="BF552" t="s">
        <v>4281</v>
      </c>
      <c r="BM552" t="s">
        <v>4627</v>
      </c>
    </row>
    <row r="553" spans="1:67">
      <c r="A553" s="1">
        <f>HYPERLINK("https://lsnyc.legalserver.org/matter/dynamic-profile/view/1876790","18-1876790")</f>
        <v>0</v>
      </c>
      <c r="B553" t="s">
        <v>80</v>
      </c>
      <c r="C553" t="s">
        <v>93</v>
      </c>
      <c r="D553" t="s">
        <v>227</v>
      </c>
      <c r="F553" t="s">
        <v>746</v>
      </c>
      <c r="G553" t="s">
        <v>1297</v>
      </c>
      <c r="H553" t="s">
        <v>1744</v>
      </c>
      <c r="I553" t="s">
        <v>1950</v>
      </c>
      <c r="J553" t="s">
        <v>2205</v>
      </c>
      <c r="K553">
        <v>11207</v>
      </c>
      <c r="N553" t="s">
        <v>2233</v>
      </c>
      <c r="O553" t="s">
        <v>2576</v>
      </c>
      <c r="Q553" t="s">
        <v>3226</v>
      </c>
      <c r="R553">
        <v>2</v>
      </c>
      <c r="S553">
        <v>0</v>
      </c>
      <c r="T553">
        <v>54.68</v>
      </c>
      <c r="W553">
        <v>9000</v>
      </c>
      <c r="X553" t="s">
        <v>3473</v>
      </c>
      <c r="Y553">
        <v>1.3</v>
      </c>
      <c r="Z553" t="s">
        <v>3863</v>
      </c>
      <c r="AA553" t="s">
        <v>3905</v>
      </c>
      <c r="AC553" t="s">
        <v>3942</v>
      </c>
      <c r="AD553" t="s">
        <v>227</v>
      </c>
      <c r="AF553" t="s">
        <v>4053</v>
      </c>
      <c r="AH553" t="s">
        <v>4076</v>
      </c>
      <c r="AJ553" t="s">
        <v>3943</v>
      </c>
      <c r="AL553" t="s">
        <v>4099</v>
      </c>
      <c r="AM553" t="s">
        <v>2230</v>
      </c>
      <c r="AO553">
        <v>1301</v>
      </c>
      <c r="AQ553">
        <v>6</v>
      </c>
      <c r="AS553" t="s">
        <v>4113</v>
      </c>
      <c r="AU553" t="s">
        <v>4130</v>
      </c>
      <c r="AW553">
        <v>10</v>
      </c>
      <c r="AY553" t="s">
        <v>4140</v>
      </c>
      <c r="BA553" t="s">
        <v>4150</v>
      </c>
      <c r="BB553" t="s">
        <v>4154</v>
      </c>
      <c r="BE553" t="s">
        <v>4218</v>
      </c>
      <c r="BG553" t="s">
        <v>4466</v>
      </c>
      <c r="BI553" t="s">
        <v>4621</v>
      </c>
      <c r="BM553" t="s">
        <v>4627</v>
      </c>
      <c r="BN553" t="s">
        <v>4629</v>
      </c>
      <c r="BO553" t="s">
        <v>4636</v>
      </c>
    </row>
    <row r="554" spans="1:67">
      <c r="A554" s="1">
        <f>HYPERLINK("https://lsnyc.legalserver.org/matter/dynamic-profile/view/1845348","17-1845348")</f>
        <v>0</v>
      </c>
      <c r="B554" t="s">
        <v>80</v>
      </c>
      <c r="C554" t="s">
        <v>93</v>
      </c>
      <c r="D554" t="s">
        <v>334</v>
      </c>
      <c r="F554" t="s">
        <v>756</v>
      </c>
      <c r="G554" t="s">
        <v>1298</v>
      </c>
      <c r="H554" t="s">
        <v>1745</v>
      </c>
      <c r="I554" t="s">
        <v>2050</v>
      </c>
      <c r="J554" t="s">
        <v>2205</v>
      </c>
      <c r="K554">
        <v>11207</v>
      </c>
      <c r="N554" t="s">
        <v>2233</v>
      </c>
      <c r="O554" t="s">
        <v>2578</v>
      </c>
      <c r="Q554" t="s">
        <v>3228</v>
      </c>
      <c r="R554">
        <v>2</v>
      </c>
      <c r="S554">
        <v>2</v>
      </c>
      <c r="T554">
        <v>13.53</v>
      </c>
      <c r="W554">
        <v>3328</v>
      </c>
      <c r="Y554">
        <v>43.4</v>
      </c>
      <c r="Z554" t="s">
        <v>3864</v>
      </c>
      <c r="AA554" t="s">
        <v>3897</v>
      </c>
      <c r="AC554" t="s">
        <v>3942</v>
      </c>
      <c r="AD554" t="s">
        <v>4023</v>
      </c>
      <c r="AF554" t="s">
        <v>4053</v>
      </c>
      <c r="AH554" t="s">
        <v>4076</v>
      </c>
      <c r="AI554" t="s">
        <v>4082</v>
      </c>
      <c r="AL554" t="s">
        <v>4086</v>
      </c>
      <c r="AM554" t="s">
        <v>2230</v>
      </c>
      <c r="AO554">
        <v>1100</v>
      </c>
      <c r="AQ554">
        <v>6</v>
      </c>
      <c r="AS554" t="s">
        <v>4113</v>
      </c>
      <c r="AT554" t="s">
        <v>4127</v>
      </c>
      <c r="AW554">
        <v>4</v>
      </c>
      <c r="AY554" t="s">
        <v>4140</v>
      </c>
      <c r="BB554" t="s">
        <v>4154</v>
      </c>
      <c r="BD554" t="s">
        <v>4157</v>
      </c>
      <c r="BE554" t="s">
        <v>4219</v>
      </c>
      <c r="BG554" t="s">
        <v>4467</v>
      </c>
      <c r="BM554" t="s">
        <v>4627</v>
      </c>
    </row>
    <row r="555" spans="1:67">
      <c r="A555" s="1">
        <f>HYPERLINK("https://lsnyc.legalserver.org/matter/dynamic-profile/view/1845301","17-1845301")</f>
        <v>0</v>
      </c>
      <c r="B555" t="s">
        <v>80</v>
      </c>
      <c r="C555" t="s">
        <v>93</v>
      </c>
      <c r="D555" t="s">
        <v>231</v>
      </c>
      <c r="F555" t="s">
        <v>757</v>
      </c>
      <c r="G555" t="s">
        <v>1165</v>
      </c>
      <c r="H555" t="s">
        <v>1740</v>
      </c>
      <c r="I555" t="s">
        <v>2051</v>
      </c>
      <c r="J555" t="s">
        <v>2205</v>
      </c>
      <c r="K555">
        <v>11213</v>
      </c>
      <c r="N555" t="s">
        <v>2233</v>
      </c>
      <c r="O555" t="s">
        <v>2579</v>
      </c>
      <c r="P555" t="s">
        <v>2930</v>
      </c>
      <c r="R555">
        <v>2</v>
      </c>
      <c r="S555">
        <v>2</v>
      </c>
      <c r="T555">
        <v>173.38</v>
      </c>
      <c r="U555" t="s">
        <v>3453</v>
      </c>
      <c r="W555">
        <v>58252</v>
      </c>
      <c r="Y555">
        <v>0</v>
      </c>
      <c r="AA555" t="s">
        <v>3897</v>
      </c>
      <c r="AC555" t="s">
        <v>3942</v>
      </c>
      <c r="AD555" t="s">
        <v>339</v>
      </c>
      <c r="AF555" t="s">
        <v>4058</v>
      </c>
      <c r="AH555" t="s">
        <v>4076</v>
      </c>
      <c r="AJ555" t="s">
        <v>3942</v>
      </c>
      <c r="AL555" t="s">
        <v>4087</v>
      </c>
      <c r="AM555" t="s">
        <v>2230</v>
      </c>
      <c r="AN555" t="s">
        <v>4107</v>
      </c>
      <c r="AO555">
        <v>0</v>
      </c>
      <c r="AQ555">
        <v>74</v>
      </c>
      <c r="AS555" t="s">
        <v>4113</v>
      </c>
      <c r="AT555" t="s">
        <v>4127</v>
      </c>
      <c r="AV555" t="s">
        <v>4137</v>
      </c>
      <c r="AW555">
        <v>0</v>
      </c>
      <c r="AY555" t="s">
        <v>4140</v>
      </c>
      <c r="BB555" t="s">
        <v>4154</v>
      </c>
      <c r="BF555" t="s">
        <v>4281</v>
      </c>
      <c r="BM555" t="s">
        <v>4627</v>
      </c>
    </row>
    <row r="556" spans="1:67">
      <c r="A556" s="1">
        <f>HYPERLINK("https://lsnyc.legalserver.org/matter/dynamic-profile/view/1845320","17-1845320")</f>
        <v>0</v>
      </c>
      <c r="B556" t="s">
        <v>80</v>
      </c>
      <c r="C556" t="s">
        <v>93</v>
      </c>
      <c r="D556" t="s">
        <v>334</v>
      </c>
      <c r="F556" t="s">
        <v>758</v>
      </c>
      <c r="G556" t="s">
        <v>1204</v>
      </c>
      <c r="H556" t="s">
        <v>1740</v>
      </c>
      <c r="I556" t="s">
        <v>2008</v>
      </c>
      <c r="J556" t="s">
        <v>2205</v>
      </c>
      <c r="K556">
        <v>11213</v>
      </c>
      <c r="N556" t="s">
        <v>2233</v>
      </c>
      <c r="O556" t="s">
        <v>2580</v>
      </c>
      <c r="P556" t="s">
        <v>2930</v>
      </c>
      <c r="R556">
        <v>1</v>
      </c>
      <c r="S556">
        <v>0</v>
      </c>
      <c r="T556">
        <v>158.21</v>
      </c>
      <c r="U556" t="s">
        <v>3453</v>
      </c>
      <c r="W556">
        <v>19080</v>
      </c>
      <c r="Y556">
        <v>0</v>
      </c>
      <c r="AA556" t="s">
        <v>3897</v>
      </c>
      <c r="AC556" t="s">
        <v>3942</v>
      </c>
      <c r="AD556" t="s">
        <v>339</v>
      </c>
      <c r="AF556" t="s">
        <v>4058</v>
      </c>
      <c r="AH556" t="s">
        <v>4076</v>
      </c>
      <c r="AJ556" t="s">
        <v>3942</v>
      </c>
      <c r="AK556" t="s">
        <v>4084</v>
      </c>
      <c r="AM556" t="s">
        <v>2230</v>
      </c>
      <c r="AN556" t="s">
        <v>4107</v>
      </c>
      <c r="AO556">
        <v>0</v>
      </c>
      <c r="AQ556">
        <v>74</v>
      </c>
      <c r="AS556" t="s">
        <v>4113</v>
      </c>
      <c r="AT556" t="s">
        <v>4127</v>
      </c>
      <c r="AV556" t="s">
        <v>4137</v>
      </c>
      <c r="AW556">
        <v>0</v>
      </c>
      <c r="AY556" t="s">
        <v>4140</v>
      </c>
      <c r="BB556" t="s">
        <v>4154</v>
      </c>
      <c r="BF556" t="s">
        <v>4281</v>
      </c>
      <c r="BM556" t="s">
        <v>4627</v>
      </c>
    </row>
    <row r="557" spans="1:67">
      <c r="A557" s="1">
        <f>HYPERLINK("https://lsnyc.legalserver.org/matter/dynamic-profile/view/1860954","18-1860954")</f>
        <v>0</v>
      </c>
      <c r="B557" t="s">
        <v>80</v>
      </c>
      <c r="C557" t="s">
        <v>93</v>
      </c>
      <c r="D557" t="s">
        <v>337</v>
      </c>
      <c r="F557" t="s">
        <v>759</v>
      </c>
      <c r="G557" t="s">
        <v>1299</v>
      </c>
      <c r="H557" t="s">
        <v>1746</v>
      </c>
      <c r="I557" t="s">
        <v>1931</v>
      </c>
      <c r="J557" t="s">
        <v>2205</v>
      </c>
      <c r="K557">
        <v>11220</v>
      </c>
      <c r="N557" t="s">
        <v>2233</v>
      </c>
      <c r="O557" t="s">
        <v>2581</v>
      </c>
      <c r="Q557" t="s">
        <v>3229</v>
      </c>
      <c r="R557">
        <v>2</v>
      </c>
      <c r="S557">
        <v>1</v>
      </c>
      <c r="T557">
        <v>45.39</v>
      </c>
      <c r="W557">
        <v>9432</v>
      </c>
      <c r="Y557">
        <v>10.3</v>
      </c>
      <c r="Z557" t="s">
        <v>3865</v>
      </c>
      <c r="AA557" t="s">
        <v>3925</v>
      </c>
      <c r="AC557" t="s">
        <v>3942</v>
      </c>
      <c r="AD557" t="s">
        <v>4024</v>
      </c>
      <c r="AF557" t="s">
        <v>4053</v>
      </c>
      <c r="AH557" t="s">
        <v>4076</v>
      </c>
      <c r="AJ557" t="s">
        <v>3943</v>
      </c>
      <c r="AL557" t="s">
        <v>4097</v>
      </c>
      <c r="AM557" t="s">
        <v>2230</v>
      </c>
      <c r="AO557">
        <v>1224</v>
      </c>
      <c r="AQ557">
        <v>30</v>
      </c>
      <c r="AS557" t="s">
        <v>4113</v>
      </c>
      <c r="AU557" t="s">
        <v>4128</v>
      </c>
      <c r="AW557">
        <v>7</v>
      </c>
      <c r="AY557" t="s">
        <v>4140</v>
      </c>
      <c r="BB557" t="s">
        <v>4154</v>
      </c>
      <c r="BG557" t="s">
        <v>4468</v>
      </c>
      <c r="BM557" t="s">
        <v>4627</v>
      </c>
    </row>
    <row r="558" spans="1:67">
      <c r="A558" s="1">
        <f>HYPERLINK("https://lsnyc.legalserver.org/matter/dynamic-profile/view/1832972","17-1832972")</f>
        <v>0</v>
      </c>
      <c r="B558" t="s">
        <v>80</v>
      </c>
      <c r="C558" t="s">
        <v>93</v>
      </c>
      <c r="D558" t="s">
        <v>338</v>
      </c>
      <c r="F558" t="s">
        <v>651</v>
      </c>
      <c r="G558" t="s">
        <v>1300</v>
      </c>
      <c r="H558" t="s">
        <v>1740</v>
      </c>
      <c r="J558" t="s">
        <v>2205</v>
      </c>
      <c r="K558">
        <v>11213</v>
      </c>
      <c r="N558" t="s">
        <v>2233</v>
      </c>
      <c r="O558" t="s">
        <v>2582</v>
      </c>
      <c r="P558" t="s">
        <v>2930</v>
      </c>
      <c r="R558">
        <v>1</v>
      </c>
      <c r="S558">
        <v>0</v>
      </c>
      <c r="T558">
        <v>261.89</v>
      </c>
      <c r="U558" t="s">
        <v>3453</v>
      </c>
      <c r="W558">
        <v>31584</v>
      </c>
      <c r="Y558">
        <v>0</v>
      </c>
      <c r="AA558" t="s">
        <v>3897</v>
      </c>
      <c r="AC558" t="s">
        <v>3942</v>
      </c>
      <c r="AF558" t="s">
        <v>4061</v>
      </c>
      <c r="AH558" t="s">
        <v>3510</v>
      </c>
      <c r="AJ558" t="s">
        <v>3942</v>
      </c>
      <c r="AL558" t="s">
        <v>4089</v>
      </c>
      <c r="AM558" t="s">
        <v>2230</v>
      </c>
      <c r="AN558" t="s">
        <v>4107</v>
      </c>
      <c r="AO558">
        <v>0</v>
      </c>
      <c r="AQ558">
        <v>74</v>
      </c>
      <c r="AS558" t="s">
        <v>4113</v>
      </c>
      <c r="AT558" t="s">
        <v>4127</v>
      </c>
      <c r="AV558" t="s">
        <v>4137</v>
      </c>
      <c r="AW558">
        <v>0</v>
      </c>
      <c r="AY558" t="s">
        <v>4140</v>
      </c>
      <c r="AZ558" t="s">
        <v>4148</v>
      </c>
      <c r="BB558" t="s">
        <v>4154</v>
      </c>
      <c r="BF558" t="s">
        <v>4281</v>
      </c>
      <c r="BM558" t="s">
        <v>4627</v>
      </c>
    </row>
    <row r="559" spans="1:67">
      <c r="A559" s="1">
        <f>HYPERLINK("https://lsnyc.legalserver.org/matter/dynamic-profile/view/1845479","17-1845479")</f>
        <v>0</v>
      </c>
      <c r="B559" t="s">
        <v>80</v>
      </c>
      <c r="C559" t="s">
        <v>93</v>
      </c>
      <c r="D559" t="s">
        <v>339</v>
      </c>
      <c r="F559" t="s">
        <v>760</v>
      </c>
      <c r="G559" t="s">
        <v>1301</v>
      </c>
      <c r="H559" t="s">
        <v>1738</v>
      </c>
      <c r="I559" t="s">
        <v>2052</v>
      </c>
      <c r="J559" t="s">
        <v>2205</v>
      </c>
      <c r="K559">
        <v>11213</v>
      </c>
      <c r="N559" t="s">
        <v>2239</v>
      </c>
      <c r="O559" t="s">
        <v>2583</v>
      </c>
      <c r="P559" t="s">
        <v>2930</v>
      </c>
      <c r="R559">
        <v>1</v>
      </c>
      <c r="S559">
        <v>0</v>
      </c>
      <c r="T559">
        <v>69.65000000000001</v>
      </c>
      <c r="U559" t="s">
        <v>3453</v>
      </c>
      <c r="W559">
        <v>8400</v>
      </c>
      <c r="Y559">
        <v>0</v>
      </c>
      <c r="AA559" t="s">
        <v>88</v>
      </c>
      <c r="AC559" t="s">
        <v>3942</v>
      </c>
      <c r="AD559" t="s">
        <v>339</v>
      </c>
      <c r="AF559" t="s">
        <v>4058</v>
      </c>
      <c r="AH559" t="s">
        <v>4076</v>
      </c>
      <c r="AJ559" t="s">
        <v>3942</v>
      </c>
      <c r="AL559" t="s">
        <v>4087</v>
      </c>
      <c r="AM559" t="s">
        <v>2230</v>
      </c>
      <c r="AO559">
        <v>1077.05</v>
      </c>
      <c r="AQ559">
        <v>74</v>
      </c>
      <c r="AS559" t="s">
        <v>4113</v>
      </c>
      <c r="AT559" t="s">
        <v>4127</v>
      </c>
      <c r="AW559">
        <v>19</v>
      </c>
      <c r="AY559" t="s">
        <v>4140</v>
      </c>
      <c r="BB559" t="s">
        <v>4154</v>
      </c>
      <c r="BF559" t="s">
        <v>4281</v>
      </c>
      <c r="BM559" t="s">
        <v>4627</v>
      </c>
    </row>
    <row r="560" spans="1:67">
      <c r="A560" s="1">
        <f>HYPERLINK("https://lsnyc.legalserver.org/matter/dynamic-profile/view/1845634","17-1845634")</f>
        <v>0</v>
      </c>
      <c r="B560" t="s">
        <v>80</v>
      </c>
      <c r="C560" t="s">
        <v>93</v>
      </c>
      <c r="D560" t="s">
        <v>106</v>
      </c>
      <c r="F560" t="s">
        <v>651</v>
      </c>
      <c r="G560" t="s">
        <v>1300</v>
      </c>
      <c r="H560" t="s">
        <v>1740</v>
      </c>
      <c r="J560" t="s">
        <v>2205</v>
      </c>
      <c r="K560">
        <v>11213</v>
      </c>
      <c r="N560" t="s">
        <v>2233</v>
      </c>
      <c r="O560" t="s">
        <v>2582</v>
      </c>
      <c r="P560" t="s">
        <v>2930</v>
      </c>
      <c r="R560">
        <v>1</v>
      </c>
      <c r="S560">
        <v>0</v>
      </c>
      <c r="T560">
        <v>261.89</v>
      </c>
      <c r="U560" t="s">
        <v>3453</v>
      </c>
      <c r="W560">
        <v>41352</v>
      </c>
      <c r="Y560">
        <v>0</v>
      </c>
      <c r="AA560" t="s">
        <v>3897</v>
      </c>
      <c r="AC560" t="s">
        <v>3942</v>
      </c>
      <c r="AD560" t="s">
        <v>339</v>
      </c>
      <c r="AF560" t="s">
        <v>4058</v>
      </c>
      <c r="AH560" t="s">
        <v>4076</v>
      </c>
      <c r="AJ560" t="s">
        <v>3942</v>
      </c>
      <c r="AL560" t="s">
        <v>4087</v>
      </c>
      <c r="AM560" t="s">
        <v>2230</v>
      </c>
      <c r="AN560" t="s">
        <v>4107</v>
      </c>
      <c r="AO560">
        <v>0</v>
      </c>
      <c r="AQ560">
        <v>74</v>
      </c>
      <c r="AS560" t="s">
        <v>4113</v>
      </c>
      <c r="AT560" t="s">
        <v>4127</v>
      </c>
      <c r="AV560" t="s">
        <v>4137</v>
      </c>
      <c r="AW560">
        <v>0</v>
      </c>
      <c r="AY560" t="s">
        <v>4140</v>
      </c>
      <c r="BB560" t="s">
        <v>4154</v>
      </c>
      <c r="BF560" t="s">
        <v>4281</v>
      </c>
      <c r="BM560" t="s">
        <v>4627</v>
      </c>
    </row>
    <row r="561" spans="1:65">
      <c r="A561" s="1">
        <f>HYPERLINK("https://lsnyc.legalserver.org/matter/dynamic-profile/view/1845615","17-1845615")</f>
        <v>0</v>
      </c>
      <c r="B561" t="s">
        <v>80</v>
      </c>
      <c r="C561" t="s">
        <v>93</v>
      </c>
      <c r="D561" t="s">
        <v>106</v>
      </c>
      <c r="F561" t="s">
        <v>761</v>
      </c>
      <c r="G561" t="s">
        <v>1302</v>
      </c>
      <c r="H561" t="s">
        <v>1740</v>
      </c>
      <c r="J561" t="s">
        <v>2205</v>
      </c>
      <c r="K561">
        <v>11213</v>
      </c>
      <c r="N561" t="s">
        <v>2233</v>
      </c>
      <c r="O561" t="s">
        <v>2584</v>
      </c>
      <c r="P561" t="s">
        <v>2930</v>
      </c>
      <c r="R561">
        <v>2</v>
      </c>
      <c r="S561">
        <v>0</v>
      </c>
      <c r="T561">
        <v>646.55</v>
      </c>
      <c r="U561" t="s">
        <v>3453</v>
      </c>
      <c r="W561">
        <v>145000</v>
      </c>
      <c r="Y561">
        <v>0</v>
      </c>
      <c r="AA561" t="s">
        <v>3897</v>
      </c>
      <c r="AC561" t="s">
        <v>3942</v>
      </c>
      <c r="AD561" t="s">
        <v>339</v>
      </c>
      <c r="AF561" t="s">
        <v>4061</v>
      </c>
      <c r="AH561" t="s">
        <v>3510</v>
      </c>
      <c r="AJ561" t="s">
        <v>3942</v>
      </c>
      <c r="AK561" t="s">
        <v>4084</v>
      </c>
      <c r="AM561" t="s">
        <v>2230</v>
      </c>
      <c r="AN561" t="s">
        <v>4107</v>
      </c>
      <c r="AO561">
        <v>0</v>
      </c>
      <c r="AQ561">
        <v>74</v>
      </c>
      <c r="AS561" t="s">
        <v>4113</v>
      </c>
      <c r="AT561" t="s">
        <v>4127</v>
      </c>
      <c r="AV561" t="s">
        <v>4137</v>
      </c>
      <c r="AW561">
        <v>0</v>
      </c>
      <c r="AY561" t="s">
        <v>4140</v>
      </c>
      <c r="BB561" t="s">
        <v>4154</v>
      </c>
      <c r="BF561" t="s">
        <v>4281</v>
      </c>
      <c r="BM561" t="s">
        <v>4627</v>
      </c>
    </row>
    <row r="562" spans="1:65">
      <c r="A562" s="1">
        <f>HYPERLINK("https://lsnyc.legalserver.org/matter/dynamic-profile/view/1915466","19-1915466")</f>
        <v>0</v>
      </c>
      <c r="B562" t="s">
        <v>81</v>
      </c>
      <c r="C562" t="s">
        <v>93</v>
      </c>
      <c r="D562" t="s">
        <v>340</v>
      </c>
      <c r="F562" t="s">
        <v>762</v>
      </c>
      <c r="G562" t="s">
        <v>1303</v>
      </c>
      <c r="H562" t="s">
        <v>1747</v>
      </c>
      <c r="I562" t="s">
        <v>1925</v>
      </c>
      <c r="J562" t="s">
        <v>2205</v>
      </c>
      <c r="K562">
        <v>11208</v>
      </c>
      <c r="N562" t="s">
        <v>2233</v>
      </c>
      <c r="O562" t="s">
        <v>2585</v>
      </c>
      <c r="Q562" t="s">
        <v>3230</v>
      </c>
      <c r="R562">
        <v>2</v>
      </c>
      <c r="S562">
        <v>3</v>
      </c>
      <c r="T562">
        <v>169.71</v>
      </c>
      <c r="W562">
        <v>51200</v>
      </c>
      <c r="Y562">
        <v>0</v>
      </c>
      <c r="AA562" t="s">
        <v>90</v>
      </c>
      <c r="AC562" t="s">
        <v>3942</v>
      </c>
      <c r="AF562" t="s">
        <v>4050</v>
      </c>
      <c r="AG562" t="s">
        <v>4075</v>
      </c>
      <c r="AJ562" t="s">
        <v>3943</v>
      </c>
      <c r="AL562" t="s">
        <v>4101</v>
      </c>
      <c r="AM562" t="s">
        <v>2230</v>
      </c>
      <c r="AO562">
        <v>1250</v>
      </c>
      <c r="AQ562">
        <v>1</v>
      </c>
      <c r="AS562" t="s">
        <v>4114</v>
      </c>
      <c r="AU562" t="s">
        <v>4128</v>
      </c>
      <c r="AW562">
        <v>4</v>
      </c>
      <c r="AY562" t="s">
        <v>4141</v>
      </c>
      <c r="BA562" t="s">
        <v>4149</v>
      </c>
      <c r="BC562" t="s">
        <v>4155</v>
      </c>
      <c r="BE562" t="s">
        <v>4159</v>
      </c>
      <c r="BG562" t="s">
        <v>4469</v>
      </c>
      <c r="BM562" t="s">
        <v>4627</v>
      </c>
    </row>
    <row r="563" spans="1:65">
      <c r="A563" s="1">
        <f>HYPERLINK("https://lsnyc.legalserver.org/matter/dynamic-profile/view/1835328","17-1835328")</f>
        <v>0</v>
      </c>
      <c r="B563" t="s">
        <v>81</v>
      </c>
      <c r="C563" t="s">
        <v>93</v>
      </c>
      <c r="D563" t="s">
        <v>341</v>
      </c>
      <c r="F563" t="s">
        <v>485</v>
      </c>
      <c r="G563" t="s">
        <v>1199</v>
      </c>
      <c r="H563" t="s">
        <v>1748</v>
      </c>
      <c r="I563" t="s">
        <v>2053</v>
      </c>
      <c r="J563" t="s">
        <v>2205</v>
      </c>
      <c r="K563">
        <v>11219</v>
      </c>
      <c r="N563" t="s">
        <v>2233</v>
      </c>
      <c r="O563" t="s">
        <v>2586</v>
      </c>
      <c r="Q563" t="s">
        <v>3231</v>
      </c>
      <c r="R563">
        <v>3</v>
      </c>
      <c r="S563">
        <v>0</v>
      </c>
      <c r="T563">
        <v>90.09</v>
      </c>
      <c r="W563">
        <v>18396</v>
      </c>
      <c r="Y563">
        <v>121.95</v>
      </c>
      <c r="Z563" t="s">
        <v>3858</v>
      </c>
      <c r="AA563" t="s">
        <v>3897</v>
      </c>
      <c r="AC563" t="s">
        <v>3942</v>
      </c>
      <c r="AD563" t="s">
        <v>305</v>
      </c>
      <c r="AF563" t="s">
        <v>4050</v>
      </c>
      <c r="AH563" t="s">
        <v>4076</v>
      </c>
      <c r="AJ563" t="s">
        <v>3942</v>
      </c>
      <c r="AK563" t="s">
        <v>4084</v>
      </c>
      <c r="AM563" t="s">
        <v>2230</v>
      </c>
      <c r="AO563">
        <v>900</v>
      </c>
      <c r="AQ563">
        <v>6</v>
      </c>
      <c r="AS563" t="s">
        <v>4113</v>
      </c>
      <c r="AU563" t="s">
        <v>4128</v>
      </c>
      <c r="AW563">
        <v>10</v>
      </c>
      <c r="AY563" t="s">
        <v>4141</v>
      </c>
      <c r="BB563" t="s">
        <v>4154</v>
      </c>
      <c r="BG563" t="s">
        <v>4470</v>
      </c>
      <c r="BM563" t="s">
        <v>4627</v>
      </c>
    </row>
    <row r="564" spans="1:65">
      <c r="A564" s="1">
        <f>HYPERLINK("https://lsnyc.legalserver.org/matter/dynamic-profile/view/1874691","18-1874691")</f>
        <v>0</v>
      </c>
      <c r="B564" t="s">
        <v>81</v>
      </c>
      <c r="C564" t="s">
        <v>93</v>
      </c>
      <c r="D564" t="s">
        <v>342</v>
      </c>
      <c r="F564" t="s">
        <v>750</v>
      </c>
      <c r="G564" t="s">
        <v>1304</v>
      </c>
      <c r="H564" t="s">
        <v>1749</v>
      </c>
      <c r="I564" t="s">
        <v>1934</v>
      </c>
      <c r="J564" t="s">
        <v>2205</v>
      </c>
      <c r="K564">
        <v>11233</v>
      </c>
      <c r="N564" t="s">
        <v>2233</v>
      </c>
      <c r="O564" t="s">
        <v>2565</v>
      </c>
      <c r="Q564" t="s">
        <v>3232</v>
      </c>
      <c r="R564">
        <v>2</v>
      </c>
      <c r="S564">
        <v>1</v>
      </c>
      <c r="T564">
        <v>40.42</v>
      </c>
      <c r="W564">
        <v>8400</v>
      </c>
      <c r="Y564">
        <v>18.22</v>
      </c>
      <c r="Z564" t="s">
        <v>173</v>
      </c>
      <c r="AA564" t="s">
        <v>3907</v>
      </c>
      <c r="AC564" t="s">
        <v>3942</v>
      </c>
      <c r="AD564" t="s">
        <v>168</v>
      </c>
      <c r="AF564" t="s">
        <v>4053</v>
      </c>
      <c r="AH564" t="s">
        <v>4076</v>
      </c>
      <c r="AJ564" t="s">
        <v>3943</v>
      </c>
      <c r="AL564" t="s">
        <v>4086</v>
      </c>
      <c r="AM564" t="s">
        <v>2230</v>
      </c>
      <c r="AO564">
        <v>933.24</v>
      </c>
      <c r="AQ564">
        <v>8</v>
      </c>
      <c r="AS564" t="s">
        <v>4120</v>
      </c>
      <c r="AU564" t="s">
        <v>4129</v>
      </c>
      <c r="AW564">
        <v>20</v>
      </c>
      <c r="AY564" t="s">
        <v>4140</v>
      </c>
      <c r="BA564" t="s">
        <v>4149</v>
      </c>
      <c r="BB564" t="s">
        <v>4154</v>
      </c>
      <c r="BD564" t="s">
        <v>4157</v>
      </c>
      <c r="BE564" t="s">
        <v>4220</v>
      </c>
      <c r="BG564" t="s">
        <v>4471</v>
      </c>
      <c r="BM564" t="s">
        <v>4627</v>
      </c>
    </row>
    <row r="565" spans="1:65">
      <c r="A565" s="1">
        <f>HYPERLINK("https://lsnyc.legalserver.org/matter/dynamic-profile/view/1914730","19-1914730")</f>
        <v>0</v>
      </c>
      <c r="B565" t="s">
        <v>81</v>
      </c>
      <c r="C565" t="s">
        <v>93</v>
      </c>
      <c r="D565" t="s">
        <v>173</v>
      </c>
      <c r="F565" t="s">
        <v>585</v>
      </c>
      <c r="G565" t="s">
        <v>1305</v>
      </c>
      <c r="H565" t="s">
        <v>1750</v>
      </c>
      <c r="I565" t="s">
        <v>1973</v>
      </c>
      <c r="J565" t="s">
        <v>2205</v>
      </c>
      <c r="K565">
        <v>11236</v>
      </c>
      <c r="N565" t="s">
        <v>2233</v>
      </c>
      <c r="O565" t="s">
        <v>2587</v>
      </c>
      <c r="Q565" t="s">
        <v>3233</v>
      </c>
      <c r="R565">
        <v>2</v>
      </c>
      <c r="S565">
        <v>0</v>
      </c>
      <c r="T565">
        <v>28.39</v>
      </c>
      <c r="W565">
        <v>4800</v>
      </c>
      <c r="Y565">
        <v>2.2</v>
      </c>
      <c r="Z565" t="s">
        <v>360</v>
      </c>
      <c r="AA565" t="s">
        <v>70</v>
      </c>
      <c r="AC565" t="s">
        <v>3942</v>
      </c>
      <c r="AD565" t="s">
        <v>173</v>
      </c>
      <c r="AF565" t="s">
        <v>4053</v>
      </c>
      <c r="AH565" t="s">
        <v>4079</v>
      </c>
      <c r="AJ565" t="s">
        <v>3943</v>
      </c>
      <c r="AL565" t="s">
        <v>4070</v>
      </c>
      <c r="AM565" t="s">
        <v>2230</v>
      </c>
      <c r="AO565">
        <v>1400</v>
      </c>
      <c r="AP565" t="s">
        <v>4108</v>
      </c>
      <c r="AQ565" t="s">
        <v>4110</v>
      </c>
      <c r="AS565" t="s">
        <v>4124</v>
      </c>
      <c r="AU565" t="s">
        <v>4128</v>
      </c>
      <c r="AW565">
        <v>22</v>
      </c>
      <c r="AY565" t="s">
        <v>4140</v>
      </c>
      <c r="BC565" t="s">
        <v>4155</v>
      </c>
      <c r="BG565" t="s">
        <v>4472</v>
      </c>
      <c r="BM565" t="s">
        <v>4627</v>
      </c>
    </row>
    <row r="566" spans="1:65">
      <c r="A566" s="1">
        <f>HYPERLINK("https://lsnyc.legalserver.org/matter/dynamic-profile/view/1879962","18-1879962")</f>
        <v>0</v>
      </c>
      <c r="B566" t="s">
        <v>81</v>
      </c>
      <c r="C566" t="s">
        <v>93</v>
      </c>
      <c r="D566" t="s">
        <v>209</v>
      </c>
      <c r="E566" t="s">
        <v>340</v>
      </c>
      <c r="F566" t="s">
        <v>763</v>
      </c>
      <c r="G566" t="s">
        <v>1306</v>
      </c>
      <c r="H566" t="s">
        <v>1751</v>
      </c>
      <c r="I566" t="s">
        <v>1924</v>
      </c>
      <c r="J566" t="s">
        <v>2205</v>
      </c>
      <c r="K566">
        <v>11237</v>
      </c>
      <c r="L566" t="s">
        <v>2223</v>
      </c>
      <c r="N566" t="s">
        <v>2233</v>
      </c>
      <c r="O566" t="s">
        <v>2588</v>
      </c>
      <c r="Q566" t="s">
        <v>3234</v>
      </c>
      <c r="R566">
        <v>1</v>
      </c>
      <c r="S566">
        <v>0</v>
      </c>
      <c r="T566">
        <v>0</v>
      </c>
      <c r="W566">
        <v>0</v>
      </c>
      <c r="Y566">
        <v>88.59999999999999</v>
      </c>
      <c r="Z566" t="s">
        <v>110</v>
      </c>
      <c r="AA566" t="s">
        <v>3908</v>
      </c>
      <c r="AC566" t="s">
        <v>3942</v>
      </c>
      <c r="AD566" t="s">
        <v>168</v>
      </c>
      <c r="AF566" t="s">
        <v>4050</v>
      </c>
      <c r="AH566" t="s">
        <v>4076</v>
      </c>
      <c r="AI566" t="s">
        <v>4082</v>
      </c>
      <c r="AL566" t="s">
        <v>4099</v>
      </c>
      <c r="AM566" t="s">
        <v>2230</v>
      </c>
      <c r="AO566">
        <v>973</v>
      </c>
      <c r="AP566" t="s">
        <v>4108</v>
      </c>
      <c r="AQ566" t="s">
        <v>4110</v>
      </c>
      <c r="AR566" t="s">
        <v>4112</v>
      </c>
      <c r="AU566" t="s">
        <v>4129</v>
      </c>
      <c r="AW566">
        <v>12</v>
      </c>
      <c r="AY566" t="s">
        <v>4140</v>
      </c>
      <c r="BB566" t="s">
        <v>4154</v>
      </c>
      <c r="BE566" t="s">
        <v>4221</v>
      </c>
      <c r="BG566" t="s">
        <v>4473</v>
      </c>
      <c r="BH566" t="s">
        <v>4619</v>
      </c>
      <c r="BJ566" t="s">
        <v>4622</v>
      </c>
      <c r="BL566" t="s">
        <v>4626</v>
      </c>
      <c r="BM566" t="s">
        <v>4628</v>
      </c>
    </row>
    <row r="567" spans="1:65">
      <c r="A567" s="1">
        <f>HYPERLINK("https://lsnyc.legalserver.org/matter/dynamic-profile/view/1855866","18-1855866")</f>
        <v>0</v>
      </c>
      <c r="B567" t="s">
        <v>81</v>
      </c>
      <c r="C567" t="s">
        <v>93</v>
      </c>
      <c r="D567" t="s">
        <v>343</v>
      </c>
      <c r="F567" t="s">
        <v>636</v>
      </c>
      <c r="G567" t="s">
        <v>1307</v>
      </c>
      <c r="H567" t="s">
        <v>1752</v>
      </c>
      <c r="I567" t="s">
        <v>1929</v>
      </c>
      <c r="J567" t="s">
        <v>2205</v>
      </c>
      <c r="K567">
        <v>11237</v>
      </c>
      <c r="N567" t="s">
        <v>2233</v>
      </c>
      <c r="O567" t="s">
        <v>2589</v>
      </c>
      <c r="Q567" t="s">
        <v>3235</v>
      </c>
      <c r="R567">
        <v>1</v>
      </c>
      <c r="S567">
        <v>0</v>
      </c>
      <c r="T567">
        <v>64.55</v>
      </c>
      <c r="W567">
        <v>7836</v>
      </c>
      <c r="Y567">
        <v>30.8</v>
      </c>
      <c r="Z567" t="s">
        <v>252</v>
      </c>
      <c r="AA567" t="s">
        <v>3926</v>
      </c>
      <c r="AC567" t="s">
        <v>3942</v>
      </c>
      <c r="AD567" t="s">
        <v>3948</v>
      </c>
      <c r="AF567" t="s">
        <v>4053</v>
      </c>
      <c r="AH567" t="s">
        <v>4076</v>
      </c>
      <c r="AJ567" t="s">
        <v>3943</v>
      </c>
      <c r="AL567" t="s">
        <v>4087</v>
      </c>
      <c r="AM567" t="s">
        <v>2230</v>
      </c>
      <c r="AO567">
        <v>978</v>
      </c>
      <c r="AQ567">
        <v>8</v>
      </c>
      <c r="AS567" t="s">
        <v>4113</v>
      </c>
      <c r="AT567" t="s">
        <v>4127</v>
      </c>
      <c r="AW567">
        <v>20</v>
      </c>
      <c r="AX567" t="s">
        <v>4139</v>
      </c>
      <c r="BA567" t="s">
        <v>4149</v>
      </c>
      <c r="BB567" t="s">
        <v>4154</v>
      </c>
      <c r="BE567" t="s">
        <v>4222</v>
      </c>
      <c r="BG567" t="s">
        <v>4474</v>
      </c>
      <c r="BM567" t="s">
        <v>4627</v>
      </c>
    </row>
    <row r="568" spans="1:65">
      <c r="A568" s="1">
        <f>HYPERLINK("https://lsnyc.legalserver.org/matter/dynamic-profile/view/1915563","19-1915563")</f>
        <v>0</v>
      </c>
      <c r="B568" t="s">
        <v>81</v>
      </c>
      <c r="C568" t="s">
        <v>93</v>
      </c>
      <c r="D568" t="s">
        <v>176</v>
      </c>
      <c r="E568" t="s">
        <v>457</v>
      </c>
      <c r="F568" t="s">
        <v>764</v>
      </c>
      <c r="G568" t="s">
        <v>1308</v>
      </c>
      <c r="H568" t="s">
        <v>1753</v>
      </c>
      <c r="I568">
        <v>229</v>
      </c>
      <c r="J568" t="s">
        <v>2205</v>
      </c>
      <c r="K568">
        <v>11239</v>
      </c>
      <c r="L568" t="s">
        <v>2222</v>
      </c>
      <c r="N568" t="s">
        <v>2233</v>
      </c>
      <c r="O568" t="s">
        <v>2590</v>
      </c>
      <c r="Q568" t="s">
        <v>3236</v>
      </c>
      <c r="R568">
        <v>1</v>
      </c>
      <c r="S568">
        <v>0</v>
      </c>
      <c r="T568">
        <v>76.86</v>
      </c>
      <c r="W568">
        <v>9600</v>
      </c>
      <c r="X568" t="s">
        <v>3594</v>
      </c>
      <c r="Y568">
        <v>1.3</v>
      </c>
      <c r="Z568" t="s">
        <v>122</v>
      </c>
      <c r="AA568" t="s">
        <v>3903</v>
      </c>
      <c r="AB568" t="s">
        <v>3940</v>
      </c>
      <c r="AC568" t="s">
        <v>3943</v>
      </c>
      <c r="AF568" t="s">
        <v>4054</v>
      </c>
      <c r="AG568" t="s">
        <v>4075</v>
      </c>
      <c r="AJ568" t="s">
        <v>3943</v>
      </c>
      <c r="AL568" t="s">
        <v>4070</v>
      </c>
      <c r="AM568" t="s">
        <v>2230</v>
      </c>
      <c r="AO568">
        <v>700</v>
      </c>
      <c r="AQ568">
        <v>250</v>
      </c>
      <c r="AS568" t="s">
        <v>4117</v>
      </c>
      <c r="AU568" t="s">
        <v>4128</v>
      </c>
      <c r="AW568">
        <v>1</v>
      </c>
      <c r="AY568" t="s">
        <v>4140</v>
      </c>
      <c r="BA568" t="s">
        <v>4149</v>
      </c>
      <c r="BB568" t="s">
        <v>4154</v>
      </c>
      <c r="BC568" t="s">
        <v>4128</v>
      </c>
      <c r="BE568" t="s">
        <v>4162</v>
      </c>
      <c r="BF568" t="s">
        <v>4281</v>
      </c>
      <c r="BG568" t="s">
        <v>4128</v>
      </c>
      <c r="BM568" t="s">
        <v>4628</v>
      </c>
    </row>
    <row r="569" spans="1:65">
      <c r="A569" s="1">
        <f>HYPERLINK("https://lsnyc.legalserver.org/matter/dynamic-profile/view/1880652","18-1880652")</f>
        <v>0</v>
      </c>
      <c r="B569" t="s">
        <v>81</v>
      </c>
      <c r="C569" t="s">
        <v>93</v>
      </c>
      <c r="D569" t="s">
        <v>344</v>
      </c>
      <c r="F569" t="s">
        <v>765</v>
      </c>
      <c r="G569" t="s">
        <v>1309</v>
      </c>
      <c r="H569" t="s">
        <v>1754</v>
      </c>
      <c r="I569" t="s">
        <v>2054</v>
      </c>
      <c r="J569" t="s">
        <v>2205</v>
      </c>
      <c r="K569">
        <v>11233</v>
      </c>
      <c r="N569" t="s">
        <v>2233</v>
      </c>
      <c r="O569" t="s">
        <v>2591</v>
      </c>
      <c r="Q569" t="s">
        <v>3237</v>
      </c>
      <c r="R569">
        <v>1</v>
      </c>
      <c r="S569">
        <v>0</v>
      </c>
      <c r="T569">
        <v>66.72</v>
      </c>
      <c r="W569">
        <v>8100</v>
      </c>
      <c r="X569" t="s">
        <v>3595</v>
      </c>
      <c r="Y569">
        <v>37</v>
      </c>
      <c r="Z569" t="s">
        <v>102</v>
      </c>
      <c r="AA569" t="s">
        <v>3902</v>
      </c>
      <c r="AC569" t="s">
        <v>3942</v>
      </c>
      <c r="AD569" t="s">
        <v>163</v>
      </c>
      <c r="AF569" t="s">
        <v>4050</v>
      </c>
      <c r="AH569" t="s">
        <v>4076</v>
      </c>
      <c r="AJ569" t="s">
        <v>3943</v>
      </c>
      <c r="AL569" t="s">
        <v>4092</v>
      </c>
      <c r="AM569" t="s">
        <v>2230</v>
      </c>
      <c r="AO569">
        <v>700</v>
      </c>
      <c r="AQ569">
        <v>27</v>
      </c>
      <c r="AR569" t="s">
        <v>4112</v>
      </c>
      <c r="AT569" t="s">
        <v>4127</v>
      </c>
      <c r="AW569">
        <v>10</v>
      </c>
      <c r="AY569" t="s">
        <v>4140</v>
      </c>
      <c r="BA569" t="s">
        <v>4150</v>
      </c>
      <c r="BC569" t="s">
        <v>4155</v>
      </c>
      <c r="BG569" t="s">
        <v>4475</v>
      </c>
      <c r="BM569" t="s">
        <v>4627</v>
      </c>
    </row>
    <row r="570" spans="1:65">
      <c r="A570" s="1">
        <f>HYPERLINK("https://lsnyc.legalserver.org/matter/dynamic-profile/view/1911000","19-1911000")</f>
        <v>0</v>
      </c>
      <c r="B570" t="s">
        <v>81</v>
      </c>
      <c r="C570" t="s">
        <v>93</v>
      </c>
      <c r="D570" t="s">
        <v>213</v>
      </c>
      <c r="E570" t="s">
        <v>125</v>
      </c>
      <c r="F570" t="s">
        <v>766</v>
      </c>
      <c r="G570" t="s">
        <v>1310</v>
      </c>
      <c r="H570" t="s">
        <v>1577</v>
      </c>
      <c r="J570" t="s">
        <v>2205</v>
      </c>
      <c r="K570">
        <v>11233</v>
      </c>
      <c r="L570" t="s">
        <v>2222</v>
      </c>
      <c r="N570" t="s">
        <v>2233</v>
      </c>
      <c r="O570" t="s">
        <v>2592</v>
      </c>
      <c r="Q570" t="s">
        <v>3238</v>
      </c>
      <c r="R570">
        <v>2</v>
      </c>
      <c r="S570">
        <v>2</v>
      </c>
      <c r="T570">
        <v>151.46</v>
      </c>
      <c r="W570">
        <v>39000</v>
      </c>
      <c r="Y570">
        <v>4.3</v>
      </c>
      <c r="Z570" t="s">
        <v>149</v>
      </c>
      <c r="AA570" t="s">
        <v>70</v>
      </c>
      <c r="AC570" t="s">
        <v>3942</v>
      </c>
      <c r="AD570" t="s">
        <v>113</v>
      </c>
      <c r="AF570" t="s">
        <v>4068</v>
      </c>
      <c r="AH570" t="s">
        <v>4081</v>
      </c>
      <c r="AJ570" t="s">
        <v>3943</v>
      </c>
      <c r="AL570" t="s">
        <v>4086</v>
      </c>
      <c r="AM570" t="s">
        <v>2230</v>
      </c>
      <c r="AO570">
        <v>1400</v>
      </c>
      <c r="AQ570">
        <v>359</v>
      </c>
      <c r="AS570" t="s">
        <v>4113</v>
      </c>
      <c r="AT570" t="s">
        <v>4127</v>
      </c>
      <c r="AW570">
        <v>7</v>
      </c>
      <c r="AY570" t="s">
        <v>4140</v>
      </c>
      <c r="BA570" t="s">
        <v>4149</v>
      </c>
      <c r="BC570" t="s">
        <v>4155</v>
      </c>
      <c r="BE570" t="s">
        <v>4128</v>
      </c>
      <c r="BF570" t="s">
        <v>4281</v>
      </c>
      <c r="BM570" t="s">
        <v>4628</v>
      </c>
    </row>
    <row r="571" spans="1:65">
      <c r="A571" s="1">
        <f>HYPERLINK("https://lsnyc.legalserver.org/matter/dynamic-profile/view/1855163","18-1855163")</f>
        <v>0</v>
      </c>
      <c r="B571" t="s">
        <v>82</v>
      </c>
      <c r="C571" t="s">
        <v>93</v>
      </c>
      <c r="D571" t="s">
        <v>345</v>
      </c>
      <c r="E571" t="s">
        <v>98</v>
      </c>
      <c r="F571" t="s">
        <v>672</v>
      </c>
      <c r="G571" t="s">
        <v>797</v>
      </c>
      <c r="H571" t="s">
        <v>1702</v>
      </c>
      <c r="I571" t="s">
        <v>1925</v>
      </c>
      <c r="J571" t="s">
        <v>2205</v>
      </c>
      <c r="K571">
        <v>11206</v>
      </c>
      <c r="L571" t="s">
        <v>2223</v>
      </c>
      <c r="N571" t="s">
        <v>2233</v>
      </c>
      <c r="O571" t="s">
        <v>2463</v>
      </c>
      <c r="Q571" t="s">
        <v>3130</v>
      </c>
      <c r="R571">
        <v>1</v>
      </c>
      <c r="S571">
        <v>6</v>
      </c>
      <c r="T571">
        <v>90.47</v>
      </c>
      <c r="W571">
        <v>69600</v>
      </c>
      <c r="X571" t="s">
        <v>3596</v>
      </c>
      <c r="Y571">
        <v>0.45</v>
      </c>
      <c r="Z571" t="s">
        <v>98</v>
      </c>
      <c r="AA571" t="s">
        <v>3927</v>
      </c>
      <c r="AC571" t="s">
        <v>3942</v>
      </c>
      <c r="AD571" t="s">
        <v>4025</v>
      </c>
      <c r="AF571" t="s">
        <v>4053</v>
      </c>
      <c r="AH571" t="s">
        <v>4076</v>
      </c>
      <c r="AJ571" t="s">
        <v>3942</v>
      </c>
      <c r="AK571" t="s">
        <v>4084</v>
      </c>
      <c r="AM571" t="s">
        <v>2230</v>
      </c>
      <c r="AO571">
        <v>1155.44</v>
      </c>
      <c r="AQ571">
        <v>25</v>
      </c>
      <c r="AS571" t="s">
        <v>4113</v>
      </c>
      <c r="AT571" t="s">
        <v>4127</v>
      </c>
      <c r="AV571" t="s">
        <v>4137</v>
      </c>
      <c r="AW571">
        <v>0</v>
      </c>
      <c r="AY571" t="s">
        <v>4140</v>
      </c>
      <c r="BC571" t="s">
        <v>4155</v>
      </c>
      <c r="BG571" t="s">
        <v>4476</v>
      </c>
      <c r="BH571" t="s">
        <v>4619</v>
      </c>
      <c r="BJ571" t="s">
        <v>4622</v>
      </c>
      <c r="BL571" t="s">
        <v>4626</v>
      </c>
      <c r="BM571" t="s">
        <v>4628</v>
      </c>
    </row>
    <row r="572" spans="1:65">
      <c r="A572" s="1">
        <f>HYPERLINK("https://lsnyc.legalserver.org/matter/dynamic-profile/view/0817648","16-0817648")</f>
        <v>0</v>
      </c>
      <c r="B572" t="s">
        <v>82</v>
      </c>
      <c r="C572" t="s">
        <v>93</v>
      </c>
      <c r="D572" t="s">
        <v>346</v>
      </c>
      <c r="F572" t="s">
        <v>767</v>
      </c>
      <c r="G572" t="s">
        <v>1311</v>
      </c>
      <c r="H572" t="s">
        <v>1755</v>
      </c>
      <c r="I572" t="s">
        <v>1950</v>
      </c>
      <c r="J572" t="s">
        <v>2205</v>
      </c>
      <c r="K572">
        <v>11213</v>
      </c>
      <c r="N572" t="s">
        <v>2233</v>
      </c>
      <c r="O572" t="s">
        <v>2593</v>
      </c>
      <c r="P572" t="s">
        <v>2930</v>
      </c>
      <c r="R572">
        <v>2</v>
      </c>
      <c r="S572">
        <v>1</v>
      </c>
      <c r="T572">
        <v>110.14</v>
      </c>
      <c r="U572" t="s">
        <v>3454</v>
      </c>
      <c r="W572">
        <v>22204</v>
      </c>
      <c r="X572" t="s">
        <v>3597</v>
      </c>
      <c r="Y572">
        <v>16.65</v>
      </c>
      <c r="Z572" t="s">
        <v>292</v>
      </c>
      <c r="AA572" t="s">
        <v>3897</v>
      </c>
      <c r="AC572" t="s">
        <v>3942</v>
      </c>
      <c r="AD572" t="s">
        <v>346</v>
      </c>
      <c r="AF572" t="s">
        <v>4058</v>
      </c>
      <c r="AH572" t="s">
        <v>4076</v>
      </c>
      <c r="AJ572" t="s">
        <v>3942</v>
      </c>
      <c r="AL572" t="s">
        <v>4095</v>
      </c>
      <c r="AM572" t="s">
        <v>2230</v>
      </c>
      <c r="AO572">
        <v>1</v>
      </c>
      <c r="AQ572">
        <v>6</v>
      </c>
      <c r="AS572" t="s">
        <v>4113</v>
      </c>
      <c r="AT572" t="s">
        <v>4127</v>
      </c>
      <c r="AV572" t="s">
        <v>4137</v>
      </c>
      <c r="AW572">
        <v>0</v>
      </c>
      <c r="AY572" t="s">
        <v>4140</v>
      </c>
      <c r="BC572" t="s">
        <v>4155</v>
      </c>
      <c r="BF572" t="s">
        <v>4281</v>
      </c>
      <c r="BG572" t="s">
        <v>4477</v>
      </c>
      <c r="BM572" t="s">
        <v>4627</v>
      </c>
    </row>
    <row r="573" spans="1:65">
      <c r="A573" s="1">
        <f>HYPERLINK("https://lsnyc.legalserver.org/matter/dynamic-profile/view/0779699","15-0779699")</f>
        <v>0</v>
      </c>
      <c r="B573" t="s">
        <v>82</v>
      </c>
      <c r="C573" t="s">
        <v>93</v>
      </c>
      <c r="D573" t="s">
        <v>347</v>
      </c>
      <c r="E573" t="s">
        <v>476</v>
      </c>
      <c r="F573" t="s">
        <v>768</v>
      </c>
      <c r="G573" t="s">
        <v>1312</v>
      </c>
      <c r="H573" t="s">
        <v>1756</v>
      </c>
      <c r="I573">
        <v>23</v>
      </c>
      <c r="J573" t="s">
        <v>2205</v>
      </c>
      <c r="K573">
        <v>11225</v>
      </c>
      <c r="L573" t="s">
        <v>2223</v>
      </c>
      <c r="M573" t="s">
        <v>2229</v>
      </c>
      <c r="N573" t="s">
        <v>2233</v>
      </c>
      <c r="O573" t="s">
        <v>2594</v>
      </c>
      <c r="Q573" t="s">
        <v>3239</v>
      </c>
      <c r="R573">
        <v>1</v>
      </c>
      <c r="S573">
        <v>0</v>
      </c>
      <c r="T573">
        <v>88.36</v>
      </c>
      <c r="W573">
        <v>10400</v>
      </c>
      <c r="X573" t="s">
        <v>3598</v>
      </c>
      <c r="Y573">
        <v>47.15</v>
      </c>
      <c r="Z573" t="s">
        <v>476</v>
      </c>
      <c r="AA573" t="s">
        <v>3928</v>
      </c>
      <c r="AC573" t="s">
        <v>3942</v>
      </c>
      <c r="AD573" t="s">
        <v>347</v>
      </c>
      <c r="AF573" t="s">
        <v>4050</v>
      </c>
      <c r="AH573" t="s">
        <v>4078</v>
      </c>
      <c r="AI573" t="s">
        <v>4082</v>
      </c>
      <c r="AK573" t="s">
        <v>4084</v>
      </c>
      <c r="AM573" t="s">
        <v>2230</v>
      </c>
      <c r="AO573">
        <v>683.22</v>
      </c>
      <c r="AP573" t="s">
        <v>4108</v>
      </c>
      <c r="AQ573" t="s">
        <v>4110</v>
      </c>
      <c r="AS573" t="s">
        <v>4115</v>
      </c>
      <c r="AT573" t="s">
        <v>4127</v>
      </c>
      <c r="AW573">
        <v>38</v>
      </c>
      <c r="AY573" t="s">
        <v>4141</v>
      </c>
      <c r="BC573" t="s">
        <v>4156</v>
      </c>
      <c r="BG573" t="s">
        <v>4478</v>
      </c>
      <c r="BJ573" t="s">
        <v>4622</v>
      </c>
      <c r="BM573" t="s">
        <v>4628</v>
      </c>
    </row>
    <row r="574" spans="1:65">
      <c r="A574" s="1">
        <f>HYPERLINK("https://lsnyc.legalserver.org/matter/dynamic-profile/view/1845254","17-1845254")</f>
        <v>0</v>
      </c>
      <c r="B574" t="s">
        <v>82</v>
      </c>
      <c r="C574" t="s">
        <v>93</v>
      </c>
      <c r="D574" t="s">
        <v>231</v>
      </c>
      <c r="E574" t="s">
        <v>477</v>
      </c>
      <c r="F574" t="s">
        <v>548</v>
      </c>
      <c r="G574" t="s">
        <v>1313</v>
      </c>
      <c r="H574" t="s">
        <v>1757</v>
      </c>
      <c r="I574" t="s">
        <v>1992</v>
      </c>
      <c r="J574" t="s">
        <v>2205</v>
      </c>
      <c r="K574">
        <v>11236</v>
      </c>
      <c r="L574" t="s">
        <v>2223</v>
      </c>
      <c r="N574" t="s">
        <v>2233</v>
      </c>
      <c r="O574" t="s">
        <v>2595</v>
      </c>
      <c r="Q574" t="s">
        <v>3240</v>
      </c>
      <c r="R574">
        <v>1</v>
      </c>
      <c r="S574">
        <v>0</v>
      </c>
      <c r="T574">
        <v>130.8</v>
      </c>
      <c r="U574" t="s">
        <v>3455</v>
      </c>
      <c r="W574">
        <v>15774</v>
      </c>
      <c r="Y574">
        <v>92.7</v>
      </c>
      <c r="Z574" t="s">
        <v>477</v>
      </c>
      <c r="AA574" t="s">
        <v>3897</v>
      </c>
      <c r="AC574" t="s">
        <v>3942</v>
      </c>
      <c r="AD574" t="s">
        <v>4026</v>
      </c>
      <c r="AF574" t="s">
        <v>4050</v>
      </c>
      <c r="AH574" t="s">
        <v>4076</v>
      </c>
      <c r="AJ574" t="s">
        <v>3943</v>
      </c>
      <c r="AL574" t="s">
        <v>4099</v>
      </c>
      <c r="AM574" t="s">
        <v>2230</v>
      </c>
      <c r="AO574">
        <v>1289.69</v>
      </c>
      <c r="AQ574">
        <v>37</v>
      </c>
      <c r="AS574" t="s">
        <v>4113</v>
      </c>
      <c r="AU574" t="s">
        <v>4129</v>
      </c>
      <c r="AW574">
        <v>5</v>
      </c>
      <c r="AY574" t="s">
        <v>4140</v>
      </c>
      <c r="BC574" t="s">
        <v>4155</v>
      </c>
      <c r="BD574" t="s">
        <v>4157</v>
      </c>
      <c r="BE574" t="s">
        <v>4223</v>
      </c>
      <c r="BG574" t="s">
        <v>4479</v>
      </c>
      <c r="BH574" t="s">
        <v>4619</v>
      </c>
      <c r="BJ574" t="s">
        <v>4622</v>
      </c>
      <c r="BL574" t="s">
        <v>4626</v>
      </c>
      <c r="BM574" t="s">
        <v>4628</v>
      </c>
    </row>
    <row r="575" spans="1:65">
      <c r="A575" s="1">
        <f>HYPERLINK("https://lsnyc.legalserver.org/matter/dynamic-profile/view/1905738","19-1905738")</f>
        <v>0</v>
      </c>
      <c r="B575" t="s">
        <v>82</v>
      </c>
      <c r="C575" t="s">
        <v>93</v>
      </c>
      <c r="D575" t="s">
        <v>154</v>
      </c>
      <c r="E575" t="s">
        <v>176</v>
      </c>
      <c r="F575" t="s">
        <v>769</v>
      </c>
      <c r="G575" t="s">
        <v>1275</v>
      </c>
      <c r="H575" t="s">
        <v>1758</v>
      </c>
      <c r="I575" t="s">
        <v>1921</v>
      </c>
      <c r="J575" t="s">
        <v>2205</v>
      </c>
      <c r="K575">
        <v>11233</v>
      </c>
      <c r="L575" t="s">
        <v>2222</v>
      </c>
      <c r="N575" t="s">
        <v>2233</v>
      </c>
      <c r="O575" t="s">
        <v>2596</v>
      </c>
      <c r="Q575" t="s">
        <v>3241</v>
      </c>
      <c r="R575">
        <v>1</v>
      </c>
      <c r="S575">
        <v>0</v>
      </c>
      <c r="T575">
        <v>0</v>
      </c>
      <c r="W575">
        <v>0</v>
      </c>
      <c r="X575" t="s">
        <v>3599</v>
      </c>
      <c r="Y575">
        <v>0.5</v>
      </c>
      <c r="Z575" t="s">
        <v>176</v>
      </c>
      <c r="AA575" t="s">
        <v>70</v>
      </c>
      <c r="AC575" t="s">
        <v>3942</v>
      </c>
      <c r="AD575" t="s">
        <v>154</v>
      </c>
      <c r="AF575" t="s">
        <v>4054</v>
      </c>
      <c r="AH575" t="s">
        <v>4081</v>
      </c>
      <c r="AJ575" t="s">
        <v>3943</v>
      </c>
      <c r="AL575" t="s">
        <v>4070</v>
      </c>
      <c r="AM575" t="s">
        <v>2230</v>
      </c>
      <c r="AO575">
        <v>215</v>
      </c>
      <c r="AQ575">
        <v>48</v>
      </c>
      <c r="AS575" t="s">
        <v>4116</v>
      </c>
      <c r="AU575" t="s">
        <v>4070</v>
      </c>
      <c r="AW575">
        <v>4</v>
      </c>
      <c r="AY575" t="s">
        <v>4140</v>
      </c>
      <c r="BC575" t="s">
        <v>4156</v>
      </c>
      <c r="BE575" t="s">
        <v>4224</v>
      </c>
      <c r="BF575" t="s">
        <v>4281</v>
      </c>
      <c r="BG575" t="s">
        <v>4303</v>
      </c>
      <c r="BM575" t="s">
        <v>4628</v>
      </c>
    </row>
    <row r="576" spans="1:65">
      <c r="A576" s="1">
        <f>HYPERLINK("https://lsnyc.legalserver.org/matter/dynamic-profile/view/0733605","13-0733605")</f>
        <v>0</v>
      </c>
      <c r="B576" t="s">
        <v>82</v>
      </c>
      <c r="C576" t="s">
        <v>93</v>
      </c>
      <c r="D576" t="s">
        <v>348</v>
      </c>
      <c r="F576" t="s">
        <v>770</v>
      </c>
      <c r="G576" t="s">
        <v>1314</v>
      </c>
      <c r="H576" t="s">
        <v>1759</v>
      </c>
      <c r="I576">
        <v>15</v>
      </c>
      <c r="J576" t="s">
        <v>2209</v>
      </c>
      <c r="K576">
        <v>11208</v>
      </c>
      <c r="M576" t="s">
        <v>2232</v>
      </c>
      <c r="N576" t="s">
        <v>2233</v>
      </c>
      <c r="O576" t="s">
        <v>2597</v>
      </c>
      <c r="Q576" t="s">
        <v>3242</v>
      </c>
      <c r="R576">
        <v>1</v>
      </c>
      <c r="S576">
        <v>0</v>
      </c>
      <c r="T576">
        <v>83.97</v>
      </c>
      <c r="W576">
        <v>9648</v>
      </c>
      <c r="Y576">
        <v>38.05</v>
      </c>
      <c r="Z576" t="s">
        <v>3866</v>
      </c>
      <c r="AA576" t="s">
        <v>3929</v>
      </c>
      <c r="AB576" t="s">
        <v>3940</v>
      </c>
      <c r="AC576" t="s">
        <v>3944</v>
      </c>
      <c r="AD576" t="s">
        <v>4027</v>
      </c>
      <c r="AF576" t="s">
        <v>4055</v>
      </c>
      <c r="AH576" t="s">
        <v>4080</v>
      </c>
      <c r="AI576" t="s">
        <v>4082</v>
      </c>
      <c r="AL576" t="s">
        <v>4097</v>
      </c>
      <c r="AM576" t="s">
        <v>2230</v>
      </c>
      <c r="AO576">
        <v>500</v>
      </c>
      <c r="AP576" t="s">
        <v>4108</v>
      </c>
      <c r="AQ576" t="s">
        <v>4110</v>
      </c>
      <c r="AR576" t="s">
        <v>4112</v>
      </c>
      <c r="AT576" t="s">
        <v>4127</v>
      </c>
      <c r="AW576">
        <v>42</v>
      </c>
      <c r="AY576" t="s">
        <v>4140</v>
      </c>
      <c r="BB576" t="s">
        <v>4154</v>
      </c>
      <c r="BE576" t="s">
        <v>4225</v>
      </c>
      <c r="BF576" t="s">
        <v>4281</v>
      </c>
      <c r="BG576" t="s">
        <v>4480</v>
      </c>
      <c r="BM576" t="s">
        <v>4627</v>
      </c>
    </row>
    <row r="577" spans="1:65">
      <c r="A577" s="1">
        <f>HYPERLINK("https://lsnyc.legalserver.org/matter/dynamic-profile/view/1894949","19-1894949")</f>
        <v>0</v>
      </c>
      <c r="B577" t="s">
        <v>82</v>
      </c>
      <c r="C577" t="s">
        <v>93</v>
      </c>
      <c r="D577" t="s">
        <v>349</v>
      </c>
      <c r="E577" t="s">
        <v>476</v>
      </c>
      <c r="F577" t="s">
        <v>771</v>
      </c>
      <c r="G577" t="s">
        <v>1315</v>
      </c>
      <c r="H577" t="s">
        <v>1706</v>
      </c>
      <c r="I577" t="s">
        <v>2055</v>
      </c>
      <c r="J577" t="s">
        <v>2205</v>
      </c>
      <c r="K577">
        <v>11207</v>
      </c>
      <c r="L577" t="s">
        <v>2223</v>
      </c>
      <c r="N577" t="s">
        <v>2233</v>
      </c>
      <c r="O577" t="s">
        <v>2598</v>
      </c>
      <c r="P577" t="s">
        <v>2930</v>
      </c>
      <c r="R577">
        <v>2</v>
      </c>
      <c r="S577">
        <v>0</v>
      </c>
      <c r="T577">
        <v>236.55</v>
      </c>
      <c r="W577">
        <v>40000</v>
      </c>
      <c r="X577" t="s">
        <v>3600</v>
      </c>
      <c r="Y577">
        <v>0.5</v>
      </c>
      <c r="Z577" t="s">
        <v>476</v>
      </c>
      <c r="AA577" t="s">
        <v>90</v>
      </c>
      <c r="AC577" t="s">
        <v>3942</v>
      </c>
      <c r="AD577" t="s">
        <v>247</v>
      </c>
      <c r="AF577" t="s">
        <v>4050</v>
      </c>
      <c r="AH577" t="s">
        <v>4076</v>
      </c>
      <c r="AJ577" t="s">
        <v>3942</v>
      </c>
      <c r="AK577" t="s">
        <v>4084</v>
      </c>
      <c r="AM577" t="s">
        <v>2230</v>
      </c>
      <c r="AN577" t="s">
        <v>4107</v>
      </c>
      <c r="AO577">
        <v>0</v>
      </c>
      <c r="AQ577">
        <v>2</v>
      </c>
      <c r="AR577" t="s">
        <v>4112</v>
      </c>
      <c r="AU577" t="s">
        <v>4070</v>
      </c>
      <c r="AW577">
        <v>1</v>
      </c>
      <c r="AX577" t="s">
        <v>4139</v>
      </c>
      <c r="BA577" t="s">
        <v>4149</v>
      </c>
      <c r="BC577" t="s">
        <v>4155</v>
      </c>
      <c r="BG577" t="s">
        <v>4432</v>
      </c>
      <c r="BH577" t="s">
        <v>4619</v>
      </c>
      <c r="BJ577" t="s">
        <v>4622</v>
      </c>
      <c r="BL577" t="s">
        <v>4626</v>
      </c>
      <c r="BM577" t="s">
        <v>4628</v>
      </c>
    </row>
    <row r="578" spans="1:65">
      <c r="A578" s="1">
        <f>HYPERLINK("https://lsnyc.legalserver.org/matter/dynamic-profile/view/0779614","15-0779614")</f>
        <v>0</v>
      </c>
      <c r="B578" t="s">
        <v>82</v>
      </c>
      <c r="C578" t="s">
        <v>93</v>
      </c>
      <c r="D578" t="s">
        <v>350</v>
      </c>
      <c r="E578" t="s">
        <v>477</v>
      </c>
      <c r="F578" t="s">
        <v>772</v>
      </c>
      <c r="G578" t="s">
        <v>1316</v>
      </c>
      <c r="H578" t="s">
        <v>1760</v>
      </c>
      <c r="J578" t="s">
        <v>2205</v>
      </c>
      <c r="K578">
        <v>11216</v>
      </c>
      <c r="L578" t="s">
        <v>2223</v>
      </c>
      <c r="M578" t="s">
        <v>2229</v>
      </c>
      <c r="N578" t="s">
        <v>2233</v>
      </c>
      <c r="O578" t="s">
        <v>2599</v>
      </c>
      <c r="Q578" t="s">
        <v>3243</v>
      </c>
      <c r="R578">
        <v>1</v>
      </c>
      <c r="S578">
        <v>0</v>
      </c>
      <c r="T578">
        <v>0</v>
      </c>
      <c r="W578">
        <v>0</v>
      </c>
      <c r="X578" t="s">
        <v>3601</v>
      </c>
      <c r="Y578">
        <v>28.5</v>
      </c>
      <c r="Z578" t="s">
        <v>477</v>
      </c>
      <c r="AA578" t="s">
        <v>82</v>
      </c>
      <c r="AB578" t="s">
        <v>3940</v>
      </c>
      <c r="AC578" t="s">
        <v>3943</v>
      </c>
      <c r="AF578" t="s">
        <v>4050</v>
      </c>
      <c r="AH578" t="s">
        <v>4076</v>
      </c>
      <c r="AI578" t="s">
        <v>4082</v>
      </c>
      <c r="AK578" t="s">
        <v>4084</v>
      </c>
      <c r="AM578" t="s">
        <v>2230</v>
      </c>
      <c r="AN578" t="s">
        <v>4107</v>
      </c>
      <c r="AO578">
        <v>0</v>
      </c>
      <c r="AP578" t="s">
        <v>4108</v>
      </c>
      <c r="AQ578" t="s">
        <v>4110</v>
      </c>
      <c r="AS578" t="s">
        <v>4114</v>
      </c>
      <c r="AT578" t="s">
        <v>4127</v>
      </c>
      <c r="AW578">
        <v>8</v>
      </c>
      <c r="AY578" t="s">
        <v>4140</v>
      </c>
      <c r="AZ578" t="s">
        <v>4148</v>
      </c>
      <c r="BB578" t="s">
        <v>4154</v>
      </c>
      <c r="BG578" t="s">
        <v>4481</v>
      </c>
      <c r="BH578" t="s">
        <v>4619</v>
      </c>
      <c r="BJ578" t="s">
        <v>4622</v>
      </c>
      <c r="BL578" t="s">
        <v>4626</v>
      </c>
      <c r="BM578" t="s">
        <v>4628</v>
      </c>
    </row>
    <row r="579" spans="1:65">
      <c r="A579" s="1">
        <f>HYPERLINK("https://lsnyc.legalserver.org/matter/dynamic-profile/view/0830913","17-0830913")</f>
        <v>0</v>
      </c>
      <c r="B579" t="s">
        <v>82</v>
      </c>
      <c r="C579" t="s">
        <v>93</v>
      </c>
      <c r="D579" t="s">
        <v>351</v>
      </c>
      <c r="E579" t="s">
        <v>476</v>
      </c>
      <c r="F579" t="s">
        <v>561</v>
      </c>
      <c r="G579" t="s">
        <v>1317</v>
      </c>
      <c r="H579" t="s">
        <v>1761</v>
      </c>
      <c r="I579" t="s">
        <v>1929</v>
      </c>
      <c r="J579" t="s">
        <v>2205</v>
      </c>
      <c r="K579">
        <v>11233</v>
      </c>
      <c r="L579" t="s">
        <v>2223</v>
      </c>
      <c r="N579" t="s">
        <v>2233</v>
      </c>
      <c r="O579" t="s">
        <v>2600</v>
      </c>
      <c r="Q579" t="s">
        <v>3244</v>
      </c>
      <c r="R579">
        <v>2</v>
      </c>
      <c r="S579">
        <v>1</v>
      </c>
      <c r="T579">
        <v>128.58</v>
      </c>
      <c r="W579">
        <v>26256</v>
      </c>
      <c r="Y579">
        <v>51.5</v>
      </c>
      <c r="Z579" t="s">
        <v>476</v>
      </c>
      <c r="AA579" t="s">
        <v>3930</v>
      </c>
      <c r="AC579" t="s">
        <v>3942</v>
      </c>
      <c r="AD579" t="s">
        <v>437</v>
      </c>
      <c r="AF579" t="s">
        <v>4054</v>
      </c>
      <c r="AH579" t="s">
        <v>4076</v>
      </c>
      <c r="AJ579" t="s">
        <v>3942</v>
      </c>
      <c r="AL579" t="s">
        <v>4098</v>
      </c>
      <c r="AM579" t="s">
        <v>2230</v>
      </c>
      <c r="AO579">
        <v>1125</v>
      </c>
      <c r="AQ579">
        <v>6</v>
      </c>
      <c r="AS579" t="s">
        <v>4115</v>
      </c>
      <c r="AU579" t="s">
        <v>4128</v>
      </c>
      <c r="AW579">
        <v>10</v>
      </c>
      <c r="AY579" t="s">
        <v>4140</v>
      </c>
      <c r="BC579" t="s">
        <v>4155</v>
      </c>
      <c r="BF579" t="s">
        <v>4281</v>
      </c>
      <c r="BJ579" t="s">
        <v>4622</v>
      </c>
      <c r="BM579" t="s">
        <v>4628</v>
      </c>
    </row>
    <row r="580" spans="1:65">
      <c r="A580" s="1">
        <f>HYPERLINK("https://lsnyc.legalserver.org/matter/dynamic-profile/view/1849456","17-1849456")</f>
        <v>0</v>
      </c>
      <c r="B580" t="s">
        <v>82</v>
      </c>
      <c r="C580" t="s">
        <v>93</v>
      </c>
      <c r="D580" t="s">
        <v>352</v>
      </c>
      <c r="F580" t="s">
        <v>773</v>
      </c>
      <c r="G580" t="s">
        <v>1021</v>
      </c>
      <c r="H580" t="s">
        <v>1762</v>
      </c>
      <c r="I580" t="s">
        <v>2056</v>
      </c>
      <c r="J580" t="s">
        <v>2205</v>
      </c>
      <c r="K580">
        <v>11208</v>
      </c>
      <c r="N580" t="s">
        <v>2233</v>
      </c>
      <c r="O580" t="s">
        <v>2601</v>
      </c>
      <c r="Q580" t="s">
        <v>3245</v>
      </c>
      <c r="R580">
        <v>1</v>
      </c>
      <c r="S580">
        <v>0</v>
      </c>
      <c r="T580">
        <v>75.22</v>
      </c>
      <c r="W580">
        <v>9072</v>
      </c>
      <c r="Y580">
        <v>97.40000000000001</v>
      </c>
      <c r="Z580" t="s">
        <v>3867</v>
      </c>
      <c r="AA580" t="s">
        <v>3897</v>
      </c>
      <c r="AC580" t="s">
        <v>3942</v>
      </c>
      <c r="AD580" t="s">
        <v>352</v>
      </c>
      <c r="AF580" t="s">
        <v>4053</v>
      </c>
      <c r="AH580" t="s">
        <v>4076</v>
      </c>
      <c r="AJ580" t="s">
        <v>3943</v>
      </c>
      <c r="AK580" t="s">
        <v>4084</v>
      </c>
      <c r="AM580" t="s">
        <v>2230</v>
      </c>
      <c r="AO580">
        <v>1241.32</v>
      </c>
      <c r="AQ580">
        <v>53</v>
      </c>
      <c r="AS580" t="s">
        <v>4113</v>
      </c>
      <c r="AU580" t="s">
        <v>4130</v>
      </c>
      <c r="AW580">
        <v>10</v>
      </c>
      <c r="AY580" t="s">
        <v>4140</v>
      </c>
      <c r="BA580" t="s">
        <v>4149</v>
      </c>
      <c r="BB580" t="s">
        <v>4154</v>
      </c>
      <c r="BD580" t="s">
        <v>4157</v>
      </c>
      <c r="BE580" t="s">
        <v>4226</v>
      </c>
      <c r="BG580" t="s">
        <v>4482</v>
      </c>
      <c r="BM580" t="s">
        <v>4627</v>
      </c>
    </row>
    <row r="581" spans="1:65">
      <c r="A581" s="1">
        <f>HYPERLINK("https://lsnyc.legalserver.org/matter/dynamic-profile/view/1854856","17-1854856")</f>
        <v>0</v>
      </c>
      <c r="B581" t="s">
        <v>82</v>
      </c>
      <c r="C581" t="s">
        <v>93</v>
      </c>
      <c r="D581" t="s">
        <v>353</v>
      </c>
      <c r="E581" t="s">
        <v>477</v>
      </c>
      <c r="F581" t="s">
        <v>774</v>
      </c>
      <c r="G581" t="s">
        <v>1299</v>
      </c>
      <c r="H581" t="s">
        <v>1763</v>
      </c>
      <c r="I581" t="s">
        <v>2057</v>
      </c>
      <c r="J581" t="s">
        <v>2205</v>
      </c>
      <c r="K581">
        <v>11208</v>
      </c>
      <c r="L581" t="s">
        <v>2223</v>
      </c>
      <c r="N581" t="s">
        <v>2233</v>
      </c>
      <c r="O581" t="s">
        <v>2602</v>
      </c>
      <c r="Q581" t="s">
        <v>3246</v>
      </c>
      <c r="R581">
        <v>1</v>
      </c>
      <c r="S581">
        <v>0</v>
      </c>
      <c r="T581">
        <v>182.42</v>
      </c>
      <c r="W581">
        <v>22000</v>
      </c>
      <c r="Y581">
        <v>3</v>
      </c>
      <c r="Z581" t="s">
        <v>477</v>
      </c>
      <c r="AA581" t="s">
        <v>82</v>
      </c>
      <c r="AC581" t="s">
        <v>3942</v>
      </c>
      <c r="AD581" t="s">
        <v>4004</v>
      </c>
      <c r="AF581" t="s">
        <v>4058</v>
      </c>
      <c r="AH581" t="s">
        <v>4076</v>
      </c>
      <c r="AI581" t="s">
        <v>4082</v>
      </c>
      <c r="AL581" t="s">
        <v>4086</v>
      </c>
      <c r="AM581" t="s">
        <v>2230</v>
      </c>
      <c r="AO581">
        <v>525</v>
      </c>
      <c r="AQ581">
        <v>6</v>
      </c>
      <c r="AS581" t="s">
        <v>4113</v>
      </c>
      <c r="AT581" t="s">
        <v>4127</v>
      </c>
      <c r="AW581">
        <v>35</v>
      </c>
      <c r="AY581" t="s">
        <v>4141</v>
      </c>
      <c r="BB581" t="s">
        <v>4154</v>
      </c>
      <c r="BF581" t="s">
        <v>4281</v>
      </c>
      <c r="BG581" t="s">
        <v>4483</v>
      </c>
      <c r="BJ581" t="s">
        <v>4622</v>
      </c>
      <c r="BM581" t="s">
        <v>4628</v>
      </c>
    </row>
    <row r="582" spans="1:65">
      <c r="A582" s="1">
        <f>HYPERLINK("https://lsnyc.legalserver.org/matter/dynamic-profile/view/1841631","17-1841631")</f>
        <v>0</v>
      </c>
      <c r="B582" t="s">
        <v>82</v>
      </c>
      <c r="C582" t="s">
        <v>93</v>
      </c>
      <c r="D582" t="s">
        <v>354</v>
      </c>
      <c r="E582" t="s">
        <v>122</v>
      </c>
      <c r="F582" t="s">
        <v>775</v>
      </c>
      <c r="G582" t="s">
        <v>1318</v>
      </c>
      <c r="H582" t="s">
        <v>1764</v>
      </c>
      <c r="I582" t="s">
        <v>1968</v>
      </c>
      <c r="J582" t="s">
        <v>2205</v>
      </c>
      <c r="K582">
        <v>11215</v>
      </c>
      <c r="L582" t="s">
        <v>2225</v>
      </c>
      <c r="N582" t="s">
        <v>2233</v>
      </c>
      <c r="O582" t="s">
        <v>2603</v>
      </c>
      <c r="Q582" t="s">
        <v>3247</v>
      </c>
      <c r="R582">
        <v>1</v>
      </c>
      <c r="S582">
        <v>0</v>
      </c>
      <c r="T582">
        <v>80.2</v>
      </c>
      <c r="V582" t="s">
        <v>3456</v>
      </c>
      <c r="W582">
        <v>9672</v>
      </c>
      <c r="Y582">
        <v>70.5</v>
      </c>
      <c r="Z582" t="s">
        <v>122</v>
      </c>
      <c r="AA582" t="s">
        <v>82</v>
      </c>
      <c r="AC582" t="s">
        <v>3942</v>
      </c>
      <c r="AD582" t="s">
        <v>339</v>
      </c>
      <c r="AF582" t="s">
        <v>4070</v>
      </c>
      <c r="AH582" t="s">
        <v>4078</v>
      </c>
      <c r="AJ582" t="s">
        <v>3943</v>
      </c>
      <c r="AL582" t="s">
        <v>4087</v>
      </c>
      <c r="AM582" t="s">
        <v>2230</v>
      </c>
      <c r="AO582">
        <v>500</v>
      </c>
      <c r="AQ582">
        <v>8</v>
      </c>
      <c r="AS582" t="s">
        <v>4113</v>
      </c>
      <c r="AT582" t="s">
        <v>4127</v>
      </c>
      <c r="AW582">
        <v>10</v>
      </c>
      <c r="AY582" t="s">
        <v>4140</v>
      </c>
      <c r="BC582" t="s">
        <v>4155</v>
      </c>
      <c r="BF582" t="s">
        <v>4281</v>
      </c>
      <c r="BJ582" t="s">
        <v>4622</v>
      </c>
      <c r="BM582" t="s">
        <v>4628</v>
      </c>
    </row>
    <row r="583" spans="1:65">
      <c r="A583" s="1">
        <f>HYPERLINK("https://lsnyc.legalserver.org/matter/dynamic-profile/view/1847733","17-1847733")</f>
        <v>0</v>
      </c>
      <c r="B583" t="s">
        <v>82</v>
      </c>
      <c r="C583" t="s">
        <v>93</v>
      </c>
      <c r="D583" t="s">
        <v>353</v>
      </c>
      <c r="E583" t="s">
        <v>477</v>
      </c>
      <c r="F583" t="s">
        <v>774</v>
      </c>
      <c r="G583" t="s">
        <v>1299</v>
      </c>
      <c r="H583" t="s">
        <v>1763</v>
      </c>
      <c r="I583" t="s">
        <v>2057</v>
      </c>
      <c r="J583" t="s">
        <v>2205</v>
      </c>
      <c r="K583">
        <v>11208</v>
      </c>
      <c r="L583" t="s">
        <v>2223</v>
      </c>
      <c r="N583" t="s">
        <v>2233</v>
      </c>
      <c r="O583" t="s">
        <v>2602</v>
      </c>
      <c r="Q583" t="s">
        <v>3246</v>
      </c>
      <c r="R583">
        <v>1</v>
      </c>
      <c r="S583">
        <v>0</v>
      </c>
      <c r="T583">
        <v>119.4</v>
      </c>
      <c r="W583">
        <v>14400</v>
      </c>
      <c r="Y583">
        <v>3</v>
      </c>
      <c r="Z583" t="s">
        <v>477</v>
      </c>
      <c r="AA583" t="s">
        <v>82</v>
      </c>
      <c r="AC583" t="s">
        <v>3942</v>
      </c>
      <c r="AD583" t="s">
        <v>4004</v>
      </c>
      <c r="AF583" t="s">
        <v>4053</v>
      </c>
      <c r="AH583" t="s">
        <v>4076</v>
      </c>
      <c r="AJ583" t="s">
        <v>3943</v>
      </c>
      <c r="AL583" t="s">
        <v>4086</v>
      </c>
      <c r="AM583" t="s">
        <v>2230</v>
      </c>
      <c r="AO583">
        <v>525</v>
      </c>
      <c r="AQ583">
        <v>6</v>
      </c>
      <c r="AS583" t="s">
        <v>4113</v>
      </c>
      <c r="AT583" t="s">
        <v>4127</v>
      </c>
      <c r="AW583">
        <v>35</v>
      </c>
      <c r="AY583" t="s">
        <v>4141</v>
      </c>
      <c r="BC583" t="s">
        <v>4155</v>
      </c>
      <c r="BF583" t="s">
        <v>4281</v>
      </c>
      <c r="BG583" t="s">
        <v>4484</v>
      </c>
      <c r="BH583" t="s">
        <v>4619</v>
      </c>
      <c r="BJ583" t="s">
        <v>4622</v>
      </c>
      <c r="BL583" t="s">
        <v>4626</v>
      </c>
      <c r="BM583" t="s">
        <v>4628</v>
      </c>
    </row>
    <row r="584" spans="1:65">
      <c r="A584" s="1">
        <f>HYPERLINK("https://lsnyc.legalserver.org/matter/dynamic-profile/view/0826157","17-0826157")</f>
        <v>0</v>
      </c>
      <c r="B584" t="s">
        <v>82</v>
      </c>
      <c r="C584" t="s">
        <v>93</v>
      </c>
      <c r="D584" t="s">
        <v>355</v>
      </c>
      <c r="E584" t="s">
        <v>477</v>
      </c>
      <c r="F584" t="s">
        <v>776</v>
      </c>
      <c r="G584" t="s">
        <v>1319</v>
      </c>
      <c r="H584" t="s">
        <v>1765</v>
      </c>
      <c r="I584" t="s">
        <v>1984</v>
      </c>
      <c r="J584" t="s">
        <v>2205</v>
      </c>
      <c r="K584">
        <v>11212</v>
      </c>
      <c r="L584" t="s">
        <v>2223</v>
      </c>
      <c r="N584" t="s">
        <v>2233</v>
      </c>
      <c r="O584" t="s">
        <v>2604</v>
      </c>
      <c r="Q584" t="s">
        <v>3248</v>
      </c>
      <c r="R584">
        <v>2</v>
      </c>
      <c r="S584">
        <v>0</v>
      </c>
      <c r="T584">
        <v>2.81</v>
      </c>
      <c r="W584">
        <v>450</v>
      </c>
      <c r="Y584">
        <v>71.95</v>
      </c>
      <c r="Z584" t="s">
        <v>477</v>
      </c>
      <c r="AA584" t="s">
        <v>90</v>
      </c>
      <c r="AC584" t="s">
        <v>3942</v>
      </c>
      <c r="AD584" t="s">
        <v>4028</v>
      </c>
      <c r="AF584" t="s">
        <v>4050</v>
      </c>
      <c r="AH584" t="s">
        <v>4076</v>
      </c>
      <c r="AJ584" t="s">
        <v>3943</v>
      </c>
      <c r="AK584" t="s">
        <v>4084</v>
      </c>
      <c r="AM584" t="s">
        <v>2230</v>
      </c>
      <c r="AO584">
        <v>1350</v>
      </c>
      <c r="AQ584">
        <v>8</v>
      </c>
      <c r="AS584" t="s">
        <v>4114</v>
      </c>
      <c r="AU584" t="s">
        <v>4132</v>
      </c>
      <c r="AW584">
        <v>1</v>
      </c>
      <c r="AY584" t="s">
        <v>4140</v>
      </c>
      <c r="BB584" t="s">
        <v>4154</v>
      </c>
      <c r="BF584" t="s">
        <v>4281</v>
      </c>
      <c r="BH584" t="s">
        <v>4619</v>
      </c>
      <c r="BJ584" t="s">
        <v>4622</v>
      </c>
      <c r="BL584" t="s">
        <v>4626</v>
      </c>
      <c r="BM584" t="s">
        <v>4628</v>
      </c>
    </row>
    <row r="585" spans="1:65">
      <c r="A585" s="1">
        <f>HYPERLINK("https://lsnyc.legalserver.org/matter/dynamic-profile/view/0799941","16-0799941")</f>
        <v>0</v>
      </c>
      <c r="B585" t="s">
        <v>82</v>
      </c>
      <c r="C585" t="s">
        <v>93</v>
      </c>
      <c r="D585" t="s">
        <v>356</v>
      </c>
      <c r="E585" t="s">
        <v>176</v>
      </c>
      <c r="F585" t="s">
        <v>775</v>
      </c>
      <c r="G585" t="s">
        <v>1318</v>
      </c>
      <c r="H585" t="s">
        <v>1764</v>
      </c>
      <c r="I585" t="s">
        <v>1968</v>
      </c>
      <c r="J585" t="s">
        <v>2205</v>
      </c>
      <c r="K585">
        <v>11215</v>
      </c>
      <c r="L585" t="s">
        <v>2223</v>
      </c>
      <c r="M585" t="s">
        <v>2229</v>
      </c>
      <c r="N585" t="s">
        <v>2233</v>
      </c>
      <c r="O585" t="s">
        <v>2603</v>
      </c>
      <c r="Q585" t="s">
        <v>3247</v>
      </c>
      <c r="R585">
        <v>1</v>
      </c>
      <c r="S585">
        <v>0</v>
      </c>
      <c r="T585">
        <v>82.83</v>
      </c>
      <c r="W585">
        <v>9840</v>
      </c>
      <c r="Y585">
        <v>20.25</v>
      </c>
      <c r="Z585" t="s">
        <v>3868</v>
      </c>
      <c r="AA585" t="s">
        <v>82</v>
      </c>
      <c r="AC585" t="s">
        <v>3942</v>
      </c>
      <c r="AD585" t="s">
        <v>4029</v>
      </c>
      <c r="AF585" t="s">
        <v>4053</v>
      </c>
      <c r="AH585" t="s">
        <v>4076</v>
      </c>
      <c r="AI585" t="s">
        <v>4082</v>
      </c>
      <c r="AK585" t="s">
        <v>4084</v>
      </c>
      <c r="AM585" t="s">
        <v>2230</v>
      </c>
      <c r="AN585" t="s">
        <v>4107</v>
      </c>
      <c r="AO585">
        <v>0</v>
      </c>
      <c r="AQ585">
        <v>8</v>
      </c>
      <c r="AS585" t="s">
        <v>4113</v>
      </c>
      <c r="AT585" t="s">
        <v>4127</v>
      </c>
      <c r="AW585">
        <v>16</v>
      </c>
      <c r="AY585" t="s">
        <v>4141</v>
      </c>
      <c r="BB585" t="s">
        <v>4154</v>
      </c>
      <c r="BF585" t="s">
        <v>4281</v>
      </c>
      <c r="BG585" t="s">
        <v>4485</v>
      </c>
      <c r="BH585" t="s">
        <v>4619</v>
      </c>
      <c r="BJ585" t="s">
        <v>4622</v>
      </c>
      <c r="BL585" t="s">
        <v>4626</v>
      </c>
      <c r="BM585" t="s">
        <v>4628</v>
      </c>
    </row>
    <row r="586" spans="1:65">
      <c r="A586" s="1">
        <f>HYPERLINK("https://lsnyc.legalserver.org/matter/dynamic-profile/view/1914898","19-1914898")</f>
        <v>0</v>
      </c>
      <c r="B586" t="s">
        <v>83</v>
      </c>
      <c r="C586" t="s">
        <v>93</v>
      </c>
      <c r="D586" t="s">
        <v>357</v>
      </c>
      <c r="F586" t="s">
        <v>777</v>
      </c>
      <c r="G586" t="s">
        <v>927</v>
      </c>
      <c r="H586" t="s">
        <v>1582</v>
      </c>
      <c r="I586">
        <v>4</v>
      </c>
      <c r="J586" t="s">
        <v>2205</v>
      </c>
      <c r="K586">
        <v>11213</v>
      </c>
      <c r="N586" t="s">
        <v>2233</v>
      </c>
      <c r="O586" t="s">
        <v>2605</v>
      </c>
      <c r="Q586" t="s">
        <v>3249</v>
      </c>
      <c r="R586">
        <v>3</v>
      </c>
      <c r="S586">
        <v>0</v>
      </c>
      <c r="T586">
        <v>267.23</v>
      </c>
      <c r="V586" t="s">
        <v>3458</v>
      </c>
      <c r="W586">
        <v>57000</v>
      </c>
      <c r="X586" t="s">
        <v>3602</v>
      </c>
      <c r="Y586">
        <v>0</v>
      </c>
      <c r="AA586" t="s">
        <v>90</v>
      </c>
      <c r="AC586" t="s">
        <v>3942</v>
      </c>
      <c r="AD586" t="s">
        <v>3958</v>
      </c>
      <c r="AF586" t="s">
        <v>4062</v>
      </c>
      <c r="AH586" t="s">
        <v>4076</v>
      </c>
      <c r="AJ586" t="s">
        <v>3942</v>
      </c>
      <c r="AL586" t="s">
        <v>4089</v>
      </c>
      <c r="AM586" t="s">
        <v>2230</v>
      </c>
      <c r="AO586">
        <v>993</v>
      </c>
      <c r="AQ586">
        <v>31</v>
      </c>
      <c r="AS586" t="s">
        <v>4113</v>
      </c>
      <c r="AU586" t="s">
        <v>4128</v>
      </c>
      <c r="AW586">
        <v>20</v>
      </c>
      <c r="AY586" t="s">
        <v>4140</v>
      </c>
      <c r="BA586" t="s">
        <v>4149</v>
      </c>
      <c r="BC586" t="s">
        <v>4155</v>
      </c>
      <c r="BE586" t="s">
        <v>4159</v>
      </c>
      <c r="BF586" t="s">
        <v>4281</v>
      </c>
      <c r="BG586" t="s">
        <v>4355</v>
      </c>
      <c r="BM586" t="s">
        <v>4627</v>
      </c>
    </row>
    <row r="587" spans="1:65">
      <c r="A587" s="1">
        <f>HYPERLINK("https://lsnyc.legalserver.org/matter/dynamic-profile/view/1914788","19-1914788")</f>
        <v>0</v>
      </c>
      <c r="B587" t="s">
        <v>83</v>
      </c>
      <c r="C587" t="s">
        <v>93</v>
      </c>
      <c r="D587" t="s">
        <v>173</v>
      </c>
      <c r="F587" t="s">
        <v>778</v>
      </c>
      <c r="G587" t="s">
        <v>1320</v>
      </c>
      <c r="H587" t="s">
        <v>1582</v>
      </c>
      <c r="I587">
        <v>44</v>
      </c>
      <c r="J587" t="s">
        <v>2205</v>
      </c>
      <c r="K587">
        <v>11213</v>
      </c>
      <c r="N587" t="s">
        <v>2233</v>
      </c>
      <c r="O587" t="s">
        <v>2606</v>
      </c>
      <c r="Q587" t="s">
        <v>3250</v>
      </c>
      <c r="R587">
        <v>1</v>
      </c>
      <c r="S587">
        <v>0</v>
      </c>
      <c r="T587">
        <v>432.35</v>
      </c>
      <c r="V587" t="s">
        <v>3458</v>
      </c>
      <c r="W587">
        <v>54000</v>
      </c>
      <c r="X587" t="s">
        <v>3603</v>
      </c>
      <c r="Y587">
        <v>0</v>
      </c>
      <c r="AA587" t="s">
        <v>90</v>
      </c>
      <c r="AC587" t="s">
        <v>3942</v>
      </c>
      <c r="AF587" t="s">
        <v>4062</v>
      </c>
      <c r="AH587" t="s">
        <v>4076</v>
      </c>
      <c r="AJ587" t="s">
        <v>3942</v>
      </c>
      <c r="AK587" t="s">
        <v>4084</v>
      </c>
      <c r="AM587" t="s">
        <v>2230</v>
      </c>
      <c r="AO587">
        <v>996.34</v>
      </c>
      <c r="AQ587">
        <v>31</v>
      </c>
      <c r="AS587" t="s">
        <v>4113</v>
      </c>
      <c r="AU587" t="s">
        <v>4128</v>
      </c>
      <c r="AW587">
        <v>15</v>
      </c>
      <c r="AY587" t="s">
        <v>4140</v>
      </c>
      <c r="BA587" t="s">
        <v>4149</v>
      </c>
      <c r="BC587" t="s">
        <v>4155</v>
      </c>
      <c r="BE587" t="s">
        <v>4159</v>
      </c>
      <c r="BF587" t="s">
        <v>4281</v>
      </c>
      <c r="BG587" t="s">
        <v>4388</v>
      </c>
      <c r="BM587" t="s">
        <v>4627</v>
      </c>
    </row>
    <row r="588" spans="1:65">
      <c r="A588" s="1">
        <f>HYPERLINK("https://lsnyc.legalserver.org/matter/dynamic-profile/view/1914790","19-1914790")</f>
        <v>0</v>
      </c>
      <c r="B588" t="s">
        <v>83</v>
      </c>
      <c r="C588" t="s">
        <v>93</v>
      </c>
      <c r="D588" t="s">
        <v>173</v>
      </c>
      <c r="F588" t="s">
        <v>508</v>
      </c>
      <c r="G588" t="s">
        <v>1043</v>
      </c>
      <c r="H588" t="s">
        <v>1582</v>
      </c>
      <c r="I588">
        <v>27</v>
      </c>
      <c r="J588" t="s">
        <v>2205</v>
      </c>
      <c r="K588">
        <v>11213</v>
      </c>
      <c r="N588" t="s">
        <v>2233</v>
      </c>
      <c r="O588" t="s">
        <v>2273</v>
      </c>
      <c r="Q588" t="s">
        <v>2958</v>
      </c>
      <c r="R588">
        <v>2</v>
      </c>
      <c r="S588">
        <v>0</v>
      </c>
      <c r="T588">
        <v>359.55</v>
      </c>
      <c r="V588" t="s">
        <v>3458</v>
      </c>
      <c r="W588">
        <v>60800</v>
      </c>
      <c r="X588" t="s">
        <v>3604</v>
      </c>
      <c r="Y588">
        <v>0</v>
      </c>
      <c r="AA588" t="s">
        <v>90</v>
      </c>
      <c r="AC588" t="s">
        <v>3942</v>
      </c>
      <c r="AD588" t="s">
        <v>3958</v>
      </c>
      <c r="AF588" t="s">
        <v>4062</v>
      </c>
      <c r="AH588" t="s">
        <v>4076</v>
      </c>
      <c r="AJ588" t="s">
        <v>3942</v>
      </c>
      <c r="AL588" t="s">
        <v>4087</v>
      </c>
      <c r="AM588" t="s">
        <v>2230</v>
      </c>
      <c r="AO588">
        <v>861.2</v>
      </c>
      <c r="AQ588">
        <v>31</v>
      </c>
      <c r="AS588" t="s">
        <v>4113</v>
      </c>
      <c r="AU588" t="s">
        <v>4128</v>
      </c>
      <c r="AW588">
        <v>34</v>
      </c>
      <c r="AY588" t="s">
        <v>4140</v>
      </c>
      <c r="BA588" t="s">
        <v>4149</v>
      </c>
      <c r="BC588" t="s">
        <v>4155</v>
      </c>
      <c r="BE588" t="s">
        <v>4159</v>
      </c>
      <c r="BF588" t="s">
        <v>4281</v>
      </c>
      <c r="BG588" t="s">
        <v>4388</v>
      </c>
      <c r="BM588" t="s">
        <v>4627</v>
      </c>
    </row>
    <row r="589" spans="1:65">
      <c r="A589" s="1">
        <f>HYPERLINK("https://lsnyc.legalserver.org/matter/dynamic-profile/view/1913306","19-1913306")</f>
        <v>0</v>
      </c>
      <c r="B589" t="s">
        <v>83</v>
      </c>
      <c r="C589" t="s">
        <v>93</v>
      </c>
      <c r="D589" t="s">
        <v>358</v>
      </c>
      <c r="F589" t="s">
        <v>501</v>
      </c>
      <c r="G589" t="s">
        <v>1321</v>
      </c>
      <c r="H589" t="s">
        <v>1582</v>
      </c>
      <c r="I589">
        <v>47</v>
      </c>
      <c r="J589" t="s">
        <v>2205</v>
      </c>
      <c r="K589">
        <v>11213</v>
      </c>
      <c r="N589" t="s">
        <v>2233</v>
      </c>
      <c r="O589" t="s">
        <v>2607</v>
      </c>
      <c r="Q589" t="s">
        <v>3251</v>
      </c>
      <c r="R589">
        <v>2</v>
      </c>
      <c r="S589">
        <v>1</v>
      </c>
      <c r="T589">
        <v>168.78</v>
      </c>
      <c r="W589">
        <v>36000</v>
      </c>
      <c r="Y589">
        <v>1.5</v>
      </c>
      <c r="Z589" t="s">
        <v>358</v>
      </c>
      <c r="AA589" t="s">
        <v>83</v>
      </c>
      <c r="AC589" t="s">
        <v>3942</v>
      </c>
      <c r="AD589" t="s">
        <v>358</v>
      </c>
      <c r="AF589" t="s">
        <v>4054</v>
      </c>
      <c r="AH589" t="s">
        <v>3510</v>
      </c>
      <c r="AJ589" t="s">
        <v>3942</v>
      </c>
      <c r="AL589" t="s">
        <v>4089</v>
      </c>
      <c r="AM589" t="s">
        <v>2230</v>
      </c>
      <c r="AO589">
        <v>1017.21</v>
      </c>
      <c r="AQ589">
        <v>31</v>
      </c>
      <c r="AS589" t="s">
        <v>4113</v>
      </c>
      <c r="AU589" t="s">
        <v>4128</v>
      </c>
      <c r="AW589">
        <v>22</v>
      </c>
      <c r="AY589" t="s">
        <v>4140</v>
      </c>
      <c r="BC589" t="s">
        <v>4155</v>
      </c>
      <c r="BF589" t="s">
        <v>4281</v>
      </c>
      <c r="BG589" t="s">
        <v>4128</v>
      </c>
      <c r="BM589" t="s">
        <v>4627</v>
      </c>
    </row>
    <row r="590" spans="1:65">
      <c r="A590" s="1">
        <f>HYPERLINK("https://lsnyc.legalserver.org/matter/dynamic-profile/view/1913104","19-1913104")</f>
        <v>0</v>
      </c>
      <c r="B590" t="s">
        <v>83</v>
      </c>
      <c r="C590" t="s">
        <v>93</v>
      </c>
      <c r="D590" t="s">
        <v>359</v>
      </c>
      <c r="F590" t="s">
        <v>779</v>
      </c>
      <c r="G590" t="s">
        <v>1322</v>
      </c>
      <c r="H590" t="s">
        <v>1766</v>
      </c>
      <c r="I590">
        <v>6</v>
      </c>
      <c r="J590" t="s">
        <v>2205</v>
      </c>
      <c r="K590">
        <v>11213</v>
      </c>
      <c r="N590" t="s">
        <v>2233</v>
      </c>
      <c r="O590" t="s">
        <v>2608</v>
      </c>
      <c r="Q590" t="s">
        <v>3252</v>
      </c>
      <c r="R590">
        <v>3</v>
      </c>
      <c r="S590">
        <v>0</v>
      </c>
      <c r="T590">
        <v>173.28</v>
      </c>
      <c r="W590">
        <v>36960</v>
      </c>
      <c r="Y590">
        <v>1.2</v>
      </c>
      <c r="Z590" t="s">
        <v>359</v>
      </c>
      <c r="AA590" t="s">
        <v>70</v>
      </c>
      <c r="AC590" t="s">
        <v>3942</v>
      </c>
      <c r="AD590" t="s">
        <v>125</v>
      </c>
      <c r="AF590" t="s">
        <v>4054</v>
      </c>
      <c r="AH590" t="s">
        <v>3510</v>
      </c>
      <c r="AJ590" t="s">
        <v>3942</v>
      </c>
      <c r="AL590" t="s">
        <v>4087</v>
      </c>
      <c r="AM590" t="s">
        <v>2230</v>
      </c>
      <c r="AO590">
        <v>998.03</v>
      </c>
      <c r="AQ590">
        <v>31</v>
      </c>
      <c r="AS590" t="s">
        <v>4113</v>
      </c>
      <c r="AU590" t="s">
        <v>4128</v>
      </c>
      <c r="AW590">
        <v>15</v>
      </c>
      <c r="AY590" t="s">
        <v>4142</v>
      </c>
      <c r="BA590" t="s">
        <v>4149</v>
      </c>
      <c r="BC590" t="s">
        <v>4155</v>
      </c>
      <c r="BF590" t="s">
        <v>4281</v>
      </c>
      <c r="BG590" t="s">
        <v>4054</v>
      </c>
      <c r="BM590" t="s">
        <v>4627</v>
      </c>
    </row>
    <row r="591" spans="1:65">
      <c r="A591" s="1">
        <f>HYPERLINK("https://lsnyc.legalserver.org/matter/dynamic-profile/view/1914797","19-1914797")</f>
        <v>0</v>
      </c>
      <c r="B591" t="s">
        <v>83</v>
      </c>
      <c r="C591" t="s">
        <v>93</v>
      </c>
      <c r="D591" t="s">
        <v>173</v>
      </c>
      <c r="F591" t="s">
        <v>780</v>
      </c>
      <c r="G591" t="s">
        <v>1323</v>
      </c>
      <c r="H591" t="s">
        <v>1582</v>
      </c>
      <c r="I591">
        <v>28</v>
      </c>
      <c r="J591" t="s">
        <v>2205</v>
      </c>
      <c r="K591">
        <v>11213</v>
      </c>
      <c r="N591" t="s">
        <v>2233</v>
      </c>
      <c r="O591" t="s">
        <v>2609</v>
      </c>
      <c r="Q591" t="s">
        <v>3253</v>
      </c>
      <c r="R591">
        <v>2</v>
      </c>
      <c r="S591">
        <v>0</v>
      </c>
      <c r="T591">
        <v>372.56</v>
      </c>
      <c r="V591" t="s">
        <v>3458</v>
      </c>
      <c r="W591">
        <v>63000</v>
      </c>
      <c r="X591" t="s">
        <v>3602</v>
      </c>
      <c r="Y591">
        <v>0</v>
      </c>
      <c r="AA591" t="s">
        <v>90</v>
      </c>
      <c r="AC591" t="s">
        <v>3942</v>
      </c>
      <c r="AD591" t="s">
        <v>3958</v>
      </c>
      <c r="AF591" t="s">
        <v>4062</v>
      </c>
      <c r="AH591" t="s">
        <v>4076</v>
      </c>
      <c r="AJ591" t="s">
        <v>3942</v>
      </c>
      <c r="AL591" t="s">
        <v>4087</v>
      </c>
      <c r="AM591" t="s">
        <v>2230</v>
      </c>
      <c r="AO591">
        <v>1326</v>
      </c>
      <c r="AQ591">
        <v>31</v>
      </c>
      <c r="AS591" t="s">
        <v>4113</v>
      </c>
      <c r="AU591" t="s">
        <v>4128</v>
      </c>
      <c r="AW591">
        <v>2</v>
      </c>
      <c r="AY591" t="s">
        <v>4140</v>
      </c>
      <c r="BA591" t="s">
        <v>4149</v>
      </c>
      <c r="BC591" t="s">
        <v>4155</v>
      </c>
      <c r="BD591" t="s">
        <v>4157</v>
      </c>
      <c r="BE591" t="s">
        <v>4227</v>
      </c>
      <c r="BF591" t="s">
        <v>4281</v>
      </c>
      <c r="BG591" t="s">
        <v>4388</v>
      </c>
      <c r="BM591" t="s">
        <v>4627</v>
      </c>
    </row>
    <row r="592" spans="1:65">
      <c r="A592" s="1">
        <f>HYPERLINK("https://lsnyc.legalserver.org/matter/dynamic-profile/view/1914905","19-1914905")</f>
        <v>0</v>
      </c>
      <c r="B592" t="s">
        <v>83</v>
      </c>
      <c r="C592" t="s">
        <v>93</v>
      </c>
      <c r="D592" t="s">
        <v>357</v>
      </c>
      <c r="F592" t="s">
        <v>779</v>
      </c>
      <c r="G592" t="s">
        <v>1322</v>
      </c>
      <c r="H592" t="s">
        <v>1766</v>
      </c>
      <c r="I592">
        <v>6</v>
      </c>
      <c r="J592" t="s">
        <v>2205</v>
      </c>
      <c r="K592">
        <v>11213</v>
      </c>
      <c r="N592" t="s">
        <v>2233</v>
      </c>
      <c r="O592" t="s">
        <v>2608</v>
      </c>
      <c r="Q592" t="s">
        <v>3252</v>
      </c>
      <c r="R592">
        <v>3</v>
      </c>
      <c r="S592">
        <v>0</v>
      </c>
      <c r="T592">
        <v>173.28</v>
      </c>
      <c r="W592">
        <v>36960</v>
      </c>
      <c r="Y592">
        <v>0</v>
      </c>
      <c r="AA592" t="s">
        <v>90</v>
      </c>
      <c r="AC592" t="s">
        <v>3942</v>
      </c>
      <c r="AD592" t="s">
        <v>3958</v>
      </c>
      <c r="AF592" t="s">
        <v>4062</v>
      </c>
      <c r="AH592" t="s">
        <v>4076</v>
      </c>
      <c r="AJ592" t="s">
        <v>3942</v>
      </c>
      <c r="AL592" t="s">
        <v>4087</v>
      </c>
      <c r="AM592" t="s">
        <v>2230</v>
      </c>
      <c r="AO592">
        <v>998.03</v>
      </c>
      <c r="AQ592">
        <v>31</v>
      </c>
      <c r="AS592" t="s">
        <v>4113</v>
      </c>
      <c r="AU592" t="s">
        <v>4128</v>
      </c>
      <c r="AW592">
        <v>15</v>
      </c>
      <c r="AY592" t="s">
        <v>4142</v>
      </c>
      <c r="BA592" t="s">
        <v>4149</v>
      </c>
      <c r="BC592" t="s">
        <v>4155</v>
      </c>
      <c r="BE592" t="s">
        <v>4159</v>
      </c>
      <c r="BF592" t="s">
        <v>4281</v>
      </c>
      <c r="BG592" t="s">
        <v>4388</v>
      </c>
      <c r="BM592" t="s">
        <v>4627</v>
      </c>
    </row>
    <row r="593" spans="1:65">
      <c r="A593" s="1">
        <f>HYPERLINK("https://lsnyc.legalserver.org/matter/dynamic-profile/view/1915317","19-1915317")</f>
        <v>0</v>
      </c>
      <c r="B593" t="s">
        <v>83</v>
      </c>
      <c r="C593" t="s">
        <v>93</v>
      </c>
      <c r="D593" t="s">
        <v>360</v>
      </c>
      <c r="F593" t="s">
        <v>781</v>
      </c>
      <c r="G593" t="s">
        <v>1127</v>
      </c>
      <c r="H593" t="s">
        <v>1582</v>
      </c>
      <c r="I593">
        <v>38</v>
      </c>
      <c r="J593" t="s">
        <v>2205</v>
      </c>
      <c r="K593">
        <v>11213</v>
      </c>
      <c r="N593" t="s">
        <v>2233</v>
      </c>
      <c r="O593" t="s">
        <v>2610</v>
      </c>
      <c r="P593" t="s">
        <v>2930</v>
      </c>
      <c r="R593">
        <v>2</v>
      </c>
      <c r="S593">
        <v>0</v>
      </c>
      <c r="T593">
        <v>312.24</v>
      </c>
      <c r="W593">
        <v>52800</v>
      </c>
      <c r="X593" t="s">
        <v>3605</v>
      </c>
      <c r="Y593">
        <v>0</v>
      </c>
      <c r="AA593" t="s">
        <v>90</v>
      </c>
      <c r="AC593" t="s">
        <v>3942</v>
      </c>
      <c r="AD593" t="s">
        <v>156</v>
      </c>
      <c r="AF593" t="s">
        <v>4054</v>
      </c>
      <c r="AH593" t="s">
        <v>3510</v>
      </c>
      <c r="AJ593" t="s">
        <v>3942</v>
      </c>
      <c r="AL593" t="s">
        <v>4089</v>
      </c>
      <c r="AM593" t="s">
        <v>2230</v>
      </c>
      <c r="AO593">
        <v>1161.8</v>
      </c>
      <c r="AQ593">
        <v>31</v>
      </c>
      <c r="AS593" t="s">
        <v>4113</v>
      </c>
      <c r="AU593" t="s">
        <v>4128</v>
      </c>
      <c r="AW593">
        <v>8</v>
      </c>
      <c r="AY593" t="s">
        <v>4140</v>
      </c>
      <c r="BA593" t="s">
        <v>4149</v>
      </c>
      <c r="BC593" t="s">
        <v>4155</v>
      </c>
      <c r="BE593" t="s">
        <v>4159</v>
      </c>
      <c r="BF593" t="s">
        <v>4281</v>
      </c>
      <c r="BG593" t="s">
        <v>4159</v>
      </c>
      <c r="BM593" t="s">
        <v>4627</v>
      </c>
    </row>
    <row r="594" spans="1:65">
      <c r="A594" s="1">
        <f>HYPERLINK("https://lsnyc.legalserver.org/matter/dynamic-profile/view/1913860","19-1913860")</f>
        <v>0</v>
      </c>
      <c r="B594" t="s">
        <v>83</v>
      </c>
      <c r="C594" t="s">
        <v>93</v>
      </c>
      <c r="D594" t="s">
        <v>361</v>
      </c>
      <c r="F594" t="s">
        <v>782</v>
      </c>
      <c r="G594" t="s">
        <v>1324</v>
      </c>
      <c r="H594" t="s">
        <v>1582</v>
      </c>
      <c r="I594">
        <v>37</v>
      </c>
      <c r="J594" t="s">
        <v>2205</v>
      </c>
      <c r="K594">
        <v>11213</v>
      </c>
      <c r="N594" t="s">
        <v>2233</v>
      </c>
      <c r="O594" t="s">
        <v>2611</v>
      </c>
      <c r="Q594" t="s">
        <v>3254</v>
      </c>
      <c r="R594">
        <v>2</v>
      </c>
      <c r="S594">
        <v>0</v>
      </c>
      <c r="T594">
        <v>146.08</v>
      </c>
      <c r="W594">
        <v>24702</v>
      </c>
      <c r="Y594">
        <v>0</v>
      </c>
      <c r="AA594" t="s">
        <v>90</v>
      </c>
      <c r="AC594" t="s">
        <v>3942</v>
      </c>
      <c r="AD594" t="s">
        <v>361</v>
      </c>
      <c r="AF594" t="s">
        <v>4054</v>
      </c>
      <c r="AH594" t="s">
        <v>3510</v>
      </c>
      <c r="AJ594" t="s">
        <v>3942</v>
      </c>
      <c r="AL594" t="s">
        <v>4070</v>
      </c>
      <c r="AM594" t="s">
        <v>2230</v>
      </c>
      <c r="AO594">
        <v>798.41</v>
      </c>
      <c r="AQ594">
        <v>31</v>
      </c>
      <c r="AS594" t="s">
        <v>4113</v>
      </c>
      <c r="AU594" t="s">
        <v>4134</v>
      </c>
      <c r="AW594">
        <v>41</v>
      </c>
      <c r="AY594" t="s">
        <v>4140</v>
      </c>
      <c r="BA594" t="s">
        <v>4149</v>
      </c>
      <c r="BC594" t="s">
        <v>4155</v>
      </c>
      <c r="BE594" t="s">
        <v>4128</v>
      </c>
      <c r="BF594" t="s">
        <v>4281</v>
      </c>
      <c r="BG594" t="s">
        <v>4303</v>
      </c>
      <c r="BM594" t="s">
        <v>4627</v>
      </c>
    </row>
    <row r="595" spans="1:65">
      <c r="A595" s="1">
        <f>HYPERLINK("https://lsnyc.legalserver.org/matter/dynamic-profile/view/1914786","19-1914786")</f>
        <v>0</v>
      </c>
      <c r="B595" t="s">
        <v>83</v>
      </c>
      <c r="C595" t="s">
        <v>93</v>
      </c>
      <c r="D595" t="s">
        <v>173</v>
      </c>
      <c r="F595" t="s">
        <v>782</v>
      </c>
      <c r="G595" t="s">
        <v>1324</v>
      </c>
      <c r="H595" t="s">
        <v>1582</v>
      </c>
      <c r="I595">
        <v>37</v>
      </c>
      <c r="J595" t="s">
        <v>2205</v>
      </c>
      <c r="K595">
        <v>11213</v>
      </c>
      <c r="N595" t="s">
        <v>2233</v>
      </c>
      <c r="O595" t="s">
        <v>2611</v>
      </c>
      <c r="Q595" t="s">
        <v>3254</v>
      </c>
      <c r="R595">
        <v>2</v>
      </c>
      <c r="S595">
        <v>0</v>
      </c>
      <c r="T595">
        <v>146.08</v>
      </c>
      <c r="W595">
        <v>24702</v>
      </c>
      <c r="Y595">
        <v>0</v>
      </c>
      <c r="AA595" t="s">
        <v>90</v>
      </c>
      <c r="AC595" t="s">
        <v>3942</v>
      </c>
      <c r="AD595" t="s">
        <v>3958</v>
      </c>
      <c r="AF595" t="s">
        <v>4062</v>
      </c>
      <c r="AH595" t="s">
        <v>4076</v>
      </c>
      <c r="AJ595" t="s">
        <v>3942</v>
      </c>
      <c r="AL595" t="s">
        <v>4070</v>
      </c>
      <c r="AM595" t="s">
        <v>2230</v>
      </c>
      <c r="AO595">
        <v>798.41</v>
      </c>
      <c r="AQ595">
        <v>31</v>
      </c>
      <c r="AS595" t="s">
        <v>4113</v>
      </c>
      <c r="AU595" t="s">
        <v>4134</v>
      </c>
      <c r="AW595">
        <v>41</v>
      </c>
      <c r="AY595" t="s">
        <v>4140</v>
      </c>
      <c r="BA595" t="s">
        <v>4149</v>
      </c>
      <c r="BC595" t="s">
        <v>4155</v>
      </c>
      <c r="BE595" t="s">
        <v>4128</v>
      </c>
      <c r="BF595" t="s">
        <v>4281</v>
      </c>
      <c r="BG595" t="s">
        <v>4355</v>
      </c>
      <c r="BM595" t="s">
        <v>4627</v>
      </c>
    </row>
    <row r="596" spans="1:65">
      <c r="A596" s="1">
        <f>HYPERLINK("https://lsnyc.legalserver.org/matter/dynamic-profile/view/1914799","19-1914799")</f>
        <v>0</v>
      </c>
      <c r="B596" t="s">
        <v>83</v>
      </c>
      <c r="C596" t="s">
        <v>93</v>
      </c>
      <c r="D596" t="s">
        <v>173</v>
      </c>
      <c r="F596" t="s">
        <v>516</v>
      </c>
      <c r="G596" t="s">
        <v>776</v>
      </c>
      <c r="H596" t="s">
        <v>1582</v>
      </c>
      <c r="I596">
        <v>7</v>
      </c>
      <c r="J596" t="s">
        <v>2205</v>
      </c>
      <c r="K596">
        <v>11213</v>
      </c>
      <c r="N596" t="s">
        <v>2233</v>
      </c>
      <c r="O596" t="s">
        <v>2281</v>
      </c>
      <c r="P596" t="s">
        <v>2930</v>
      </c>
      <c r="R596">
        <v>2</v>
      </c>
      <c r="S596">
        <v>0</v>
      </c>
      <c r="T596">
        <v>189.24</v>
      </c>
      <c r="W596">
        <v>32000</v>
      </c>
      <c r="Y596">
        <v>0</v>
      </c>
      <c r="AA596" t="s">
        <v>90</v>
      </c>
      <c r="AC596" t="s">
        <v>3942</v>
      </c>
      <c r="AD596" t="s">
        <v>3958</v>
      </c>
      <c r="AF596" t="s">
        <v>4062</v>
      </c>
      <c r="AH596" t="s">
        <v>4076</v>
      </c>
      <c r="AJ596" t="s">
        <v>3942</v>
      </c>
      <c r="AL596" t="s">
        <v>4087</v>
      </c>
      <c r="AM596" t="s">
        <v>2230</v>
      </c>
      <c r="AO596">
        <v>931.36</v>
      </c>
      <c r="AQ596">
        <v>31</v>
      </c>
      <c r="AS596" t="s">
        <v>4113</v>
      </c>
      <c r="AU596" t="s">
        <v>4128</v>
      </c>
      <c r="AW596">
        <v>35</v>
      </c>
      <c r="AY596" t="s">
        <v>4140</v>
      </c>
      <c r="BA596" t="s">
        <v>4149</v>
      </c>
      <c r="BC596" t="s">
        <v>4155</v>
      </c>
      <c r="BE596" t="s">
        <v>4128</v>
      </c>
      <c r="BF596" t="s">
        <v>4281</v>
      </c>
      <c r="BG596" t="s">
        <v>4388</v>
      </c>
      <c r="BM596" t="s">
        <v>4627</v>
      </c>
    </row>
    <row r="597" spans="1:65">
      <c r="A597" s="1">
        <f>HYPERLINK("https://lsnyc.legalserver.org/matter/dynamic-profile/view/1913900","19-1913900")</f>
        <v>0</v>
      </c>
      <c r="B597" t="s">
        <v>83</v>
      </c>
      <c r="C597" t="s">
        <v>93</v>
      </c>
      <c r="D597" t="s">
        <v>361</v>
      </c>
      <c r="F597" t="s">
        <v>783</v>
      </c>
      <c r="G597" t="s">
        <v>478</v>
      </c>
      <c r="H597" t="s">
        <v>1582</v>
      </c>
      <c r="I597">
        <v>25</v>
      </c>
      <c r="J597" t="s">
        <v>2205</v>
      </c>
      <c r="K597">
        <v>11213</v>
      </c>
      <c r="N597" t="s">
        <v>2233</v>
      </c>
      <c r="O597" t="s">
        <v>2612</v>
      </c>
      <c r="Q597" t="s">
        <v>3255</v>
      </c>
      <c r="R597">
        <v>1</v>
      </c>
      <c r="S597">
        <v>0</v>
      </c>
      <c r="T597">
        <v>230.58</v>
      </c>
      <c r="W597">
        <v>28800</v>
      </c>
      <c r="Y597">
        <v>1.5</v>
      </c>
      <c r="Z597" t="s">
        <v>361</v>
      </c>
      <c r="AA597" t="s">
        <v>83</v>
      </c>
      <c r="AC597" t="s">
        <v>3942</v>
      </c>
      <c r="AD597" t="s">
        <v>361</v>
      </c>
      <c r="AF597" t="s">
        <v>4054</v>
      </c>
      <c r="AH597" t="s">
        <v>3510</v>
      </c>
      <c r="AJ597" t="s">
        <v>3942</v>
      </c>
      <c r="AL597" t="s">
        <v>4089</v>
      </c>
      <c r="AM597" t="s">
        <v>2230</v>
      </c>
      <c r="AO597">
        <v>1103.14</v>
      </c>
      <c r="AQ597">
        <v>31</v>
      </c>
      <c r="AS597" t="s">
        <v>4113</v>
      </c>
      <c r="AU597" t="s">
        <v>4128</v>
      </c>
      <c r="AW597">
        <v>26</v>
      </c>
      <c r="AY597" t="s">
        <v>4140</v>
      </c>
      <c r="BA597" t="s">
        <v>4149</v>
      </c>
      <c r="BC597" t="s">
        <v>4155</v>
      </c>
      <c r="BF597" t="s">
        <v>4281</v>
      </c>
      <c r="BG597" t="s">
        <v>4054</v>
      </c>
      <c r="BM597" t="s">
        <v>4627</v>
      </c>
    </row>
    <row r="598" spans="1:65">
      <c r="A598" s="1">
        <f>HYPERLINK("https://lsnyc.legalserver.org/matter/dynamic-profile/view/1914809","19-1914809")</f>
        <v>0</v>
      </c>
      <c r="B598" t="s">
        <v>83</v>
      </c>
      <c r="C598" t="s">
        <v>93</v>
      </c>
      <c r="D598" t="s">
        <v>173</v>
      </c>
      <c r="F598" t="s">
        <v>783</v>
      </c>
      <c r="G598" t="s">
        <v>478</v>
      </c>
      <c r="H598" t="s">
        <v>1582</v>
      </c>
      <c r="I598">
        <v>25</v>
      </c>
      <c r="J598" t="s">
        <v>2205</v>
      </c>
      <c r="K598">
        <v>11213</v>
      </c>
      <c r="N598" t="s">
        <v>2233</v>
      </c>
      <c r="O598" t="s">
        <v>2612</v>
      </c>
      <c r="Q598" t="s">
        <v>3255</v>
      </c>
      <c r="R598">
        <v>1</v>
      </c>
      <c r="S598">
        <v>0</v>
      </c>
      <c r="T598">
        <v>230.58</v>
      </c>
      <c r="V598" t="s">
        <v>3458</v>
      </c>
      <c r="W598">
        <v>28800</v>
      </c>
      <c r="X598" t="s">
        <v>3602</v>
      </c>
      <c r="Y598">
        <v>0</v>
      </c>
      <c r="AA598" t="s">
        <v>90</v>
      </c>
      <c r="AC598" t="s">
        <v>3942</v>
      </c>
      <c r="AD598" t="s">
        <v>3958</v>
      </c>
      <c r="AF598" t="s">
        <v>4062</v>
      </c>
      <c r="AH598" t="s">
        <v>4076</v>
      </c>
      <c r="AJ598" t="s">
        <v>3942</v>
      </c>
      <c r="AL598" t="s">
        <v>4089</v>
      </c>
      <c r="AM598" t="s">
        <v>2230</v>
      </c>
      <c r="AO598">
        <v>1103.14</v>
      </c>
      <c r="AP598" t="s">
        <v>4108</v>
      </c>
      <c r="AQ598" t="s">
        <v>4110</v>
      </c>
      <c r="AS598" t="s">
        <v>4113</v>
      </c>
      <c r="AU598" t="s">
        <v>4128</v>
      </c>
      <c r="AW598">
        <v>26</v>
      </c>
      <c r="AY598" t="s">
        <v>4140</v>
      </c>
      <c r="BA598" t="s">
        <v>4149</v>
      </c>
      <c r="BC598" t="s">
        <v>4155</v>
      </c>
      <c r="BE598" t="s">
        <v>4159</v>
      </c>
      <c r="BF598" t="s">
        <v>4281</v>
      </c>
      <c r="BG598" t="s">
        <v>4388</v>
      </c>
      <c r="BM598" t="s">
        <v>4627</v>
      </c>
    </row>
    <row r="599" spans="1:65">
      <c r="A599" s="1">
        <f>HYPERLINK("https://lsnyc.legalserver.org/matter/dynamic-profile/view/1913097","19-1913097")</f>
        <v>0</v>
      </c>
      <c r="B599" t="s">
        <v>83</v>
      </c>
      <c r="C599" t="s">
        <v>93</v>
      </c>
      <c r="D599" t="s">
        <v>254</v>
      </c>
      <c r="F599" t="s">
        <v>784</v>
      </c>
      <c r="G599" t="s">
        <v>927</v>
      </c>
      <c r="H599" t="s">
        <v>1582</v>
      </c>
      <c r="I599">
        <v>31</v>
      </c>
      <c r="J599" t="s">
        <v>2205</v>
      </c>
      <c r="K599">
        <v>11213</v>
      </c>
      <c r="N599" t="s">
        <v>2233</v>
      </c>
      <c r="O599" t="s">
        <v>2613</v>
      </c>
      <c r="Q599" t="s">
        <v>3256</v>
      </c>
      <c r="R599">
        <v>2</v>
      </c>
      <c r="S599">
        <v>0</v>
      </c>
      <c r="T599">
        <v>786.52</v>
      </c>
      <c r="W599">
        <v>133000</v>
      </c>
      <c r="Y599">
        <v>4.3</v>
      </c>
      <c r="Z599" t="s">
        <v>358</v>
      </c>
      <c r="AA599" t="s">
        <v>83</v>
      </c>
      <c r="AC599" t="s">
        <v>3942</v>
      </c>
      <c r="AD599" t="s">
        <v>254</v>
      </c>
      <c r="AF599" t="s">
        <v>4054</v>
      </c>
      <c r="AH599" t="s">
        <v>3510</v>
      </c>
      <c r="AJ599" t="s">
        <v>3942</v>
      </c>
      <c r="AL599" t="s">
        <v>4089</v>
      </c>
      <c r="AM599" t="s">
        <v>2230</v>
      </c>
      <c r="AO599">
        <v>944.38</v>
      </c>
      <c r="AQ599">
        <v>31</v>
      </c>
      <c r="AS599" t="s">
        <v>4113</v>
      </c>
      <c r="AU599" t="s">
        <v>4128</v>
      </c>
      <c r="AW599">
        <v>15</v>
      </c>
      <c r="AY599" t="s">
        <v>4140</v>
      </c>
      <c r="BA599" t="s">
        <v>4149</v>
      </c>
      <c r="BC599" t="s">
        <v>4155</v>
      </c>
      <c r="BF599" t="s">
        <v>4281</v>
      </c>
      <c r="BG599" t="s">
        <v>4128</v>
      </c>
      <c r="BM599" t="s">
        <v>4627</v>
      </c>
    </row>
    <row r="600" spans="1:65">
      <c r="A600" s="1">
        <f>HYPERLINK("https://lsnyc.legalserver.org/matter/dynamic-profile/view/1837027","17-1837027")</f>
        <v>0</v>
      </c>
      <c r="B600" t="s">
        <v>83</v>
      </c>
      <c r="C600" t="s">
        <v>93</v>
      </c>
      <c r="D600" t="s">
        <v>305</v>
      </c>
      <c r="F600" t="s">
        <v>617</v>
      </c>
      <c r="G600" t="s">
        <v>1149</v>
      </c>
      <c r="H600" t="s">
        <v>1681</v>
      </c>
      <c r="I600" t="s">
        <v>1933</v>
      </c>
      <c r="J600" t="s">
        <v>2205</v>
      </c>
      <c r="K600">
        <v>11212</v>
      </c>
      <c r="N600" t="s">
        <v>2233</v>
      </c>
      <c r="O600" t="s">
        <v>2398</v>
      </c>
      <c r="Q600" t="s">
        <v>3072</v>
      </c>
      <c r="R600">
        <v>1</v>
      </c>
      <c r="S600">
        <v>0</v>
      </c>
      <c r="T600">
        <v>74.53</v>
      </c>
      <c r="W600">
        <v>8988</v>
      </c>
      <c r="Y600">
        <v>8.949999999999999</v>
      </c>
      <c r="Z600" t="s">
        <v>361</v>
      </c>
      <c r="AA600" t="s">
        <v>3903</v>
      </c>
      <c r="AC600" t="s">
        <v>3942</v>
      </c>
      <c r="AD600" t="s">
        <v>339</v>
      </c>
      <c r="AF600" t="s">
        <v>4054</v>
      </c>
      <c r="AH600" t="s">
        <v>4080</v>
      </c>
      <c r="AJ600" t="s">
        <v>3942</v>
      </c>
      <c r="AK600" t="s">
        <v>4084</v>
      </c>
      <c r="AM600" t="s">
        <v>2230</v>
      </c>
      <c r="AO600">
        <v>1577</v>
      </c>
      <c r="AQ600">
        <v>6</v>
      </c>
      <c r="AS600" t="s">
        <v>4113</v>
      </c>
      <c r="AU600" t="s">
        <v>4070</v>
      </c>
      <c r="AW600">
        <v>18</v>
      </c>
      <c r="AY600" t="s">
        <v>4140</v>
      </c>
      <c r="BB600" t="s">
        <v>4154</v>
      </c>
      <c r="BE600" t="s">
        <v>4203</v>
      </c>
      <c r="BF600" t="s">
        <v>4281</v>
      </c>
      <c r="BK600" t="s">
        <v>4624</v>
      </c>
      <c r="BM600" t="s">
        <v>4627</v>
      </c>
    </row>
    <row r="601" spans="1:65">
      <c r="A601" s="1">
        <f>HYPERLINK("https://lsnyc.legalserver.org/matter/dynamic-profile/view/1915832","19-1915832")</f>
        <v>0</v>
      </c>
      <c r="B601" t="s">
        <v>83</v>
      </c>
      <c r="C601" t="s">
        <v>93</v>
      </c>
      <c r="D601" t="s">
        <v>135</v>
      </c>
      <c r="F601" t="s">
        <v>785</v>
      </c>
      <c r="G601" t="s">
        <v>1325</v>
      </c>
      <c r="H601" t="s">
        <v>1582</v>
      </c>
      <c r="I601">
        <v>1</v>
      </c>
      <c r="J601" t="s">
        <v>2205</v>
      </c>
      <c r="K601">
        <v>11213</v>
      </c>
      <c r="N601" t="s">
        <v>2233</v>
      </c>
      <c r="O601" t="s">
        <v>2614</v>
      </c>
      <c r="Q601" t="s">
        <v>3208</v>
      </c>
      <c r="R601">
        <v>3</v>
      </c>
      <c r="S601">
        <v>2</v>
      </c>
      <c r="T601">
        <v>0</v>
      </c>
      <c r="W601">
        <v>0</v>
      </c>
      <c r="Y601">
        <v>2.5</v>
      </c>
      <c r="Z601" t="s">
        <v>135</v>
      </c>
      <c r="AA601" t="s">
        <v>83</v>
      </c>
      <c r="AC601" t="s">
        <v>3942</v>
      </c>
      <c r="AD601" t="s">
        <v>135</v>
      </c>
      <c r="AF601" t="s">
        <v>4054</v>
      </c>
      <c r="AH601" t="s">
        <v>3510</v>
      </c>
      <c r="AJ601" t="s">
        <v>3942</v>
      </c>
      <c r="AL601" t="s">
        <v>4089</v>
      </c>
      <c r="AM601" t="s">
        <v>2230</v>
      </c>
      <c r="AO601">
        <v>1016.93</v>
      </c>
      <c r="AQ601">
        <v>31</v>
      </c>
      <c r="AS601" t="s">
        <v>4113</v>
      </c>
      <c r="AT601" t="s">
        <v>4127</v>
      </c>
      <c r="AW601">
        <v>15</v>
      </c>
      <c r="AY601" t="s">
        <v>4140</v>
      </c>
      <c r="BC601" t="s">
        <v>4155</v>
      </c>
      <c r="BF601" t="s">
        <v>4281</v>
      </c>
      <c r="BM601" t="s">
        <v>4627</v>
      </c>
    </row>
    <row r="602" spans="1:65">
      <c r="A602" s="1">
        <f>HYPERLINK("https://lsnyc.legalserver.org/matter/dynamic-profile/view/1914921","19-1914921")</f>
        <v>0</v>
      </c>
      <c r="B602" t="s">
        <v>83</v>
      </c>
      <c r="C602" t="s">
        <v>93</v>
      </c>
      <c r="D602" t="s">
        <v>357</v>
      </c>
      <c r="F602" t="s">
        <v>512</v>
      </c>
      <c r="G602" t="s">
        <v>1045</v>
      </c>
      <c r="H602" t="s">
        <v>1582</v>
      </c>
      <c r="I602">
        <v>42</v>
      </c>
      <c r="J602" t="s">
        <v>2205</v>
      </c>
      <c r="K602">
        <v>11213</v>
      </c>
      <c r="N602" t="s">
        <v>2233</v>
      </c>
      <c r="O602" t="s">
        <v>2277</v>
      </c>
      <c r="Q602" t="s">
        <v>2961</v>
      </c>
      <c r="R602">
        <v>3</v>
      </c>
      <c r="S602">
        <v>1</v>
      </c>
      <c r="T602">
        <v>100.97</v>
      </c>
      <c r="W602">
        <v>26000</v>
      </c>
      <c r="Y602">
        <v>0</v>
      </c>
      <c r="AA602" t="s">
        <v>90</v>
      </c>
      <c r="AC602" t="s">
        <v>3942</v>
      </c>
      <c r="AD602" t="s">
        <v>3958</v>
      </c>
      <c r="AF602" t="s">
        <v>4062</v>
      </c>
      <c r="AH602" t="s">
        <v>4076</v>
      </c>
      <c r="AJ602" t="s">
        <v>3942</v>
      </c>
      <c r="AL602" t="s">
        <v>4087</v>
      </c>
      <c r="AM602" t="s">
        <v>2230</v>
      </c>
      <c r="AO602">
        <v>950</v>
      </c>
      <c r="AQ602">
        <v>31</v>
      </c>
      <c r="AS602" t="s">
        <v>4113</v>
      </c>
      <c r="AU602" t="s">
        <v>4128</v>
      </c>
      <c r="AW602">
        <v>18</v>
      </c>
      <c r="AY602" t="s">
        <v>4140</v>
      </c>
      <c r="BA602" t="s">
        <v>4149</v>
      </c>
      <c r="BC602" t="s">
        <v>4155</v>
      </c>
      <c r="BE602" t="s">
        <v>4128</v>
      </c>
      <c r="BF602" t="s">
        <v>4281</v>
      </c>
      <c r="BG602" t="s">
        <v>4388</v>
      </c>
      <c r="BM602" t="s">
        <v>4627</v>
      </c>
    </row>
    <row r="603" spans="1:65">
      <c r="A603" s="1">
        <f>HYPERLINK("https://lsnyc.legalserver.org/matter/dynamic-profile/view/1914892","19-1914892")</f>
        <v>0</v>
      </c>
      <c r="B603" t="s">
        <v>83</v>
      </c>
      <c r="C603" t="s">
        <v>93</v>
      </c>
      <c r="D603" t="s">
        <v>357</v>
      </c>
      <c r="F603" t="s">
        <v>784</v>
      </c>
      <c r="G603" t="s">
        <v>927</v>
      </c>
      <c r="H603" t="s">
        <v>1582</v>
      </c>
      <c r="I603">
        <v>31</v>
      </c>
      <c r="J603" t="s">
        <v>2205</v>
      </c>
      <c r="K603">
        <v>11213</v>
      </c>
      <c r="N603" t="s">
        <v>2233</v>
      </c>
      <c r="O603" t="s">
        <v>2613</v>
      </c>
      <c r="Q603" t="s">
        <v>3256</v>
      </c>
      <c r="R603">
        <v>2</v>
      </c>
      <c r="S603">
        <v>0</v>
      </c>
      <c r="T603">
        <v>786.52</v>
      </c>
      <c r="V603" t="s">
        <v>3458</v>
      </c>
      <c r="W603">
        <v>133000</v>
      </c>
      <c r="X603" t="s">
        <v>3602</v>
      </c>
      <c r="Y603">
        <v>0</v>
      </c>
      <c r="AA603" t="s">
        <v>90</v>
      </c>
      <c r="AC603" t="s">
        <v>3942</v>
      </c>
      <c r="AF603" t="s">
        <v>4062</v>
      </c>
      <c r="AH603" t="s">
        <v>4076</v>
      </c>
      <c r="AJ603" t="s">
        <v>3942</v>
      </c>
      <c r="AL603" t="s">
        <v>4089</v>
      </c>
      <c r="AM603" t="s">
        <v>2230</v>
      </c>
      <c r="AO603">
        <v>944.38</v>
      </c>
      <c r="AQ603">
        <v>31</v>
      </c>
      <c r="AS603" t="s">
        <v>4113</v>
      </c>
      <c r="AU603" t="s">
        <v>4128</v>
      </c>
      <c r="AW603">
        <v>15</v>
      </c>
      <c r="AY603" t="s">
        <v>4140</v>
      </c>
      <c r="BA603" t="s">
        <v>4149</v>
      </c>
      <c r="BC603" t="s">
        <v>4155</v>
      </c>
      <c r="BE603" t="s">
        <v>4159</v>
      </c>
      <c r="BF603" t="s">
        <v>4281</v>
      </c>
      <c r="BG603" t="s">
        <v>4388</v>
      </c>
      <c r="BM603" t="s">
        <v>4627</v>
      </c>
    </row>
    <row r="604" spans="1:65">
      <c r="A604" s="1">
        <f>HYPERLINK("https://lsnyc.legalserver.org/matter/dynamic-profile/view/1914793","19-1914793")</f>
        <v>0</v>
      </c>
      <c r="B604" t="s">
        <v>83</v>
      </c>
      <c r="C604" t="s">
        <v>93</v>
      </c>
      <c r="D604" t="s">
        <v>173</v>
      </c>
      <c r="F604" t="s">
        <v>786</v>
      </c>
      <c r="G604" t="s">
        <v>1326</v>
      </c>
      <c r="H604" t="s">
        <v>1582</v>
      </c>
      <c r="I604">
        <v>34</v>
      </c>
      <c r="J604" t="s">
        <v>2205</v>
      </c>
      <c r="K604">
        <v>11213</v>
      </c>
      <c r="N604" t="s">
        <v>2233</v>
      </c>
      <c r="O604" t="s">
        <v>2615</v>
      </c>
      <c r="Q604" t="s">
        <v>3257</v>
      </c>
      <c r="R604">
        <v>2</v>
      </c>
      <c r="S604">
        <v>2</v>
      </c>
      <c r="T604">
        <v>124.75</v>
      </c>
      <c r="W604">
        <v>32124</v>
      </c>
      <c r="Y604">
        <v>0</v>
      </c>
      <c r="AA604" t="s">
        <v>90</v>
      </c>
      <c r="AC604" t="s">
        <v>3942</v>
      </c>
      <c r="AD604" t="s">
        <v>3958</v>
      </c>
      <c r="AF604" t="s">
        <v>4062</v>
      </c>
      <c r="AH604" t="s">
        <v>4076</v>
      </c>
      <c r="AJ604" t="s">
        <v>3942</v>
      </c>
      <c r="AL604" t="s">
        <v>4087</v>
      </c>
      <c r="AM604" t="s">
        <v>2230</v>
      </c>
      <c r="AO604">
        <v>881.67</v>
      </c>
      <c r="AQ604">
        <v>31</v>
      </c>
      <c r="AS604" t="s">
        <v>4113</v>
      </c>
      <c r="AU604" t="s">
        <v>4128</v>
      </c>
      <c r="AW604">
        <v>17</v>
      </c>
      <c r="AY604" t="s">
        <v>4140</v>
      </c>
      <c r="BA604" t="s">
        <v>4149</v>
      </c>
      <c r="BC604" t="s">
        <v>4155</v>
      </c>
      <c r="BE604" t="s">
        <v>4128</v>
      </c>
      <c r="BF604" t="s">
        <v>4281</v>
      </c>
      <c r="BG604" t="s">
        <v>4388</v>
      </c>
      <c r="BM604" t="s">
        <v>4627</v>
      </c>
    </row>
    <row r="605" spans="1:65">
      <c r="A605" s="1">
        <f>HYPERLINK("https://lsnyc.legalserver.org/matter/dynamic-profile/view/1913154","19-1913154")</f>
        <v>0</v>
      </c>
      <c r="B605" t="s">
        <v>83</v>
      </c>
      <c r="C605" t="s">
        <v>93</v>
      </c>
      <c r="D605" t="s">
        <v>359</v>
      </c>
      <c r="F605" t="s">
        <v>754</v>
      </c>
      <c r="G605" t="s">
        <v>1327</v>
      </c>
      <c r="H605" t="s">
        <v>1577</v>
      </c>
      <c r="I605" t="s">
        <v>2058</v>
      </c>
      <c r="J605" t="s">
        <v>2205</v>
      </c>
      <c r="K605">
        <v>11233</v>
      </c>
      <c r="N605" t="s">
        <v>2233</v>
      </c>
      <c r="O605" t="s">
        <v>2616</v>
      </c>
      <c r="Q605" t="s">
        <v>3258</v>
      </c>
      <c r="R605">
        <v>1</v>
      </c>
      <c r="S605">
        <v>2</v>
      </c>
      <c r="T605">
        <v>108.24</v>
      </c>
      <c r="W605">
        <v>23088</v>
      </c>
      <c r="Y605">
        <v>6.8</v>
      </c>
      <c r="Z605" t="s">
        <v>359</v>
      </c>
      <c r="AA605" t="s">
        <v>83</v>
      </c>
      <c r="AC605" t="s">
        <v>3942</v>
      </c>
      <c r="AD605" t="s">
        <v>213</v>
      </c>
      <c r="AF605" t="s">
        <v>4054</v>
      </c>
      <c r="AH605" t="s">
        <v>4080</v>
      </c>
      <c r="AJ605" t="s">
        <v>3943</v>
      </c>
      <c r="AL605" t="s">
        <v>4086</v>
      </c>
      <c r="AM605" t="s">
        <v>2230</v>
      </c>
      <c r="AO605">
        <v>967.78</v>
      </c>
      <c r="AQ605">
        <v>359</v>
      </c>
      <c r="AS605" t="s">
        <v>4113</v>
      </c>
      <c r="AT605" t="s">
        <v>4127</v>
      </c>
      <c r="AV605" t="s">
        <v>4137</v>
      </c>
      <c r="AW605">
        <v>0</v>
      </c>
      <c r="AY605" t="s">
        <v>4140</v>
      </c>
      <c r="BC605" t="s">
        <v>4155</v>
      </c>
      <c r="BD605" t="s">
        <v>4157</v>
      </c>
      <c r="BE605" t="s">
        <v>4228</v>
      </c>
      <c r="BF605" t="s">
        <v>4281</v>
      </c>
      <c r="BM605" t="s">
        <v>4627</v>
      </c>
    </row>
    <row r="606" spans="1:65">
      <c r="A606" s="1">
        <f>HYPERLINK("https://lsnyc.legalserver.org/matter/dynamic-profile/view/1914702","19-1914702")</f>
        <v>0</v>
      </c>
      <c r="B606" t="s">
        <v>83</v>
      </c>
      <c r="C606" t="s">
        <v>93</v>
      </c>
      <c r="D606" t="s">
        <v>116</v>
      </c>
      <c r="F606" t="s">
        <v>787</v>
      </c>
      <c r="G606" t="s">
        <v>834</v>
      </c>
      <c r="H606" t="s">
        <v>1582</v>
      </c>
      <c r="I606">
        <v>41</v>
      </c>
      <c r="J606" t="s">
        <v>2205</v>
      </c>
      <c r="K606">
        <v>11213</v>
      </c>
      <c r="N606" t="s">
        <v>2233</v>
      </c>
      <c r="O606" t="s">
        <v>2617</v>
      </c>
      <c r="Q606" t="s">
        <v>3259</v>
      </c>
      <c r="R606">
        <v>2</v>
      </c>
      <c r="S606">
        <v>0</v>
      </c>
      <c r="T606">
        <v>80.76000000000001</v>
      </c>
      <c r="W606">
        <v>13656</v>
      </c>
      <c r="Y606">
        <v>0</v>
      </c>
      <c r="AA606" t="s">
        <v>90</v>
      </c>
      <c r="AC606" t="s">
        <v>3942</v>
      </c>
      <c r="AD606" t="s">
        <v>3958</v>
      </c>
      <c r="AF606" t="s">
        <v>4062</v>
      </c>
      <c r="AH606" t="s">
        <v>4076</v>
      </c>
      <c r="AJ606" t="s">
        <v>3942</v>
      </c>
      <c r="AL606" t="s">
        <v>4089</v>
      </c>
      <c r="AM606" t="s">
        <v>2230</v>
      </c>
      <c r="AO606">
        <v>739.64</v>
      </c>
      <c r="AQ606">
        <v>31</v>
      </c>
      <c r="AS606" t="s">
        <v>4113</v>
      </c>
      <c r="AU606" t="s">
        <v>4128</v>
      </c>
      <c r="AW606">
        <v>35</v>
      </c>
      <c r="AY606" t="s">
        <v>4140</v>
      </c>
      <c r="BA606" t="s">
        <v>4149</v>
      </c>
      <c r="BC606" t="s">
        <v>4155</v>
      </c>
      <c r="BE606">
        <v>109154905</v>
      </c>
      <c r="BF606" t="s">
        <v>4281</v>
      </c>
      <c r="BG606" t="s">
        <v>4355</v>
      </c>
      <c r="BM606" t="s">
        <v>4627</v>
      </c>
    </row>
    <row r="607" spans="1:65">
      <c r="A607" s="1">
        <f>HYPERLINK("https://lsnyc.legalserver.org/matter/dynamic-profile/view/1913581","19-1913581")</f>
        <v>0</v>
      </c>
      <c r="B607" t="s">
        <v>83</v>
      </c>
      <c r="C607" t="s">
        <v>93</v>
      </c>
      <c r="D607" t="s">
        <v>98</v>
      </c>
      <c r="F607" t="s">
        <v>788</v>
      </c>
      <c r="G607" t="s">
        <v>1328</v>
      </c>
      <c r="H607" t="s">
        <v>1582</v>
      </c>
      <c r="I607">
        <v>5</v>
      </c>
      <c r="J607" t="s">
        <v>2205</v>
      </c>
      <c r="K607">
        <v>11213</v>
      </c>
      <c r="N607" t="s">
        <v>2233</v>
      </c>
      <c r="O607" t="s">
        <v>2618</v>
      </c>
      <c r="Q607" t="s">
        <v>3208</v>
      </c>
      <c r="R607">
        <v>2</v>
      </c>
      <c r="S607">
        <v>1</v>
      </c>
      <c r="T607">
        <v>67.51000000000001</v>
      </c>
      <c r="W607">
        <v>14400</v>
      </c>
      <c r="Y607">
        <v>1.5</v>
      </c>
      <c r="Z607" t="s">
        <v>98</v>
      </c>
      <c r="AA607" t="s">
        <v>83</v>
      </c>
      <c r="AC607" t="s">
        <v>3942</v>
      </c>
      <c r="AD607" t="s">
        <v>98</v>
      </c>
      <c r="AF607" t="s">
        <v>4054</v>
      </c>
      <c r="AH607" t="s">
        <v>3510</v>
      </c>
      <c r="AJ607" t="s">
        <v>3942</v>
      </c>
      <c r="AL607" t="s">
        <v>4089</v>
      </c>
      <c r="AM607" t="s">
        <v>2230</v>
      </c>
      <c r="AO607">
        <v>785.95</v>
      </c>
      <c r="AQ607">
        <v>31</v>
      </c>
      <c r="AS607" t="s">
        <v>4113</v>
      </c>
      <c r="AT607" t="s">
        <v>4127</v>
      </c>
      <c r="AW607">
        <v>23</v>
      </c>
      <c r="AY607" t="s">
        <v>4140</v>
      </c>
      <c r="BC607" t="s">
        <v>4155</v>
      </c>
      <c r="BF607" t="s">
        <v>4281</v>
      </c>
      <c r="BG607" t="s">
        <v>4128</v>
      </c>
      <c r="BM607" t="s">
        <v>4627</v>
      </c>
    </row>
    <row r="608" spans="1:65">
      <c r="A608" s="1">
        <f>HYPERLINK("https://lsnyc.legalserver.org/matter/dynamic-profile/view/1911969","19-1911969")</f>
        <v>0</v>
      </c>
      <c r="B608" t="s">
        <v>84</v>
      </c>
      <c r="C608" t="s">
        <v>93</v>
      </c>
      <c r="D608" t="s">
        <v>137</v>
      </c>
      <c r="E608" t="s">
        <v>122</v>
      </c>
      <c r="F608" t="s">
        <v>789</v>
      </c>
      <c r="G608" t="s">
        <v>1329</v>
      </c>
      <c r="H608" t="s">
        <v>1767</v>
      </c>
      <c r="J608" t="s">
        <v>2205</v>
      </c>
      <c r="K608">
        <v>11233</v>
      </c>
      <c r="L608" t="s">
        <v>2224</v>
      </c>
      <c r="N608" t="s">
        <v>2233</v>
      </c>
      <c r="O608" t="s">
        <v>2619</v>
      </c>
      <c r="Q608" t="s">
        <v>3260</v>
      </c>
      <c r="R608">
        <v>1</v>
      </c>
      <c r="S608">
        <v>0</v>
      </c>
      <c r="T608">
        <v>9.609999999999999</v>
      </c>
      <c r="W608">
        <v>1200</v>
      </c>
      <c r="Y608">
        <v>3.5</v>
      </c>
      <c r="Z608" t="s">
        <v>156</v>
      </c>
      <c r="AA608" t="s">
        <v>3903</v>
      </c>
      <c r="AC608" t="s">
        <v>3942</v>
      </c>
      <c r="AF608" t="s">
        <v>4050</v>
      </c>
      <c r="AH608" t="s">
        <v>4079</v>
      </c>
      <c r="AJ608" t="s">
        <v>3943</v>
      </c>
      <c r="AL608" t="s">
        <v>4070</v>
      </c>
      <c r="AM608" t="s">
        <v>2230</v>
      </c>
      <c r="AN608" t="s">
        <v>4107</v>
      </c>
      <c r="AO608">
        <v>0</v>
      </c>
      <c r="AQ608">
        <v>2</v>
      </c>
      <c r="AS608" t="s">
        <v>4114</v>
      </c>
      <c r="AU608" t="s">
        <v>4128</v>
      </c>
      <c r="AV608" t="s">
        <v>4137</v>
      </c>
      <c r="AW608">
        <v>0</v>
      </c>
      <c r="AY608" t="s">
        <v>4140</v>
      </c>
      <c r="AZ608" t="s">
        <v>4148</v>
      </c>
      <c r="BC608" t="s">
        <v>4155</v>
      </c>
      <c r="BG608" t="s">
        <v>4486</v>
      </c>
      <c r="BM608" t="s">
        <v>4628</v>
      </c>
    </row>
    <row r="609" spans="1:67">
      <c r="A609" s="1">
        <f>HYPERLINK("https://lsnyc.legalserver.org/matter/dynamic-profile/view/0803557","16-0803557")</f>
        <v>0</v>
      </c>
      <c r="B609" t="s">
        <v>84</v>
      </c>
      <c r="C609" t="s">
        <v>93</v>
      </c>
      <c r="D609" t="s">
        <v>362</v>
      </c>
      <c r="E609" t="s">
        <v>357</v>
      </c>
      <c r="F609" t="s">
        <v>790</v>
      </c>
      <c r="G609" t="s">
        <v>1330</v>
      </c>
      <c r="H609" t="s">
        <v>1768</v>
      </c>
      <c r="I609" t="s">
        <v>1930</v>
      </c>
      <c r="J609" t="s">
        <v>2205</v>
      </c>
      <c r="K609">
        <v>11207</v>
      </c>
      <c r="L609" t="s">
        <v>2223</v>
      </c>
      <c r="N609" t="s">
        <v>2233</v>
      </c>
      <c r="O609" t="s">
        <v>2620</v>
      </c>
      <c r="Q609" t="s">
        <v>3261</v>
      </c>
      <c r="R609">
        <v>2</v>
      </c>
      <c r="S609">
        <v>0</v>
      </c>
      <c r="T609">
        <v>27.27</v>
      </c>
      <c r="W609">
        <v>4368</v>
      </c>
      <c r="Y609">
        <v>17</v>
      </c>
      <c r="Z609" t="s">
        <v>3869</v>
      </c>
      <c r="AA609" t="s">
        <v>88</v>
      </c>
      <c r="AB609" t="s">
        <v>3940</v>
      </c>
      <c r="AC609" t="s">
        <v>3944</v>
      </c>
      <c r="AD609" t="s">
        <v>362</v>
      </c>
      <c r="AF609" t="s">
        <v>4053</v>
      </c>
      <c r="AH609" t="s">
        <v>4076</v>
      </c>
      <c r="AI609" t="s">
        <v>4082</v>
      </c>
      <c r="AL609" t="s">
        <v>4086</v>
      </c>
      <c r="AM609" t="s">
        <v>2230</v>
      </c>
      <c r="AO609">
        <v>562</v>
      </c>
      <c r="AQ609">
        <v>3</v>
      </c>
      <c r="AR609" t="s">
        <v>4112</v>
      </c>
      <c r="AU609" t="s">
        <v>4070</v>
      </c>
      <c r="AW609">
        <v>21</v>
      </c>
      <c r="AY609" t="s">
        <v>4141</v>
      </c>
      <c r="BB609" t="s">
        <v>4154</v>
      </c>
      <c r="BG609" t="s">
        <v>4487</v>
      </c>
      <c r="BH609" t="s">
        <v>4619</v>
      </c>
      <c r="BJ609" t="s">
        <v>4622</v>
      </c>
      <c r="BL609" t="s">
        <v>4626</v>
      </c>
      <c r="BM609" t="s">
        <v>4628</v>
      </c>
    </row>
    <row r="610" spans="1:67">
      <c r="A610" s="1">
        <f>HYPERLINK("https://lsnyc.legalserver.org/matter/dynamic-profile/view/1900382","19-1900382")</f>
        <v>0</v>
      </c>
      <c r="B610" t="s">
        <v>84</v>
      </c>
      <c r="C610" t="s">
        <v>93</v>
      </c>
      <c r="D610" t="s">
        <v>363</v>
      </c>
      <c r="F610" t="s">
        <v>486</v>
      </c>
      <c r="G610" t="s">
        <v>1331</v>
      </c>
      <c r="H610" t="s">
        <v>1769</v>
      </c>
      <c r="I610" t="s">
        <v>1940</v>
      </c>
      <c r="J610" t="s">
        <v>2205</v>
      </c>
      <c r="K610">
        <v>11212</v>
      </c>
      <c r="N610" t="s">
        <v>2233</v>
      </c>
      <c r="O610" t="s">
        <v>2621</v>
      </c>
      <c r="Q610" t="s">
        <v>3262</v>
      </c>
      <c r="R610">
        <v>1</v>
      </c>
      <c r="S610">
        <v>0</v>
      </c>
      <c r="T610">
        <v>156.41</v>
      </c>
      <c r="W610">
        <v>19536</v>
      </c>
      <c r="Y610">
        <v>7.5</v>
      </c>
      <c r="Z610" t="s">
        <v>122</v>
      </c>
      <c r="AA610" t="s">
        <v>90</v>
      </c>
      <c r="AC610" t="s">
        <v>3942</v>
      </c>
      <c r="AD610" t="s">
        <v>439</v>
      </c>
      <c r="AF610" t="s">
        <v>4050</v>
      </c>
      <c r="AH610" t="s">
        <v>3510</v>
      </c>
      <c r="AJ610" t="s">
        <v>3943</v>
      </c>
      <c r="AL610" t="s">
        <v>4099</v>
      </c>
      <c r="AM610" t="s">
        <v>2230</v>
      </c>
      <c r="AO610">
        <v>1400</v>
      </c>
      <c r="AQ610">
        <v>4</v>
      </c>
      <c r="AS610" t="s">
        <v>4114</v>
      </c>
      <c r="AU610" t="s">
        <v>4128</v>
      </c>
      <c r="AW610">
        <v>16</v>
      </c>
      <c r="AY610" t="s">
        <v>4140</v>
      </c>
      <c r="BA610" t="s">
        <v>4149</v>
      </c>
      <c r="BC610" t="s">
        <v>4155</v>
      </c>
      <c r="BE610" t="s">
        <v>4128</v>
      </c>
      <c r="BF610" t="s">
        <v>4281</v>
      </c>
      <c r="BG610" t="s">
        <v>4128</v>
      </c>
      <c r="BM610" t="s">
        <v>4627</v>
      </c>
    </row>
    <row r="611" spans="1:67">
      <c r="A611" s="1">
        <f>HYPERLINK("https://lsnyc.legalserver.org/matter/dynamic-profile/view/1909768","19-1909768")</f>
        <v>0</v>
      </c>
      <c r="B611" t="s">
        <v>84</v>
      </c>
      <c r="C611" t="s">
        <v>93</v>
      </c>
      <c r="D611" t="s">
        <v>364</v>
      </c>
      <c r="F611" t="s">
        <v>791</v>
      </c>
      <c r="G611" t="s">
        <v>1048</v>
      </c>
      <c r="H611" t="s">
        <v>1770</v>
      </c>
      <c r="I611" t="s">
        <v>1927</v>
      </c>
      <c r="J611" t="s">
        <v>2205</v>
      </c>
      <c r="K611">
        <v>11207</v>
      </c>
      <c r="N611" t="s">
        <v>2233</v>
      </c>
      <c r="O611" t="s">
        <v>2622</v>
      </c>
      <c r="Q611" t="s">
        <v>3263</v>
      </c>
      <c r="R611">
        <v>2</v>
      </c>
      <c r="S611">
        <v>3</v>
      </c>
      <c r="T611">
        <v>180.97</v>
      </c>
      <c r="W611">
        <v>54600</v>
      </c>
      <c r="Y611">
        <v>7.4</v>
      </c>
      <c r="Z611" t="s">
        <v>135</v>
      </c>
      <c r="AA611" t="s">
        <v>90</v>
      </c>
      <c r="AB611" t="s">
        <v>3940</v>
      </c>
      <c r="AC611" t="s">
        <v>3943</v>
      </c>
      <c r="AF611" t="s">
        <v>4053</v>
      </c>
      <c r="AH611" t="s">
        <v>4076</v>
      </c>
      <c r="AJ611" t="s">
        <v>3943</v>
      </c>
      <c r="AL611" t="s">
        <v>4086</v>
      </c>
      <c r="AM611" t="s">
        <v>2230</v>
      </c>
      <c r="AO611">
        <v>1300</v>
      </c>
      <c r="AQ611">
        <v>6</v>
      </c>
      <c r="AS611" t="s">
        <v>4113</v>
      </c>
      <c r="AU611" t="s">
        <v>4128</v>
      </c>
      <c r="AW611">
        <v>3</v>
      </c>
      <c r="AY611" t="s">
        <v>4140</v>
      </c>
      <c r="BA611" t="s">
        <v>4149</v>
      </c>
      <c r="BB611" t="s">
        <v>4154</v>
      </c>
      <c r="BC611" t="s">
        <v>4128</v>
      </c>
      <c r="BE611" t="s">
        <v>4159</v>
      </c>
      <c r="BG611" t="s">
        <v>4488</v>
      </c>
      <c r="BM611" t="s">
        <v>4627</v>
      </c>
    </row>
    <row r="612" spans="1:67">
      <c r="A612" s="1">
        <f>HYPERLINK("https://lsnyc.legalserver.org/matter/dynamic-profile/view/1876894","18-1876894")</f>
        <v>0</v>
      </c>
      <c r="B612" t="s">
        <v>84</v>
      </c>
      <c r="C612" t="s">
        <v>93</v>
      </c>
      <c r="D612" t="s">
        <v>365</v>
      </c>
      <c r="E612" t="s">
        <v>136</v>
      </c>
      <c r="F612" t="s">
        <v>792</v>
      </c>
      <c r="G612" t="s">
        <v>1332</v>
      </c>
      <c r="H612" t="s">
        <v>1771</v>
      </c>
      <c r="I612" t="s">
        <v>1922</v>
      </c>
      <c r="J612" t="s">
        <v>2205</v>
      </c>
      <c r="K612">
        <v>11207</v>
      </c>
      <c r="L612" t="s">
        <v>2223</v>
      </c>
      <c r="N612" t="s">
        <v>2233</v>
      </c>
      <c r="O612" t="s">
        <v>2623</v>
      </c>
      <c r="Q612" t="s">
        <v>3264</v>
      </c>
      <c r="R612">
        <v>2</v>
      </c>
      <c r="S612">
        <v>0</v>
      </c>
      <c r="T612">
        <v>194.41</v>
      </c>
      <c r="W612">
        <v>32000</v>
      </c>
      <c r="Y612">
        <v>91.3</v>
      </c>
      <c r="Z612" t="s">
        <v>110</v>
      </c>
      <c r="AA612" t="s">
        <v>3908</v>
      </c>
      <c r="AC612" t="s">
        <v>3942</v>
      </c>
      <c r="AD612" t="s">
        <v>239</v>
      </c>
      <c r="AF612" t="s">
        <v>4058</v>
      </c>
      <c r="AH612" t="s">
        <v>4076</v>
      </c>
      <c r="AI612" t="s">
        <v>4082</v>
      </c>
      <c r="AL612" t="s">
        <v>4099</v>
      </c>
      <c r="AM612" t="s">
        <v>2230</v>
      </c>
      <c r="AO612">
        <v>1100</v>
      </c>
      <c r="AQ612">
        <v>6</v>
      </c>
      <c r="AS612" t="s">
        <v>4120</v>
      </c>
      <c r="AU612" t="s">
        <v>4129</v>
      </c>
      <c r="AV612" t="s">
        <v>4138</v>
      </c>
      <c r="AW612">
        <v>-8</v>
      </c>
      <c r="AY612" t="s">
        <v>4140</v>
      </c>
      <c r="BC612" t="s">
        <v>4156</v>
      </c>
      <c r="BE612" t="s">
        <v>4229</v>
      </c>
      <c r="BG612" t="s">
        <v>4489</v>
      </c>
      <c r="BI612" t="s">
        <v>4621</v>
      </c>
      <c r="BK612" t="s">
        <v>4070</v>
      </c>
      <c r="BM612" t="s">
        <v>4628</v>
      </c>
      <c r="BN612" t="s">
        <v>4629</v>
      </c>
      <c r="BO612" t="s">
        <v>4637</v>
      </c>
    </row>
    <row r="613" spans="1:67">
      <c r="A613" s="1">
        <f>HYPERLINK("https://lsnyc.legalserver.org/matter/dynamic-profile/view/0831758","17-0831758")</f>
        <v>0</v>
      </c>
      <c r="B613" t="s">
        <v>84</v>
      </c>
      <c r="C613" t="s">
        <v>93</v>
      </c>
      <c r="D613" t="s">
        <v>366</v>
      </c>
      <c r="E613" t="s">
        <v>134</v>
      </c>
      <c r="F613" t="s">
        <v>769</v>
      </c>
      <c r="G613" t="s">
        <v>1333</v>
      </c>
      <c r="H613" t="s">
        <v>1772</v>
      </c>
      <c r="I613" t="s">
        <v>1939</v>
      </c>
      <c r="J613" t="s">
        <v>2205</v>
      </c>
      <c r="K613">
        <v>11212</v>
      </c>
      <c r="L613" t="s">
        <v>2223</v>
      </c>
      <c r="N613" t="s">
        <v>2233</v>
      </c>
      <c r="O613" t="s">
        <v>2624</v>
      </c>
      <c r="Q613" t="s">
        <v>3265</v>
      </c>
      <c r="R613">
        <v>1</v>
      </c>
      <c r="S613">
        <v>0</v>
      </c>
      <c r="T613">
        <v>155.22</v>
      </c>
      <c r="W613">
        <v>18720</v>
      </c>
      <c r="X613" t="s">
        <v>3606</v>
      </c>
      <c r="Y613">
        <v>32.06</v>
      </c>
      <c r="Z613" t="s">
        <v>3870</v>
      </c>
      <c r="AA613" t="s">
        <v>3897</v>
      </c>
      <c r="AC613" t="s">
        <v>3942</v>
      </c>
      <c r="AD613" t="s">
        <v>305</v>
      </c>
      <c r="AF613" t="s">
        <v>4053</v>
      </c>
      <c r="AH613" t="s">
        <v>4076</v>
      </c>
      <c r="AJ613" t="s">
        <v>3943</v>
      </c>
      <c r="AL613" t="s">
        <v>4086</v>
      </c>
      <c r="AM613" t="s">
        <v>2230</v>
      </c>
      <c r="AO613">
        <v>457</v>
      </c>
      <c r="AQ613">
        <v>31</v>
      </c>
      <c r="AS613" t="s">
        <v>4120</v>
      </c>
      <c r="AU613" t="s">
        <v>4136</v>
      </c>
      <c r="AW613">
        <v>40</v>
      </c>
      <c r="AY613" t="s">
        <v>4141</v>
      </c>
      <c r="BA613" t="s">
        <v>4149</v>
      </c>
      <c r="BB613" t="s">
        <v>4154</v>
      </c>
      <c r="BG613" t="s">
        <v>4490</v>
      </c>
      <c r="BH613" t="s">
        <v>4619</v>
      </c>
      <c r="BK613" t="s">
        <v>4625</v>
      </c>
      <c r="BM613" t="s">
        <v>4628</v>
      </c>
      <c r="BN613" t="s">
        <v>4629</v>
      </c>
      <c r="BO613" t="s">
        <v>4638</v>
      </c>
    </row>
    <row r="614" spans="1:67">
      <c r="A614" s="1">
        <f>HYPERLINK("https://lsnyc.legalserver.org/matter/dynamic-profile/view/1881098","18-1881098")</f>
        <v>0</v>
      </c>
      <c r="B614" t="s">
        <v>84</v>
      </c>
      <c r="C614" t="s">
        <v>93</v>
      </c>
      <c r="D614" t="s">
        <v>367</v>
      </c>
      <c r="F614" t="s">
        <v>793</v>
      </c>
      <c r="G614" t="s">
        <v>1111</v>
      </c>
      <c r="H614" t="s">
        <v>1773</v>
      </c>
      <c r="I614" t="s">
        <v>1940</v>
      </c>
      <c r="J614" t="s">
        <v>2205</v>
      </c>
      <c r="K614">
        <v>11208</v>
      </c>
      <c r="N614" t="s">
        <v>2233</v>
      </c>
      <c r="O614" t="s">
        <v>2625</v>
      </c>
      <c r="Q614" t="s">
        <v>3266</v>
      </c>
      <c r="R614">
        <v>1</v>
      </c>
      <c r="S614">
        <v>1</v>
      </c>
      <c r="T614">
        <v>78.98</v>
      </c>
      <c r="W614">
        <v>13000</v>
      </c>
      <c r="Y614">
        <v>24.2</v>
      </c>
      <c r="Z614" t="s">
        <v>122</v>
      </c>
      <c r="AA614" t="s">
        <v>3908</v>
      </c>
      <c r="AC614" t="s">
        <v>3942</v>
      </c>
      <c r="AD614" t="s">
        <v>168</v>
      </c>
      <c r="AF614" t="s">
        <v>4053</v>
      </c>
      <c r="AH614" t="s">
        <v>4076</v>
      </c>
      <c r="AJ614" t="s">
        <v>3943</v>
      </c>
      <c r="AL614" t="s">
        <v>4099</v>
      </c>
      <c r="AM614" t="s">
        <v>2230</v>
      </c>
      <c r="AO614">
        <v>1088</v>
      </c>
      <c r="AQ614">
        <v>6</v>
      </c>
      <c r="AR614" t="s">
        <v>4112</v>
      </c>
      <c r="AU614" t="s">
        <v>4129</v>
      </c>
      <c r="AW614">
        <v>13</v>
      </c>
      <c r="AY614" t="s">
        <v>4140</v>
      </c>
      <c r="BB614" t="s">
        <v>4154</v>
      </c>
      <c r="BE614" t="s">
        <v>4230</v>
      </c>
      <c r="BG614" t="s">
        <v>4491</v>
      </c>
      <c r="BM614" t="s">
        <v>4627</v>
      </c>
    </row>
    <row r="615" spans="1:67">
      <c r="A615" s="1">
        <f>HYPERLINK("https://lsnyc.legalserver.org/matter/dynamic-profile/view/1898591","19-1898591")</f>
        <v>0</v>
      </c>
      <c r="B615" t="s">
        <v>84</v>
      </c>
      <c r="C615" t="s">
        <v>93</v>
      </c>
      <c r="D615" t="s">
        <v>368</v>
      </c>
      <c r="F615" t="s">
        <v>712</v>
      </c>
      <c r="G615" t="s">
        <v>1334</v>
      </c>
      <c r="H615" t="s">
        <v>1774</v>
      </c>
      <c r="I615">
        <v>1</v>
      </c>
      <c r="J615" t="s">
        <v>2205</v>
      </c>
      <c r="K615">
        <v>11207</v>
      </c>
      <c r="N615" t="s">
        <v>2233</v>
      </c>
      <c r="O615" t="s">
        <v>2626</v>
      </c>
      <c r="Q615" t="s">
        <v>3267</v>
      </c>
      <c r="R615">
        <v>2</v>
      </c>
      <c r="S615">
        <v>0</v>
      </c>
      <c r="T615">
        <v>156.12</v>
      </c>
      <c r="W615">
        <v>26400</v>
      </c>
      <c r="Y615">
        <v>14.6</v>
      </c>
      <c r="Z615" t="s">
        <v>457</v>
      </c>
      <c r="AA615" t="s">
        <v>90</v>
      </c>
      <c r="AC615" t="s">
        <v>3942</v>
      </c>
      <c r="AD615" t="s">
        <v>368</v>
      </c>
      <c r="AF615" t="s">
        <v>4054</v>
      </c>
      <c r="AH615" t="s">
        <v>3510</v>
      </c>
      <c r="AJ615" t="s">
        <v>3943</v>
      </c>
      <c r="AL615" t="s">
        <v>4086</v>
      </c>
      <c r="AM615" t="s">
        <v>2230</v>
      </c>
      <c r="AO615">
        <v>1487.41</v>
      </c>
      <c r="AQ615">
        <v>6</v>
      </c>
      <c r="AS615" t="s">
        <v>4113</v>
      </c>
      <c r="AT615" t="s">
        <v>4127</v>
      </c>
      <c r="AW615">
        <v>8</v>
      </c>
      <c r="AY615" t="s">
        <v>4140</v>
      </c>
      <c r="BA615" t="s">
        <v>4149</v>
      </c>
      <c r="BC615" t="s">
        <v>4155</v>
      </c>
      <c r="BE615" t="s">
        <v>4117</v>
      </c>
      <c r="BF615" t="s">
        <v>4281</v>
      </c>
      <c r="BG615" t="s">
        <v>4054</v>
      </c>
      <c r="BM615" t="s">
        <v>4627</v>
      </c>
    </row>
    <row r="616" spans="1:67">
      <c r="A616" s="1">
        <f>HYPERLINK("https://lsnyc.legalserver.org/matter/dynamic-profile/view/1836723","17-1836723")</f>
        <v>0</v>
      </c>
      <c r="B616" t="s">
        <v>84</v>
      </c>
      <c r="C616" t="s">
        <v>93</v>
      </c>
      <c r="D616" t="s">
        <v>369</v>
      </c>
      <c r="E616" t="s">
        <v>134</v>
      </c>
      <c r="F616" t="s">
        <v>769</v>
      </c>
      <c r="G616" t="s">
        <v>1333</v>
      </c>
      <c r="H616" t="s">
        <v>1772</v>
      </c>
      <c r="I616" t="s">
        <v>1939</v>
      </c>
      <c r="J616" t="s">
        <v>2205</v>
      </c>
      <c r="K616">
        <v>11212</v>
      </c>
      <c r="L616" t="s">
        <v>2224</v>
      </c>
      <c r="N616" t="s">
        <v>2240</v>
      </c>
      <c r="O616" t="s">
        <v>2624</v>
      </c>
      <c r="Q616" t="s">
        <v>3265</v>
      </c>
      <c r="R616">
        <v>1</v>
      </c>
      <c r="S616">
        <v>0</v>
      </c>
      <c r="T616">
        <v>155.22</v>
      </c>
      <c r="W616">
        <v>18720</v>
      </c>
      <c r="X616" t="s">
        <v>3607</v>
      </c>
      <c r="Y616">
        <v>0.1</v>
      </c>
      <c r="Z616" t="s">
        <v>369</v>
      </c>
      <c r="AA616" t="s">
        <v>3915</v>
      </c>
      <c r="AC616" t="s">
        <v>3942</v>
      </c>
      <c r="AF616" t="s">
        <v>4053</v>
      </c>
      <c r="AH616" t="s">
        <v>4080</v>
      </c>
      <c r="AJ616" t="s">
        <v>3943</v>
      </c>
      <c r="AL616" t="s">
        <v>4086</v>
      </c>
      <c r="AM616" t="s">
        <v>2230</v>
      </c>
      <c r="AO616">
        <v>457</v>
      </c>
      <c r="AQ616">
        <v>31</v>
      </c>
      <c r="AS616" t="s">
        <v>4120</v>
      </c>
      <c r="AU616" t="s">
        <v>4136</v>
      </c>
      <c r="AW616">
        <v>40</v>
      </c>
      <c r="AY616" t="s">
        <v>4141</v>
      </c>
      <c r="AZ616" t="s">
        <v>4148</v>
      </c>
      <c r="BC616" t="s">
        <v>4156</v>
      </c>
      <c r="BE616" t="s">
        <v>4231</v>
      </c>
      <c r="BG616" t="s">
        <v>4490</v>
      </c>
      <c r="BM616" t="s">
        <v>4628</v>
      </c>
    </row>
    <row r="617" spans="1:67">
      <c r="A617" s="1">
        <f>HYPERLINK("https://lsnyc.legalserver.org/matter/dynamic-profile/view/1909465","19-1909465")</f>
        <v>0</v>
      </c>
      <c r="B617" t="s">
        <v>84</v>
      </c>
      <c r="C617" t="s">
        <v>93</v>
      </c>
      <c r="D617" t="s">
        <v>212</v>
      </c>
      <c r="E617" t="s">
        <v>125</v>
      </c>
      <c r="F617" t="s">
        <v>794</v>
      </c>
      <c r="G617" t="s">
        <v>1335</v>
      </c>
      <c r="H617" t="s">
        <v>1775</v>
      </c>
      <c r="I617" t="s">
        <v>1969</v>
      </c>
      <c r="J617" t="s">
        <v>2205</v>
      </c>
      <c r="K617">
        <v>11207</v>
      </c>
      <c r="L617" t="s">
        <v>2222</v>
      </c>
      <c r="N617" t="s">
        <v>2233</v>
      </c>
      <c r="O617" t="s">
        <v>2627</v>
      </c>
      <c r="Q617" t="s">
        <v>3268</v>
      </c>
      <c r="R617">
        <v>1</v>
      </c>
      <c r="S617">
        <v>0</v>
      </c>
      <c r="T617">
        <v>192.15</v>
      </c>
      <c r="W617">
        <v>24000</v>
      </c>
      <c r="Y617">
        <v>2.3</v>
      </c>
      <c r="Z617" t="s">
        <v>213</v>
      </c>
      <c r="AA617" t="s">
        <v>3901</v>
      </c>
      <c r="AC617" t="s">
        <v>3942</v>
      </c>
      <c r="AD617" t="s">
        <v>4030</v>
      </c>
      <c r="AF617" t="s">
        <v>4050</v>
      </c>
      <c r="AH617" t="s">
        <v>4081</v>
      </c>
      <c r="AJ617" t="s">
        <v>3943</v>
      </c>
      <c r="AK617" t="s">
        <v>4084</v>
      </c>
      <c r="AM617" t="s">
        <v>2230</v>
      </c>
      <c r="AN617" t="s">
        <v>4107</v>
      </c>
      <c r="AO617">
        <v>0</v>
      </c>
      <c r="AQ617">
        <v>3</v>
      </c>
      <c r="AS617" t="s">
        <v>4114</v>
      </c>
      <c r="AT617" t="s">
        <v>4127</v>
      </c>
      <c r="AW617">
        <v>35</v>
      </c>
      <c r="AY617" t="s">
        <v>4140</v>
      </c>
      <c r="BA617" t="s">
        <v>4149</v>
      </c>
      <c r="BC617" t="s">
        <v>4155</v>
      </c>
      <c r="BG617" t="s">
        <v>4492</v>
      </c>
      <c r="BM617" t="s">
        <v>4628</v>
      </c>
    </row>
    <row r="618" spans="1:67">
      <c r="A618" s="1">
        <f>HYPERLINK("https://lsnyc.legalserver.org/matter/dynamic-profile/view/1909493","19-1909493")</f>
        <v>0</v>
      </c>
      <c r="B618" t="s">
        <v>84</v>
      </c>
      <c r="C618" t="s">
        <v>93</v>
      </c>
      <c r="D618" t="s">
        <v>212</v>
      </c>
      <c r="F618" t="s">
        <v>795</v>
      </c>
      <c r="G618" t="s">
        <v>1336</v>
      </c>
      <c r="H618" t="s">
        <v>1776</v>
      </c>
      <c r="I618" t="s">
        <v>1925</v>
      </c>
      <c r="J618" t="s">
        <v>2205</v>
      </c>
      <c r="K618">
        <v>11207</v>
      </c>
      <c r="N618" t="s">
        <v>2233</v>
      </c>
      <c r="O618" t="s">
        <v>2628</v>
      </c>
      <c r="Q618" t="s">
        <v>3269</v>
      </c>
      <c r="R618">
        <v>2</v>
      </c>
      <c r="S618">
        <v>0</v>
      </c>
      <c r="T618">
        <v>210.55</v>
      </c>
      <c r="W618">
        <v>35604</v>
      </c>
      <c r="Y618">
        <v>3.1</v>
      </c>
      <c r="Z618" t="s">
        <v>110</v>
      </c>
      <c r="AA618" t="s">
        <v>70</v>
      </c>
      <c r="AC618" t="s">
        <v>3942</v>
      </c>
      <c r="AD618" t="s">
        <v>382</v>
      </c>
      <c r="AF618" t="s">
        <v>4054</v>
      </c>
      <c r="AH618" t="s">
        <v>3510</v>
      </c>
      <c r="AJ618" t="s">
        <v>3943</v>
      </c>
      <c r="AL618" t="s">
        <v>4089</v>
      </c>
      <c r="AM618" t="s">
        <v>2230</v>
      </c>
      <c r="AN618" t="s">
        <v>4107</v>
      </c>
      <c r="AO618">
        <v>0</v>
      </c>
      <c r="AQ618">
        <v>102</v>
      </c>
      <c r="AS618" t="s">
        <v>4113</v>
      </c>
      <c r="AU618" t="s">
        <v>4128</v>
      </c>
      <c r="AV618" t="s">
        <v>4137</v>
      </c>
      <c r="AW618">
        <v>0</v>
      </c>
      <c r="AY618" t="s">
        <v>4140</v>
      </c>
      <c r="BC618" t="s">
        <v>4155</v>
      </c>
      <c r="BF618" t="s">
        <v>4281</v>
      </c>
      <c r="BG618" t="s">
        <v>4054</v>
      </c>
      <c r="BM618" t="s">
        <v>4627</v>
      </c>
    </row>
    <row r="619" spans="1:67">
      <c r="A619" s="1">
        <f>HYPERLINK("https://lsnyc.legalserver.org/matter/dynamic-profile/view/1895077","19-1895077")</f>
        <v>0</v>
      </c>
      <c r="B619" t="s">
        <v>84</v>
      </c>
      <c r="C619" t="s">
        <v>93</v>
      </c>
      <c r="D619" t="s">
        <v>370</v>
      </c>
      <c r="E619" t="s">
        <v>176</v>
      </c>
      <c r="F619" t="s">
        <v>796</v>
      </c>
      <c r="G619" t="s">
        <v>1155</v>
      </c>
      <c r="H619" t="s">
        <v>1617</v>
      </c>
      <c r="I619">
        <v>426</v>
      </c>
      <c r="J619" t="s">
        <v>2205</v>
      </c>
      <c r="K619">
        <v>11208</v>
      </c>
      <c r="L619" t="s">
        <v>2223</v>
      </c>
      <c r="N619" t="s">
        <v>2233</v>
      </c>
      <c r="O619" t="s">
        <v>2629</v>
      </c>
      <c r="Q619" t="s">
        <v>3270</v>
      </c>
      <c r="R619">
        <v>1</v>
      </c>
      <c r="S619">
        <v>0</v>
      </c>
      <c r="T619">
        <v>83.2</v>
      </c>
      <c r="W619">
        <v>10392</v>
      </c>
      <c r="Y619">
        <v>20.9</v>
      </c>
      <c r="Z619" t="s">
        <v>110</v>
      </c>
      <c r="AA619" t="s">
        <v>3899</v>
      </c>
      <c r="AC619" t="s">
        <v>3942</v>
      </c>
      <c r="AD619" t="s">
        <v>439</v>
      </c>
      <c r="AF619" t="s">
        <v>4053</v>
      </c>
      <c r="AH619" t="s">
        <v>4076</v>
      </c>
      <c r="AJ619" t="s">
        <v>3943</v>
      </c>
      <c r="AL619" t="s">
        <v>4098</v>
      </c>
      <c r="AM619" t="s">
        <v>2230</v>
      </c>
      <c r="AO619">
        <v>208</v>
      </c>
      <c r="AQ619">
        <v>40</v>
      </c>
      <c r="AS619" t="s">
        <v>4120</v>
      </c>
      <c r="AU619" t="s">
        <v>4129</v>
      </c>
      <c r="AW619">
        <v>11</v>
      </c>
      <c r="AY619" t="s">
        <v>4140</v>
      </c>
      <c r="BA619" t="s">
        <v>4149</v>
      </c>
      <c r="BC619" t="s">
        <v>4155</v>
      </c>
      <c r="BG619" t="s">
        <v>4493</v>
      </c>
      <c r="BH619" t="s">
        <v>4619</v>
      </c>
      <c r="BJ619" t="s">
        <v>4622</v>
      </c>
      <c r="BL619" t="s">
        <v>4626</v>
      </c>
      <c r="BM619" t="s">
        <v>4628</v>
      </c>
    </row>
    <row r="620" spans="1:67">
      <c r="A620" s="1">
        <f>HYPERLINK("https://lsnyc.legalserver.org/matter/dynamic-profile/view/1911754","19-1911754")</f>
        <v>0</v>
      </c>
      <c r="B620" t="s">
        <v>84</v>
      </c>
      <c r="C620" t="s">
        <v>93</v>
      </c>
      <c r="D620" t="s">
        <v>149</v>
      </c>
      <c r="F620" t="s">
        <v>797</v>
      </c>
      <c r="G620" t="s">
        <v>1337</v>
      </c>
      <c r="H620" t="s">
        <v>1777</v>
      </c>
      <c r="I620">
        <v>3</v>
      </c>
      <c r="J620" t="s">
        <v>2205</v>
      </c>
      <c r="K620">
        <v>11233</v>
      </c>
      <c r="N620" t="s">
        <v>2233</v>
      </c>
      <c r="O620" t="s">
        <v>2630</v>
      </c>
      <c r="Q620" t="s">
        <v>3271</v>
      </c>
      <c r="R620">
        <v>3</v>
      </c>
      <c r="S620">
        <v>0</v>
      </c>
      <c r="T620">
        <v>43.32</v>
      </c>
      <c r="W620">
        <v>9240</v>
      </c>
      <c r="Y620">
        <v>2.8</v>
      </c>
      <c r="Z620" t="s">
        <v>135</v>
      </c>
      <c r="AA620" t="s">
        <v>90</v>
      </c>
      <c r="AB620" t="s">
        <v>3940</v>
      </c>
      <c r="AC620" t="s">
        <v>3943</v>
      </c>
      <c r="AF620" t="s">
        <v>4058</v>
      </c>
      <c r="AG620" t="s">
        <v>4075</v>
      </c>
      <c r="AJ620" t="s">
        <v>3943</v>
      </c>
      <c r="AL620" t="s">
        <v>4092</v>
      </c>
      <c r="AM620" t="s">
        <v>2230</v>
      </c>
      <c r="AO620">
        <v>1700</v>
      </c>
      <c r="AP620" t="s">
        <v>4108</v>
      </c>
      <c r="AQ620" t="s">
        <v>4110</v>
      </c>
      <c r="AS620" t="s">
        <v>4114</v>
      </c>
      <c r="AU620" t="s">
        <v>4130</v>
      </c>
      <c r="AW620">
        <v>1</v>
      </c>
      <c r="AY620" t="s">
        <v>4140</v>
      </c>
      <c r="AZ620" t="s">
        <v>4148</v>
      </c>
      <c r="BB620" t="s">
        <v>4154</v>
      </c>
      <c r="BC620" t="s">
        <v>4128</v>
      </c>
      <c r="BE620" t="s">
        <v>4163</v>
      </c>
      <c r="BG620" t="s">
        <v>4494</v>
      </c>
      <c r="BM620" t="s">
        <v>4627</v>
      </c>
    </row>
    <row r="621" spans="1:67">
      <c r="A621" s="1">
        <f>HYPERLINK("https://lsnyc.legalserver.org/matter/dynamic-profile/view/1871668","18-1871668")</f>
        <v>0</v>
      </c>
      <c r="B621" t="s">
        <v>84</v>
      </c>
      <c r="C621" t="s">
        <v>93</v>
      </c>
      <c r="D621" t="s">
        <v>261</v>
      </c>
      <c r="F621" t="s">
        <v>798</v>
      </c>
      <c r="G621" t="s">
        <v>1338</v>
      </c>
      <c r="H621" t="s">
        <v>1778</v>
      </c>
      <c r="I621" t="s">
        <v>2059</v>
      </c>
      <c r="J621" t="s">
        <v>2205</v>
      </c>
      <c r="K621">
        <v>11239</v>
      </c>
      <c r="N621" t="s">
        <v>2233</v>
      </c>
      <c r="O621" t="s">
        <v>2631</v>
      </c>
      <c r="Q621" t="s">
        <v>3272</v>
      </c>
      <c r="R621">
        <v>1</v>
      </c>
      <c r="S621">
        <v>0</v>
      </c>
      <c r="T621">
        <v>84.70999999999999</v>
      </c>
      <c r="W621">
        <v>10284</v>
      </c>
      <c r="X621" t="s">
        <v>3511</v>
      </c>
      <c r="Y621">
        <v>59.22</v>
      </c>
      <c r="Z621" t="s">
        <v>457</v>
      </c>
      <c r="AA621" t="s">
        <v>3896</v>
      </c>
      <c r="AC621" t="s">
        <v>3942</v>
      </c>
      <c r="AD621" t="s">
        <v>3974</v>
      </c>
      <c r="AF621" t="s">
        <v>4050</v>
      </c>
      <c r="AH621" t="s">
        <v>4076</v>
      </c>
      <c r="AJ621" t="s">
        <v>3943</v>
      </c>
      <c r="AL621" t="s">
        <v>4099</v>
      </c>
      <c r="AM621" t="s">
        <v>2230</v>
      </c>
      <c r="AN621" t="s">
        <v>4107</v>
      </c>
      <c r="AO621">
        <v>0</v>
      </c>
      <c r="AQ621">
        <v>1463</v>
      </c>
      <c r="AS621" t="s">
        <v>4120</v>
      </c>
      <c r="AU621" t="s">
        <v>4129</v>
      </c>
      <c r="AW621">
        <v>43</v>
      </c>
      <c r="AY621" t="s">
        <v>4140</v>
      </c>
      <c r="BB621" t="s">
        <v>4154</v>
      </c>
      <c r="BG621" t="s">
        <v>4495</v>
      </c>
      <c r="BM621" t="s">
        <v>4627</v>
      </c>
    </row>
    <row r="622" spans="1:67">
      <c r="A622" s="1">
        <f>HYPERLINK("https://lsnyc.legalserver.org/matter/dynamic-profile/view/1834583","17-1834583")</f>
        <v>0</v>
      </c>
      <c r="B622" t="s">
        <v>84</v>
      </c>
      <c r="C622" t="s">
        <v>93</v>
      </c>
      <c r="D622" t="s">
        <v>371</v>
      </c>
      <c r="F622" t="s">
        <v>511</v>
      </c>
      <c r="G622" t="s">
        <v>1204</v>
      </c>
      <c r="H622" t="s">
        <v>1779</v>
      </c>
      <c r="I622" t="s">
        <v>1975</v>
      </c>
      <c r="J622" t="s">
        <v>2205</v>
      </c>
      <c r="K622">
        <v>11208</v>
      </c>
      <c r="N622" t="s">
        <v>2233</v>
      </c>
      <c r="O622" t="s">
        <v>2632</v>
      </c>
      <c r="Q622" t="s">
        <v>3273</v>
      </c>
      <c r="R622">
        <v>1</v>
      </c>
      <c r="S622">
        <v>2</v>
      </c>
      <c r="T622">
        <v>86.39</v>
      </c>
      <c r="W622">
        <v>17640</v>
      </c>
      <c r="Y622">
        <v>21</v>
      </c>
      <c r="Z622" t="s">
        <v>3871</v>
      </c>
      <c r="AA622" t="s">
        <v>3905</v>
      </c>
      <c r="AC622" t="s">
        <v>3942</v>
      </c>
      <c r="AD622" t="s">
        <v>371</v>
      </c>
      <c r="AF622" t="s">
        <v>4053</v>
      </c>
      <c r="AH622" t="s">
        <v>4076</v>
      </c>
      <c r="AJ622" t="s">
        <v>3943</v>
      </c>
      <c r="AL622" t="s">
        <v>4102</v>
      </c>
      <c r="AM622" t="s">
        <v>2230</v>
      </c>
      <c r="AO622">
        <v>1000</v>
      </c>
      <c r="AQ622">
        <v>30</v>
      </c>
      <c r="AR622" t="s">
        <v>4112</v>
      </c>
      <c r="AU622" t="s">
        <v>4132</v>
      </c>
      <c r="AW622">
        <v>2</v>
      </c>
      <c r="AY622" t="s">
        <v>4140</v>
      </c>
      <c r="BB622" t="s">
        <v>4154</v>
      </c>
      <c r="BG622" t="s">
        <v>4496</v>
      </c>
      <c r="BM622" t="s">
        <v>4627</v>
      </c>
    </row>
    <row r="623" spans="1:67">
      <c r="A623" s="1">
        <f>HYPERLINK("https://lsnyc.legalserver.org/matter/dynamic-profile/view/1864918","18-1864918")</f>
        <v>0</v>
      </c>
      <c r="B623" t="s">
        <v>84</v>
      </c>
      <c r="C623" t="s">
        <v>93</v>
      </c>
      <c r="D623" t="s">
        <v>372</v>
      </c>
      <c r="F623" t="s">
        <v>799</v>
      </c>
      <c r="G623" t="s">
        <v>1299</v>
      </c>
      <c r="H623" t="s">
        <v>1780</v>
      </c>
      <c r="I623" t="s">
        <v>1924</v>
      </c>
      <c r="J623" t="s">
        <v>2205</v>
      </c>
      <c r="K623">
        <v>11208</v>
      </c>
      <c r="N623" t="s">
        <v>2233</v>
      </c>
      <c r="O623" t="s">
        <v>2633</v>
      </c>
      <c r="Q623" t="s">
        <v>3274</v>
      </c>
      <c r="R623">
        <v>2</v>
      </c>
      <c r="S623">
        <v>0</v>
      </c>
      <c r="T623">
        <v>113.1</v>
      </c>
      <c r="W623">
        <v>18616</v>
      </c>
      <c r="Y623">
        <v>63.3</v>
      </c>
      <c r="Z623" t="s">
        <v>204</v>
      </c>
      <c r="AA623" t="s">
        <v>3905</v>
      </c>
      <c r="AC623" t="s">
        <v>3942</v>
      </c>
      <c r="AD623" t="s">
        <v>372</v>
      </c>
      <c r="AF623" t="s">
        <v>4050</v>
      </c>
      <c r="AH623" t="s">
        <v>4076</v>
      </c>
      <c r="AJ623" t="s">
        <v>3943</v>
      </c>
      <c r="AL623" t="s">
        <v>4102</v>
      </c>
      <c r="AM623" t="s">
        <v>2230</v>
      </c>
      <c r="AO623">
        <v>862</v>
      </c>
      <c r="AQ623">
        <v>6</v>
      </c>
      <c r="AR623" t="s">
        <v>4112</v>
      </c>
      <c r="AU623" t="s">
        <v>4128</v>
      </c>
      <c r="AW623">
        <v>13</v>
      </c>
      <c r="AY623" t="s">
        <v>4141</v>
      </c>
      <c r="BB623" t="s">
        <v>4154</v>
      </c>
      <c r="BD623" t="s">
        <v>4157</v>
      </c>
      <c r="BE623" t="s">
        <v>4232</v>
      </c>
      <c r="BG623" t="s">
        <v>4497</v>
      </c>
      <c r="BM623" t="s">
        <v>4627</v>
      </c>
    </row>
    <row r="624" spans="1:67">
      <c r="A624" s="1">
        <f>HYPERLINK("https://lsnyc.legalserver.org/matter/dynamic-profile/view/1842715","17-1842715")</f>
        <v>0</v>
      </c>
      <c r="B624" t="s">
        <v>84</v>
      </c>
      <c r="C624" t="s">
        <v>93</v>
      </c>
      <c r="D624" t="s">
        <v>373</v>
      </c>
      <c r="F624" t="s">
        <v>800</v>
      </c>
      <c r="G624" t="s">
        <v>1021</v>
      </c>
      <c r="H624" t="s">
        <v>1781</v>
      </c>
      <c r="I624" t="s">
        <v>1920</v>
      </c>
      <c r="J624" t="s">
        <v>2205</v>
      </c>
      <c r="K624">
        <v>11233</v>
      </c>
      <c r="N624" t="s">
        <v>2233</v>
      </c>
      <c r="O624" t="s">
        <v>2634</v>
      </c>
      <c r="Q624" t="s">
        <v>3275</v>
      </c>
      <c r="R624">
        <v>1</v>
      </c>
      <c r="S624">
        <v>0</v>
      </c>
      <c r="T624">
        <v>389.72</v>
      </c>
      <c r="U624" t="s">
        <v>3447</v>
      </c>
      <c r="V624" t="s">
        <v>3456</v>
      </c>
      <c r="W624">
        <v>47000</v>
      </c>
      <c r="Y624">
        <v>89.40000000000001</v>
      </c>
      <c r="Z624" t="s">
        <v>399</v>
      </c>
      <c r="AA624" t="s">
        <v>3900</v>
      </c>
      <c r="AC624" t="s">
        <v>3942</v>
      </c>
      <c r="AD624" t="s">
        <v>373</v>
      </c>
      <c r="AF624" t="s">
        <v>4050</v>
      </c>
      <c r="AH624" t="s">
        <v>4076</v>
      </c>
      <c r="AJ624" t="s">
        <v>3942</v>
      </c>
      <c r="AL624" t="s">
        <v>4089</v>
      </c>
      <c r="AM624" t="s">
        <v>2230</v>
      </c>
      <c r="AO624">
        <v>625.14</v>
      </c>
      <c r="AQ624">
        <v>36</v>
      </c>
      <c r="AS624" t="s">
        <v>4113</v>
      </c>
      <c r="AU624" t="s">
        <v>4128</v>
      </c>
      <c r="AW624">
        <v>3</v>
      </c>
      <c r="AY624" t="s">
        <v>4140</v>
      </c>
      <c r="BB624" t="s">
        <v>4154</v>
      </c>
      <c r="BG624" t="s">
        <v>4498</v>
      </c>
      <c r="BM624" t="s">
        <v>4627</v>
      </c>
    </row>
    <row r="625" spans="1:67">
      <c r="A625" s="1">
        <f>HYPERLINK("https://lsnyc.legalserver.org/matter/dynamic-profile/view/1902327","19-1902327")</f>
        <v>0</v>
      </c>
      <c r="B625" t="s">
        <v>84</v>
      </c>
      <c r="C625" t="s">
        <v>93</v>
      </c>
      <c r="D625" t="s">
        <v>374</v>
      </c>
      <c r="F625" t="s">
        <v>781</v>
      </c>
      <c r="G625" t="s">
        <v>1339</v>
      </c>
      <c r="H625" t="s">
        <v>1782</v>
      </c>
      <c r="I625" t="s">
        <v>2060</v>
      </c>
      <c r="J625" t="s">
        <v>2205</v>
      </c>
      <c r="K625">
        <v>11233</v>
      </c>
      <c r="N625" t="s">
        <v>2233</v>
      </c>
      <c r="O625" t="s">
        <v>2635</v>
      </c>
      <c r="Q625" t="s">
        <v>3276</v>
      </c>
      <c r="R625">
        <v>2</v>
      </c>
      <c r="S625">
        <v>0</v>
      </c>
      <c r="T625">
        <v>331.16</v>
      </c>
      <c r="W625">
        <v>56000</v>
      </c>
      <c r="X625" t="s">
        <v>3521</v>
      </c>
      <c r="Y625">
        <v>0.1</v>
      </c>
      <c r="Z625" t="s">
        <v>3840</v>
      </c>
      <c r="AA625" t="s">
        <v>90</v>
      </c>
      <c r="AC625" t="s">
        <v>3942</v>
      </c>
      <c r="AD625" t="s">
        <v>439</v>
      </c>
      <c r="AF625" t="s">
        <v>4053</v>
      </c>
      <c r="AH625" t="s">
        <v>4079</v>
      </c>
      <c r="AJ625" t="s">
        <v>3943</v>
      </c>
      <c r="AL625" t="s">
        <v>4070</v>
      </c>
      <c r="AM625" t="s">
        <v>2230</v>
      </c>
      <c r="AO625">
        <v>1365</v>
      </c>
      <c r="AQ625">
        <v>8</v>
      </c>
      <c r="AS625" t="s">
        <v>4113</v>
      </c>
      <c r="AU625" t="s">
        <v>4129</v>
      </c>
      <c r="AW625">
        <v>23</v>
      </c>
      <c r="AY625" t="s">
        <v>4141</v>
      </c>
      <c r="BA625" t="s">
        <v>4149</v>
      </c>
      <c r="BC625" t="s">
        <v>4155</v>
      </c>
      <c r="BE625" t="s">
        <v>4128</v>
      </c>
      <c r="BF625" t="s">
        <v>4281</v>
      </c>
      <c r="BM625" t="s">
        <v>4627</v>
      </c>
    </row>
    <row r="626" spans="1:67">
      <c r="A626" s="1">
        <f>HYPERLINK("https://lsnyc.legalserver.org/matter/dynamic-profile/view/1910958","19-1910958")</f>
        <v>0</v>
      </c>
      <c r="B626" t="s">
        <v>84</v>
      </c>
      <c r="C626" t="s">
        <v>93</v>
      </c>
      <c r="D626" t="s">
        <v>123</v>
      </c>
      <c r="F626" t="s">
        <v>801</v>
      </c>
      <c r="G626" t="s">
        <v>1340</v>
      </c>
      <c r="H626" t="s">
        <v>1783</v>
      </c>
      <c r="J626" t="s">
        <v>2205</v>
      </c>
      <c r="K626">
        <v>11208</v>
      </c>
      <c r="N626" t="s">
        <v>2233</v>
      </c>
      <c r="O626" t="s">
        <v>2636</v>
      </c>
      <c r="Q626" t="s">
        <v>3277</v>
      </c>
      <c r="R626">
        <v>2</v>
      </c>
      <c r="S626">
        <v>0</v>
      </c>
      <c r="T626">
        <v>92.25</v>
      </c>
      <c r="W626">
        <v>15600</v>
      </c>
      <c r="Y626">
        <v>5.3</v>
      </c>
      <c r="Z626" t="s">
        <v>122</v>
      </c>
      <c r="AA626" t="s">
        <v>90</v>
      </c>
      <c r="AC626" t="s">
        <v>3942</v>
      </c>
      <c r="AD626" t="s">
        <v>178</v>
      </c>
      <c r="AF626" t="s">
        <v>4053</v>
      </c>
      <c r="AH626" t="s">
        <v>4076</v>
      </c>
      <c r="AJ626" t="s">
        <v>3943</v>
      </c>
      <c r="AL626" t="s">
        <v>4092</v>
      </c>
      <c r="AM626" t="s">
        <v>2230</v>
      </c>
      <c r="AO626">
        <v>1600</v>
      </c>
      <c r="AQ626">
        <v>2</v>
      </c>
      <c r="AS626" t="s">
        <v>4114</v>
      </c>
      <c r="AU626" t="s">
        <v>4128</v>
      </c>
      <c r="AV626" t="s">
        <v>4137</v>
      </c>
      <c r="AW626">
        <v>0</v>
      </c>
      <c r="AY626" t="s">
        <v>4141</v>
      </c>
      <c r="BA626" t="s">
        <v>4149</v>
      </c>
      <c r="BC626" t="s">
        <v>4156</v>
      </c>
      <c r="BE626" t="s">
        <v>4163</v>
      </c>
      <c r="BG626" t="s">
        <v>4499</v>
      </c>
      <c r="BM626" t="s">
        <v>4627</v>
      </c>
    </row>
    <row r="627" spans="1:67">
      <c r="A627" s="1">
        <f>HYPERLINK("https://lsnyc.legalserver.org/matter/dynamic-profile/view/1887643","19-1887643")</f>
        <v>0</v>
      </c>
      <c r="B627" t="s">
        <v>84</v>
      </c>
      <c r="C627" t="s">
        <v>93</v>
      </c>
      <c r="D627" t="s">
        <v>174</v>
      </c>
      <c r="F627" t="s">
        <v>541</v>
      </c>
      <c r="G627" t="s">
        <v>1281</v>
      </c>
      <c r="H627" t="s">
        <v>1784</v>
      </c>
      <c r="I627" t="s">
        <v>2061</v>
      </c>
      <c r="J627" t="s">
        <v>2205</v>
      </c>
      <c r="K627">
        <v>11208</v>
      </c>
      <c r="N627" t="s">
        <v>2233</v>
      </c>
      <c r="O627" t="s">
        <v>2637</v>
      </c>
      <c r="Q627" t="s">
        <v>3278</v>
      </c>
      <c r="R627">
        <v>2</v>
      </c>
      <c r="S627">
        <v>1</v>
      </c>
      <c r="T627">
        <v>173.46</v>
      </c>
      <c r="W627">
        <v>36044</v>
      </c>
      <c r="Y627">
        <v>18.1</v>
      </c>
      <c r="Z627" t="s">
        <v>135</v>
      </c>
      <c r="AA627" t="s">
        <v>70</v>
      </c>
      <c r="AC627" t="s">
        <v>3942</v>
      </c>
      <c r="AD627" t="s">
        <v>168</v>
      </c>
      <c r="AF627" t="s">
        <v>4053</v>
      </c>
      <c r="AH627" t="s">
        <v>4076</v>
      </c>
      <c r="AJ627" t="s">
        <v>3943</v>
      </c>
      <c r="AL627" t="s">
        <v>4099</v>
      </c>
      <c r="AM627" t="s">
        <v>2230</v>
      </c>
      <c r="AO627">
        <v>2000</v>
      </c>
      <c r="AQ627">
        <v>2</v>
      </c>
      <c r="AS627" t="s">
        <v>4114</v>
      </c>
      <c r="AU627" t="s">
        <v>4129</v>
      </c>
      <c r="AW627">
        <v>1</v>
      </c>
      <c r="AY627" t="s">
        <v>4140</v>
      </c>
      <c r="BB627" t="s">
        <v>4154</v>
      </c>
      <c r="BG627" t="s">
        <v>4500</v>
      </c>
      <c r="BM627" t="s">
        <v>4627</v>
      </c>
    </row>
    <row r="628" spans="1:67">
      <c r="A628" s="1">
        <f>HYPERLINK("https://lsnyc.legalserver.org/matter/dynamic-profile/view/1908313","19-1908313")</f>
        <v>0</v>
      </c>
      <c r="B628" t="s">
        <v>84</v>
      </c>
      <c r="C628" t="s">
        <v>93</v>
      </c>
      <c r="D628" t="s">
        <v>162</v>
      </c>
      <c r="E628" t="s">
        <v>357</v>
      </c>
      <c r="F628" t="s">
        <v>478</v>
      </c>
      <c r="G628" t="s">
        <v>1341</v>
      </c>
      <c r="H628" t="s">
        <v>1577</v>
      </c>
      <c r="I628" t="s">
        <v>2062</v>
      </c>
      <c r="J628" t="s">
        <v>2205</v>
      </c>
      <c r="K628">
        <v>11233</v>
      </c>
      <c r="L628" t="s">
        <v>2223</v>
      </c>
      <c r="N628" t="s">
        <v>2233</v>
      </c>
      <c r="O628" t="s">
        <v>2638</v>
      </c>
      <c r="Q628" t="s">
        <v>3279</v>
      </c>
      <c r="R628">
        <v>1</v>
      </c>
      <c r="S628">
        <v>0</v>
      </c>
      <c r="T628">
        <v>104.08</v>
      </c>
      <c r="W628">
        <v>13000</v>
      </c>
      <c r="Y628">
        <v>10.6</v>
      </c>
      <c r="Z628" t="s">
        <v>173</v>
      </c>
      <c r="AA628" t="s">
        <v>90</v>
      </c>
      <c r="AC628" t="s">
        <v>3942</v>
      </c>
      <c r="AD628" t="s">
        <v>162</v>
      </c>
      <c r="AF628" t="s">
        <v>4053</v>
      </c>
      <c r="AH628" t="s">
        <v>4076</v>
      </c>
      <c r="AJ628" t="s">
        <v>3943</v>
      </c>
      <c r="AL628" t="s">
        <v>4086</v>
      </c>
      <c r="AM628" t="s">
        <v>2230</v>
      </c>
      <c r="AO628">
        <v>955.08</v>
      </c>
      <c r="AQ628">
        <v>359</v>
      </c>
      <c r="AS628" t="s">
        <v>4113</v>
      </c>
      <c r="AU628" t="s">
        <v>4128</v>
      </c>
      <c r="AW628">
        <v>16</v>
      </c>
      <c r="AY628" t="s">
        <v>4140</v>
      </c>
      <c r="BA628" t="s">
        <v>4149</v>
      </c>
      <c r="BC628" t="s">
        <v>4155</v>
      </c>
      <c r="BD628" t="s">
        <v>4157</v>
      </c>
      <c r="BE628">
        <v>6004868123</v>
      </c>
      <c r="BG628" t="s">
        <v>4501</v>
      </c>
      <c r="BH628" t="s">
        <v>4619</v>
      </c>
      <c r="BJ628" t="s">
        <v>4622</v>
      </c>
      <c r="BL628" t="s">
        <v>4626</v>
      </c>
      <c r="BM628" t="s">
        <v>4628</v>
      </c>
    </row>
    <row r="629" spans="1:67">
      <c r="A629" s="1">
        <f>HYPERLINK("https://lsnyc.legalserver.org/matter/dynamic-profile/view/1851102","17-1851102")</f>
        <v>0</v>
      </c>
      <c r="B629" t="s">
        <v>84</v>
      </c>
      <c r="C629" t="s">
        <v>93</v>
      </c>
      <c r="D629" t="s">
        <v>100</v>
      </c>
      <c r="F629" t="s">
        <v>802</v>
      </c>
      <c r="G629" t="s">
        <v>666</v>
      </c>
      <c r="H629" t="s">
        <v>1785</v>
      </c>
      <c r="I629" t="s">
        <v>2063</v>
      </c>
      <c r="J629" t="s">
        <v>2205</v>
      </c>
      <c r="K629">
        <v>11236</v>
      </c>
      <c r="N629" t="s">
        <v>2233</v>
      </c>
      <c r="O629" t="s">
        <v>2639</v>
      </c>
      <c r="Q629" t="s">
        <v>3280</v>
      </c>
      <c r="R629">
        <v>1</v>
      </c>
      <c r="S629">
        <v>0</v>
      </c>
      <c r="T629">
        <v>281.92</v>
      </c>
      <c r="U629" t="s">
        <v>3447</v>
      </c>
      <c r="W629">
        <v>34000</v>
      </c>
      <c r="Y629">
        <v>83</v>
      </c>
      <c r="Z629" t="s">
        <v>340</v>
      </c>
      <c r="AA629" t="s">
        <v>90</v>
      </c>
      <c r="AC629" t="s">
        <v>3942</v>
      </c>
      <c r="AD629" t="s">
        <v>4031</v>
      </c>
      <c r="AF629" t="s">
        <v>4050</v>
      </c>
      <c r="AH629" t="s">
        <v>4076</v>
      </c>
      <c r="AJ629" t="s">
        <v>3942</v>
      </c>
      <c r="AL629" t="s">
        <v>4089</v>
      </c>
      <c r="AM629" t="s">
        <v>2230</v>
      </c>
      <c r="AO629">
        <v>869</v>
      </c>
      <c r="AQ629">
        <v>113</v>
      </c>
      <c r="AS629" t="s">
        <v>4113</v>
      </c>
      <c r="AU629" t="s">
        <v>4128</v>
      </c>
      <c r="AW629">
        <v>15</v>
      </c>
      <c r="AY629" t="s">
        <v>4140</v>
      </c>
      <c r="BB629" t="s">
        <v>4154</v>
      </c>
      <c r="BG629" t="s">
        <v>4502</v>
      </c>
      <c r="BM629" t="s">
        <v>4627</v>
      </c>
    </row>
    <row r="630" spans="1:67">
      <c r="A630" s="1">
        <f>HYPERLINK("https://lsnyc.legalserver.org/matter/dynamic-profile/view/1884304","18-1884304")</f>
        <v>0</v>
      </c>
      <c r="B630" t="s">
        <v>84</v>
      </c>
      <c r="C630" t="s">
        <v>93</v>
      </c>
      <c r="D630" t="s">
        <v>375</v>
      </c>
      <c r="F630" t="s">
        <v>803</v>
      </c>
      <c r="G630" t="s">
        <v>1030</v>
      </c>
      <c r="H630" t="s">
        <v>1786</v>
      </c>
      <c r="I630" t="s">
        <v>2064</v>
      </c>
      <c r="J630" t="s">
        <v>2205</v>
      </c>
      <c r="K630">
        <v>11212</v>
      </c>
      <c r="N630" t="s">
        <v>2233</v>
      </c>
      <c r="O630" t="s">
        <v>2640</v>
      </c>
      <c r="Q630" t="s">
        <v>3281</v>
      </c>
      <c r="R630">
        <v>1</v>
      </c>
      <c r="S630">
        <v>2</v>
      </c>
      <c r="T630">
        <v>49.03</v>
      </c>
      <c r="W630">
        <v>10188</v>
      </c>
      <c r="Y630">
        <v>75.3</v>
      </c>
      <c r="Z630" t="s">
        <v>135</v>
      </c>
      <c r="AA630" t="s">
        <v>90</v>
      </c>
      <c r="AC630" t="s">
        <v>3942</v>
      </c>
      <c r="AD630" t="s">
        <v>439</v>
      </c>
      <c r="AF630" t="s">
        <v>4052</v>
      </c>
      <c r="AH630" t="s">
        <v>4076</v>
      </c>
      <c r="AJ630" t="s">
        <v>3943</v>
      </c>
      <c r="AL630" t="s">
        <v>4103</v>
      </c>
      <c r="AM630" t="s">
        <v>2230</v>
      </c>
      <c r="AO630">
        <v>254</v>
      </c>
      <c r="AQ630">
        <v>162</v>
      </c>
      <c r="AS630" t="s">
        <v>4116</v>
      </c>
      <c r="AU630" t="s">
        <v>4136</v>
      </c>
      <c r="AW630">
        <v>32</v>
      </c>
      <c r="AY630" t="s">
        <v>4140</v>
      </c>
      <c r="BA630" t="s">
        <v>4149</v>
      </c>
      <c r="BC630" t="s">
        <v>4155</v>
      </c>
      <c r="BD630" t="s">
        <v>4157</v>
      </c>
      <c r="BE630" t="s">
        <v>4233</v>
      </c>
      <c r="BF630" t="s">
        <v>4281</v>
      </c>
      <c r="BG630" t="s">
        <v>4054</v>
      </c>
      <c r="BM630" t="s">
        <v>4627</v>
      </c>
    </row>
    <row r="631" spans="1:67">
      <c r="A631" s="1">
        <f>HYPERLINK("https://lsnyc.legalserver.org/matter/dynamic-profile/view/1883701","18-1883701")</f>
        <v>0</v>
      </c>
      <c r="B631" t="s">
        <v>84</v>
      </c>
      <c r="C631" t="s">
        <v>93</v>
      </c>
      <c r="D631" t="s">
        <v>376</v>
      </c>
      <c r="E631" t="s">
        <v>357</v>
      </c>
      <c r="F631" t="s">
        <v>515</v>
      </c>
      <c r="G631" t="s">
        <v>1162</v>
      </c>
      <c r="H631" t="s">
        <v>1616</v>
      </c>
      <c r="I631" t="s">
        <v>1920</v>
      </c>
      <c r="J631" t="s">
        <v>2205</v>
      </c>
      <c r="K631">
        <v>11233</v>
      </c>
      <c r="L631" t="s">
        <v>2223</v>
      </c>
      <c r="N631" t="s">
        <v>2233</v>
      </c>
      <c r="O631" t="s">
        <v>2641</v>
      </c>
      <c r="Q631" t="s">
        <v>3282</v>
      </c>
      <c r="R631">
        <v>1</v>
      </c>
      <c r="S631">
        <v>0</v>
      </c>
      <c r="T631">
        <v>79.08</v>
      </c>
      <c r="W631">
        <v>9600</v>
      </c>
      <c r="Y631">
        <v>6.4</v>
      </c>
      <c r="Z631" t="s">
        <v>3872</v>
      </c>
      <c r="AA631" t="s">
        <v>90</v>
      </c>
      <c r="AC631" t="s">
        <v>3942</v>
      </c>
      <c r="AD631" t="s">
        <v>3884</v>
      </c>
      <c r="AF631" t="s">
        <v>4053</v>
      </c>
      <c r="AH631" t="s">
        <v>4076</v>
      </c>
      <c r="AJ631" t="s">
        <v>3943</v>
      </c>
      <c r="AL631" t="s">
        <v>4090</v>
      </c>
      <c r="AM631" t="s">
        <v>2230</v>
      </c>
      <c r="AO631">
        <v>1400</v>
      </c>
      <c r="AQ631">
        <v>44</v>
      </c>
      <c r="AS631" t="s">
        <v>4120</v>
      </c>
      <c r="AU631" t="s">
        <v>4129</v>
      </c>
      <c r="AW631">
        <v>32</v>
      </c>
      <c r="AY631" t="s">
        <v>4140</v>
      </c>
      <c r="BA631" t="s">
        <v>4149</v>
      </c>
      <c r="BB631" t="s">
        <v>4154</v>
      </c>
      <c r="BD631" t="s">
        <v>4157</v>
      </c>
      <c r="BE631" t="s">
        <v>4234</v>
      </c>
      <c r="BG631" t="s">
        <v>4503</v>
      </c>
      <c r="BH631" t="s">
        <v>4619</v>
      </c>
      <c r="BJ631" t="s">
        <v>4622</v>
      </c>
      <c r="BL631" t="s">
        <v>4626</v>
      </c>
      <c r="BM631" t="s">
        <v>4628</v>
      </c>
    </row>
    <row r="632" spans="1:67">
      <c r="A632" s="1">
        <f>HYPERLINK("https://lsnyc.legalserver.org/matter/dynamic-profile/view/1895390","19-1895390")</f>
        <v>0</v>
      </c>
      <c r="B632" t="s">
        <v>84</v>
      </c>
      <c r="C632" t="s">
        <v>93</v>
      </c>
      <c r="D632" t="s">
        <v>99</v>
      </c>
      <c r="F632" t="s">
        <v>804</v>
      </c>
      <c r="G632" t="s">
        <v>1342</v>
      </c>
      <c r="H632" t="s">
        <v>1787</v>
      </c>
      <c r="I632" t="s">
        <v>1939</v>
      </c>
      <c r="J632" t="s">
        <v>2205</v>
      </c>
      <c r="K632">
        <v>11239</v>
      </c>
      <c r="N632" t="s">
        <v>2233</v>
      </c>
      <c r="O632" t="s">
        <v>2642</v>
      </c>
      <c r="Q632" t="s">
        <v>3283</v>
      </c>
      <c r="R632">
        <v>1</v>
      </c>
      <c r="S632">
        <v>1</v>
      </c>
      <c r="T632">
        <v>0</v>
      </c>
      <c r="W632">
        <v>0</v>
      </c>
      <c r="Y632">
        <v>56.3</v>
      </c>
      <c r="Z632" t="s">
        <v>122</v>
      </c>
      <c r="AA632" t="s">
        <v>90</v>
      </c>
      <c r="AC632" t="s">
        <v>3942</v>
      </c>
      <c r="AD632" t="s">
        <v>99</v>
      </c>
      <c r="AF632" t="s">
        <v>4050</v>
      </c>
      <c r="AH632" t="s">
        <v>4076</v>
      </c>
      <c r="AJ632" t="s">
        <v>3943</v>
      </c>
      <c r="AL632" t="s">
        <v>4099</v>
      </c>
      <c r="AM632" t="s">
        <v>2230</v>
      </c>
      <c r="AO632">
        <v>3260</v>
      </c>
      <c r="AQ632">
        <v>84</v>
      </c>
      <c r="AR632" t="s">
        <v>4112</v>
      </c>
      <c r="AU632" t="s">
        <v>4070</v>
      </c>
      <c r="AW632">
        <v>43</v>
      </c>
      <c r="AY632" t="s">
        <v>4140</v>
      </c>
      <c r="BB632" t="s">
        <v>4154</v>
      </c>
      <c r="BG632" t="s">
        <v>4504</v>
      </c>
      <c r="BM632" t="s">
        <v>4627</v>
      </c>
    </row>
    <row r="633" spans="1:67">
      <c r="A633" s="1">
        <f>HYPERLINK("https://lsnyc.legalserver.org/matter/dynamic-profile/view/1836666","17-1836666")</f>
        <v>0</v>
      </c>
      <c r="B633" t="s">
        <v>84</v>
      </c>
      <c r="C633" t="s">
        <v>93</v>
      </c>
      <c r="D633" t="s">
        <v>377</v>
      </c>
      <c r="E633" t="s">
        <v>125</v>
      </c>
      <c r="F633" t="s">
        <v>805</v>
      </c>
      <c r="G633" t="s">
        <v>1343</v>
      </c>
      <c r="H633" t="s">
        <v>1788</v>
      </c>
      <c r="I633" t="s">
        <v>2065</v>
      </c>
      <c r="J633" t="s">
        <v>2205</v>
      </c>
      <c r="K633">
        <v>11249</v>
      </c>
      <c r="L633" t="s">
        <v>2226</v>
      </c>
      <c r="N633" t="s">
        <v>2233</v>
      </c>
      <c r="O633" t="s">
        <v>2643</v>
      </c>
      <c r="Q633" t="s">
        <v>3284</v>
      </c>
      <c r="R633">
        <v>2</v>
      </c>
      <c r="S633">
        <v>0</v>
      </c>
      <c r="T633">
        <v>249.26</v>
      </c>
      <c r="W633">
        <v>40480</v>
      </c>
      <c r="Y633">
        <v>219.18</v>
      </c>
      <c r="Z633" t="s">
        <v>358</v>
      </c>
      <c r="AA633" t="s">
        <v>3897</v>
      </c>
      <c r="AC633" t="s">
        <v>3942</v>
      </c>
      <c r="AD633" t="s">
        <v>305</v>
      </c>
      <c r="AF633" t="s">
        <v>4053</v>
      </c>
      <c r="AH633" t="s">
        <v>4076</v>
      </c>
      <c r="AJ633" t="s">
        <v>3942</v>
      </c>
      <c r="AK633" t="s">
        <v>4084</v>
      </c>
      <c r="AM633" t="s">
        <v>2230</v>
      </c>
      <c r="AO633">
        <v>2500</v>
      </c>
      <c r="AQ633">
        <v>36</v>
      </c>
      <c r="AS633" t="s">
        <v>4113</v>
      </c>
      <c r="AT633" t="s">
        <v>4127</v>
      </c>
      <c r="AW633">
        <v>2</v>
      </c>
      <c r="AY633" t="s">
        <v>4140</v>
      </c>
      <c r="BB633" t="s">
        <v>4154</v>
      </c>
      <c r="BG633" t="s">
        <v>4505</v>
      </c>
      <c r="BH633" t="s">
        <v>4619</v>
      </c>
      <c r="BJ633" t="s">
        <v>4622</v>
      </c>
      <c r="BL633" t="s">
        <v>4626</v>
      </c>
      <c r="BM633" t="s">
        <v>4628</v>
      </c>
    </row>
    <row r="634" spans="1:67">
      <c r="A634" s="1">
        <f>HYPERLINK("https://lsnyc.legalserver.org/matter/dynamic-profile/view/1865133","18-1865133")</f>
        <v>0</v>
      </c>
      <c r="B634" t="s">
        <v>84</v>
      </c>
      <c r="C634" t="s">
        <v>93</v>
      </c>
      <c r="D634" t="s">
        <v>378</v>
      </c>
      <c r="F634" t="s">
        <v>806</v>
      </c>
      <c r="G634" t="s">
        <v>1039</v>
      </c>
      <c r="H634" t="s">
        <v>1789</v>
      </c>
      <c r="I634" t="s">
        <v>1924</v>
      </c>
      <c r="J634" t="s">
        <v>2205</v>
      </c>
      <c r="K634">
        <v>11233</v>
      </c>
      <c r="N634" t="s">
        <v>2233</v>
      </c>
      <c r="O634" t="s">
        <v>2644</v>
      </c>
      <c r="Q634" t="s">
        <v>3285</v>
      </c>
      <c r="R634">
        <v>1</v>
      </c>
      <c r="S634">
        <v>0</v>
      </c>
      <c r="T634">
        <v>0</v>
      </c>
      <c r="W634">
        <v>0</v>
      </c>
      <c r="Y634">
        <v>77.8</v>
      </c>
      <c r="Z634" t="s">
        <v>173</v>
      </c>
      <c r="AA634" t="s">
        <v>3893</v>
      </c>
      <c r="AC634" t="s">
        <v>3942</v>
      </c>
      <c r="AD634" t="s">
        <v>3947</v>
      </c>
      <c r="AF634" t="s">
        <v>4050</v>
      </c>
      <c r="AH634" t="s">
        <v>4076</v>
      </c>
      <c r="AI634" t="s">
        <v>4082</v>
      </c>
      <c r="AL634" t="s">
        <v>4102</v>
      </c>
      <c r="AM634" t="s">
        <v>2230</v>
      </c>
      <c r="AO634">
        <v>173.52</v>
      </c>
      <c r="AQ634">
        <v>6</v>
      </c>
      <c r="AR634" t="s">
        <v>4112</v>
      </c>
      <c r="AU634" t="s">
        <v>4128</v>
      </c>
      <c r="AW634">
        <v>42</v>
      </c>
      <c r="AY634" t="s">
        <v>4140</v>
      </c>
      <c r="BB634" t="s">
        <v>4154</v>
      </c>
      <c r="BG634" t="s">
        <v>4506</v>
      </c>
      <c r="BM634" t="s">
        <v>4627</v>
      </c>
    </row>
    <row r="635" spans="1:67">
      <c r="A635" s="1">
        <f>HYPERLINK("https://lsnyc.legalserver.org/matter/dynamic-profile/view/0787372","15-0787372")</f>
        <v>0</v>
      </c>
      <c r="B635" t="s">
        <v>84</v>
      </c>
      <c r="C635" t="s">
        <v>93</v>
      </c>
      <c r="D635" t="s">
        <v>379</v>
      </c>
      <c r="E635" t="s">
        <v>173</v>
      </c>
      <c r="F635" t="s">
        <v>807</v>
      </c>
      <c r="G635" t="s">
        <v>1344</v>
      </c>
      <c r="H635" t="s">
        <v>1790</v>
      </c>
      <c r="I635" t="s">
        <v>2066</v>
      </c>
      <c r="J635" t="s">
        <v>2205</v>
      </c>
      <c r="K635">
        <v>11208</v>
      </c>
      <c r="L635" t="s">
        <v>2223</v>
      </c>
      <c r="N635" t="s">
        <v>2233</v>
      </c>
      <c r="O635" t="s">
        <v>2645</v>
      </c>
      <c r="Q635" t="s">
        <v>3286</v>
      </c>
      <c r="R635">
        <v>2</v>
      </c>
      <c r="S635">
        <v>0</v>
      </c>
      <c r="T635">
        <v>150.66</v>
      </c>
      <c r="W635">
        <v>24000</v>
      </c>
      <c r="Y635">
        <v>14.25</v>
      </c>
      <c r="Z635" t="s">
        <v>3873</v>
      </c>
      <c r="AA635" t="s">
        <v>3916</v>
      </c>
      <c r="AB635" t="s">
        <v>3941</v>
      </c>
      <c r="AC635" t="s">
        <v>3943</v>
      </c>
      <c r="AD635" t="s">
        <v>4032</v>
      </c>
      <c r="AF635" t="s">
        <v>4053</v>
      </c>
      <c r="AH635" t="s">
        <v>4076</v>
      </c>
      <c r="AI635" t="s">
        <v>4082</v>
      </c>
      <c r="AL635" t="s">
        <v>4086</v>
      </c>
      <c r="AM635" t="s">
        <v>2230</v>
      </c>
      <c r="AO635">
        <v>1400</v>
      </c>
      <c r="AP635" t="s">
        <v>4108</v>
      </c>
      <c r="AQ635" t="s">
        <v>4110</v>
      </c>
      <c r="AS635" t="s">
        <v>4125</v>
      </c>
      <c r="AT635" t="s">
        <v>4127</v>
      </c>
      <c r="AW635">
        <v>8</v>
      </c>
      <c r="AY635" t="s">
        <v>4070</v>
      </c>
      <c r="BB635" t="s">
        <v>4154</v>
      </c>
      <c r="BF635" t="s">
        <v>4281</v>
      </c>
      <c r="BG635" t="s">
        <v>4507</v>
      </c>
      <c r="BH635" t="s">
        <v>4619</v>
      </c>
      <c r="BJ635" t="s">
        <v>4622</v>
      </c>
      <c r="BL635" t="s">
        <v>4626</v>
      </c>
      <c r="BM635" t="s">
        <v>4628</v>
      </c>
    </row>
    <row r="636" spans="1:67">
      <c r="A636" s="1">
        <f>HYPERLINK("https://lsnyc.legalserver.org/matter/dynamic-profile/view/0805063","16-0805063")</f>
        <v>0</v>
      </c>
      <c r="B636" t="s">
        <v>84</v>
      </c>
      <c r="C636" t="s">
        <v>93</v>
      </c>
      <c r="D636" t="s">
        <v>380</v>
      </c>
      <c r="E636" t="s">
        <v>173</v>
      </c>
      <c r="F636" t="s">
        <v>807</v>
      </c>
      <c r="G636" t="s">
        <v>1344</v>
      </c>
      <c r="H636" t="s">
        <v>1790</v>
      </c>
      <c r="I636" t="s">
        <v>2066</v>
      </c>
      <c r="J636" t="s">
        <v>2205</v>
      </c>
      <c r="K636">
        <v>11208</v>
      </c>
      <c r="L636" t="s">
        <v>2223</v>
      </c>
      <c r="N636" t="s">
        <v>2233</v>
      </c>
      <c r="O636" t="s">
        <v>2645</v>
      </c>
      <c r="Q636" t="s">
        <v>3286</v>
      </c>
      <c r="R636">
        <v>2</v>
      </c>
      <c r="S636">
        <v>0</v>
      </c>
      <c r="T636">
        <v>131.46</v>
      </c>
      <c r="W636">
        <v>21060</v>
      </c>
      <c r="Y636">
        <v>17.7</v>
      </c>
      <c r="Z636" t="s">
        <v>3874</v>
      </c>
      <c r="AA636" t="s">
        <v>84</v>
      </c>
      <c r="AB636" t="s">
        <v>3940</v>
      </c>
      <c r="AC636" t="s">
        <v>3944</v>
      </c>
      <c r="AD636" t="s">
        <v>4033</v>
      </c>
      <c r="AF636" t="s">
        <v>4053</v>
      </c>
      <c r="AH636" t="s">
        <v>4076</v>
      </c>
      <c r="AI636" t="s">
        <v>4082</v>
      </c>
      <c r="AL636" t="s">
        <v>4086</v>
      </c>
      <c r="AM636" t="s">
        <v>2230</v>
      </c>
      <c r="AO636">
        <v>1048</v>
      </c>
      <c r="AQ636">
        <v>6</v>
      </c>
      <c r="AS636" t="s">
        <v>4114</v>
      </c>
      <c r="AU636" t="s">
        <v>4129</v>
      </c>
      <c r="AW636">
        <v>9</v>
      </c>
      <c r="AY636" t="s">
        <v>4070</v>
      </c>
      <c r="BB636" t="s">
        <v>4154</v>
      </c>
      <c r="BG636" t="s">
        <v>4508</v>
      </c>
      <c r="BH636" t="s">
        <v>4619</v>
      </c>
      <c r="BJ636" t="s">
        <v>4622</v>
      </c>
      <c r="BL636" t="s">
        <v>4626</v>
      </c>
      <c r="BM636" t="s">
        <v>4628</v>
      </c>
    </row>
    <row r="637" spans="1:67">
      <c r="A637" s="1">
        <f>HYPERLINK("https://lsnyc.legalserver.org/matter/dynamic-profile/view/1915255","19-1915255")</f>
        <v>0</v>
      </c>
      <c r="B637" t="s">
        <v>84</v>
      </c>
      <c r="C637" t="s">
        <v>93</v>
      </c>
      <c r="D637" t="s">
        <v>360</v>
      </c>
      <c r="F637" t="s">
        <v>808</v>
      </c>
      <c r="G637" t="s">
        <v>1212</v>
      </c>
      <c r="H637" t="s">
        <v>1791</v>
      </c>
      <c r="I637" t="s">
        <v>1945</v>
      </c>
      <c r="J637" t="s">
        <v>2205</v>
      </c>
      <c r="K637">
        <v>11233</v>
      </c>
      <c r="N637" t="s">
        <v>2233</v>
      </c>
      <c r="O637" t="s">
        <v>2646</v>
      </c>
      <c r="Q637" t="s">
        <v>3287</v>
      </c>
      <c r="R637">
        <v>1</v>
      </c>
      <c r="S637">
        <v>1</v>
      </c>
      <c r="T637">
        <v>222.02</v>
      </c>
      <c r="W637">
        <v>37544</v>
      </c>
      <c r="Y637">
        <v>0</v>
      </c>
      <c r="AA637" t="s">
        <v>90</v>
      </c>
      <c r="AC637" t="s">
        <v>3942</v>
      </c>
      <c r="AD637" t="s">
        <v>360</v>
      </c>
      <c r="AF637" t="s">
        <v>4058</v>
      </c>
      <c r="AG637" t="s">
        <v>4075</v>
      </c>
      <c r="AJ637" t="s">
        <v>3943</v>
      </c>
      <c r="AL637" t="s">
        <v>4090</v>
      </c>
      <c r="AM637" t="s">
        <v>2230</v>
      </c>
      <c r="AO637">
        <v>1300</v>
      </c>
      <c r="AQ637">
        <v>9</v>
      </c>
      <c r="AS637" t="s">
        <v>4113</v>
      </c>
      <c r="AU637" t="s">
        <v>4128</v>
      </c>
      <c r="AW637">
        <v>7</v>
      </c>
      <c r="AY637" t="s">
        <v>4140</v>
      </c>
      <c r="BA637" t="s">
        <v>4149</v>
      </c>
      <c r="BC637" t="s">
        <v>4155</v>
      </c>
      <c r="BE637" t="s">
        <v>4168</v>
      </c>
      <c r="BF637" t="s">
        <v>4281</v>
      </c>
      <c r="BG637" t="s">
        <v>4509</v>
      </c>
      <c r="BM637" t="s">
        <v>4627</v>
      </c>
    </row>
    <row r="638" spans="1:67">
      <c r="A638" s="1">
        <f>HYPERLINK("https://lsnyc.legalserver.org/matter/dynamic-profile/view/1899962","19-1899962")</f>
        <v>0</v>
      </c>
      <c r="B638" t="s">
        <v>84</v>
      </c>
      <c r="C638" t="s">
        <v>93</v>
      </c>
      <c r="D638" t="s">
        <v>381</v>
      </c>
      <c r="E638" t="s">
        <v>125</v>
      </c>
      <c r="F638" t="s">
        <v>809</v>
      </c>
      <c r="G638" t="s">
        <v>1345</v>
      </c>
      <c r="H638" t="s">
        <v>1792</v>
      </c>
      <c r="I638">
        <v>413</v>
      </c>
      <c r="J638" t="s">
        <v>2205</v>
      </c>
      <c r="K638">
        <v>11207</v>
      </c>
      <c r="L638" t="s">
        <v>2223</v>
      </c>
      <c r="N638" t="s">
        <v>2233</v>
      </c>
      <c r="O638" t="s">
        <v>2508</v>
      </c>
      <c r="Q638" t="s">
        <v>3288</v>
      </c>
      <c r="R638">
        <v>1</v>
      </c>
      <c r="S638">
        <v>0</v>
      </c>
      <c r="T638">
        <v>0</v>
      </c>
      <c r="W638">
        <v>0</v>
      </c>
      <c r="Y638">
        <v>20.4</v>
      </c>
      <c r="Z638" t="s">
        <v>470</v>
      </c>
      <c r="AA638" t="s">
        <v>70</v>
      </c>
      <c r="AC638" t="s">
        <v>3942</v>
      </c>
      <c r="AD638" t="s">
        <v>439</v>
      </c>
      <c r="AF638" t="s">
        <v>4053</v>
      </c>
      <c r="AH638" t="s">
        <v>4076</v>
      </c>
      <c r="AJ638" t="s">
        <v>3943</v>
      </c>
      <c r="AK638" t="s">
        <v>4084</v>
      </c>
      <c r="AM638" t="s">
        <v>2230</v>
      </c>
      <c r="AO638">
        <v>906</v>
      </c>
      <c r="AQ638">
        <v>98</v>
      </c>
      <c r="AR638" t="s">
        <v>4112</v>
      </c>
      <c r="AT638" t="s">
        <v>4127</v>
      </c>
      <c r="AW638">
        <v>8</v>
      </c>
      <c r="AY638" t="s">
        <v>4140</v>
      </c>
      <c r="BA638" t="s">
        <v>4149</v>
      </c>
      <c r="BC638" t="s">
        <v>4155</v>
      </c>
      <c r="BG638" t="s">
        <v>4510</v>
      </c>
      <c r="BH638" t="s">
        <v>4619</v>
      </c>
      <c r="BJ638" t="s">
        <v>4622</v>
      </c>
      <c r="BL638" t="s">
        <v>4626</v>
      </c>
      <c r="BM638" t="s">
        <v>4628</v>
      </c>
    </row>
    <row r="639" spans="1:67">
      <c r="A639" s="1">
        <f>HYPERLINK("https://lsnyc.legalserver.org/matter/dynamic-profile/view/1896462","19-1896462")</f>
        <v>0</v>
      </c>
      <c r="B639" t="s">
        <v>84</v>
      </c>
      <c r="C639" t="s">
        <v>93</v>
      </c>
      <c r="D639" t="s">
        <v>219</v>
      </c>
      <c r="E639" t="s">
        <v>457</v>
      </c>
      <c r="F639" t="s">
        <v>810</v>
      </c>
      <c r="G639" t="s">
        <v>1091</v>
      </c>
      <c r="H639" t="s">
        <v>1793</v>
      </c>
      <c r="I639" t="s">
        <v>1925</v>
      </c>
      <c r="J639" t="s">
        <v>2205</v>
      </c>
      <c r="K639">
        <v>11208</v>
      </c>
      <c r="L639" t="s">
        <v>2227</v>
      </c>
      <c r="N639" t="s">
        <v>2233</v>
      </c>
      <c r="O639" t="s">
        <v>2647</v>
      </c>
      <c r="Q639" t="s">
        <v>3289</v>
      </c>
      <c r="R639">
        <v>2</v>
      </c>
      <c r="S639">
        <v>1</v>
      </c>
      <c r="T639">
        <v>146.27</v>
      </c>
      <c r="W639">
        <v>31200</v>
      </c>
      <c r="Y639">
        <v>27.8</v>
      </c>
      <c r="Z639" t="s">
        <v>204</v>
      </c>
      <c r="AA639" t="s">
        <v>90</v>
      </c>
      <c r="AC639" t="s">
        <v>3942</v>
      </c>
      <c r="AD639" t="s">
        <v>439</v>
      </c>
      <c r="AF639" t="s">
        <v>4050</v>
      </c>
      <c r="AH639" t="s">
        <v>4076</v>
      </c>
      <c r="AJ639" t="s">
        <v>3943</v>
      </c>
      <c r="AL639" t="s">
        <v>4099</v>
      </c>
      <c r="AM639" t="s">
        <v>2230</v>
      </c>
      <c r="AO639">
        <v>1550</v>
      </c>
      <c r="AQ639">
        <v>4</v>
      </c>
      <c r="AS639" t="s">
        <v>4114</v>
      </c>
      <c r="AU639" t="s">
        <v>4132</v>
      </c>
      <c r="AW639">
        <v>4</v>
      </c>
      <c r="AY639" t="s">
        <v>4140</v>
      </c>
      <c r="BA639" t="s">
        <v>4149</v>
      </c>
      <c r="BC639" t="s">
        <v>4155</v>
      </c>
      <c r="BE639" t="s">
        <v>4235</v>
      </c>
      <c r="BG639" t="s">
        <v>4511</v>
      </c>
      <c r="BI639" t="s">
        <v>4620</v>
      </c>
      <c r="BJ639" t="s">
        <v>4622</v>
      </c>
      <c r="BM639" t="s">
        <v>4628</v>
      </c>
      <c r="BN639" t="s">
        <v>4630</v>
      </c>
      <c r="BO639" t="s">
        <v>4639</v>
      </c>
    </row>
    <row r="640" spans="1:67">
      <c r="A640" s="1">
        <f>HYPERLINK("https://lsnyc.legalserver.org/matter/dynamic-profile/view/1911375","19-1911375")</f>
        <v>0</v>
      </c>
      <c r="B640" t="s">
        <v>84</v>
      </c>
      <c r="C640" t="s">
        <v>93</v>
      </c>
      <c r="D640" t="s">
        <v>180</v>
      </c>
      <c r="E640" t="s">
        <v>173</v>
      </c>
      <c r="F640" t="s">
        <v>811</v>
      </c>
      <c r="G640" t="s">
        <v>1346</v>
      </c>
      <c r="H640" t="s">
        <v>1794</v>
      </c>
      <c r="J640" t="s">
        <v>2205</v>
      </c>
      <c r="K640">
        <v>11233</v>
      </c>
      <c r="L640" t="s">
        <v>2222</v>
      </c>
      <c r="N640" t="s">
        <v>2233</v>
      </c>
      <c r="O640" t="s">
        <v>2648</v>
      </c>
      <c r="Q640" t="s">
        <v>3290</v>
      </c>
      <c r="R640">
        <v>1</v>
      </c>
      <c r="S640">
        <v>0</v>
      </c>
      <c r="T640">
        <v>69.18000000000001</v>
      </c>
      <c r="W640">
        <v>8640</v>
      </c>
      <c r="Y640">
        <v>1</v>
      </c>
      <c r="Z640" t="s">
        <v>298</v>
      </c>
      <c r="AA640" t="s">
        <v>90</v>
      </c>
      <c r="AC640" t="s">
        <v>3942</v>
      </c>
      <c r="AF640" t="s">
        <v>4054</v>
      </c>
      <c r="AG640" t="s">
        <v>4075</v>
      </c>
      <c r="AJ640" t="s">
        <v>3943</v>
      </c>
      <c r="AL640" t="s">
        <v>4103</v>
      </c>
      <c r="AM640" t="s">
        <v>2230</v>
      </c>
      <c r="AO640">
        <v>330</v>
      </c>
      <c r="AQ640">
        <v>27</v>
      </c>
      <c r="AS640" t="s">
        <v>4120</v>
      </c>
      <c r="AU640" t="s">
        <v>4136</v>
      </c>
      <c r="AW640">
        <v>9</v>
      </c>
      <c r="AY640" t="s">
        <v>4140</v>
      </c>
      <c r="AZ640" t="s">
        <v>4148</v>
      </c>
      <c r="BC640" t="s">
        <v>4155</v>
      </c>
      <c r="BE640" t="s">
        <v>4236</v>
      </c>
      <c r="BF640" t="s">
        <v>4281</v>
      </c>
      <c r="BG640" t="s">
        <v>4303</v>
      </c>
      <c r="BM640" t="s">
        <v>4628</v>
      </c>
    </row>
    <row r="641" spans="1:67">
      <c r="A641" s="1">
        <f>HYPERLINK("https://lsnyc.legalserver.org/matter/dynamic-profile/view/1909255","19-1909255")</f>
        <v>0</v>
      </c>
      <c r="B641" t="s">
        <v>84</v>
      </c>
      <c r="C641" t="s">
        <v>93</v>
      </c>
      <c r="D641" t="s">
        <v>382</v>
      </c>
      <c r="E641" t="s">
        <v>125</v>
      </c>
      <c r="F641" t="s">
        <v>812</v>
      </c>
      <c r="G641" t="s">
        <v>1347</v>
      </c>
      <c r="H641" t="s">
        <v>1795</v>
      </c>
      <c r="I641">
        <v>2</v>
      </c>
      <c r="J641" t="s">
        <v>2205</v>
      </c>
      <c r="K641">
        <v>11233</v>
      </c>
      <c r="L641" t="s">
        <v>2222</v>
      </c>
      <c r="N641" t="s">
        <v>2233</v>
      </c>
      <c r="O641" t="s">
        <v>2649</v>
      </c>
      <c r="P641" t="s">
        <v>2930</v>
      </c>
      <c r="R641">
        <v>1</v>
      </c>
      <c r="S641">
        <v>0</v>
      </c>
      <c r="T641">
        <v>147.28</v>
      </c>
      <c r="W641">
        <v>18395</v>
      </c>
      <c r="Y641">
        <v>1.5</v>
      </c>
      <c r="Z641" t="s">
        <v>180</v>
      </c>
      <c r="AA641" t="s">
        <v>3909</v>
      </c>
      <c r="AC641" t="s">
        <v>3942</v>
      </c>
      <c r="AD641" t="s">
        <v>180</v>
      </c>
      <c r="AF641" t="s">
        <v>4058</v>
      </c>
      <c r="AH641" t="s">
        <v>4081</v>
      </c>
      <c r="AJ641" t="s">
        <v>3943</v>
      </c>
      <c r="AL641" t="s">
        <v>4070</v>
      </c>
      <c r="AM641" t="s">
        <v>2230</v>
      </c>
      <c r="AO641">
        <v>2450</v>
      </c>
      <c r="AQ641">
        <v>3</v>
      </c>
      <c r="AS641" t="s">
        <v>4117</v>
      </c>
      <c r="AU641" t="s">
        <v>4128</v>
      </c>
      <c r="AW641">
        <v>1</v>
      </c>
      <c r="AY641" t="s">
        <v>4140</v>
      </c>
      <c r="BA641" t="s">
        <v>4149</v>
      </c>
      <c r="BC641" t="s">
        <v>4155</v>
      </c>
      <c r="BE641" t="s">
        <v>4159</v>
      </c>
      <c r="BF641" t="s">
        <v>4281</v>
      </c>
      <c r="BG641" t="s">
        <v>4159</v>
      </c>
      <c r="BM641" t="s">
        <v>4628</v>
      </c>
    </row>
    <row r="642" spans="1:67">
      <c r="A642" s="1">
        <f>HYPERLINK("https://lsnyc.legalserver.org/matter/dynamic-profile/view/1899599","19-1899599")</f>
        <v>0</v>
      </c>
      <c r="B642" t="s">
        <v>84</v>
      </c>
      <c r="C642" t="s">
        <v>93</v>
      </c>
      <c r="D642" t="s">
        <v>200</v>
      </c>
      <c r="E642" t="s">
        <v>125</v>
      </c>
      <c r="F642" t="s">
        <v>813</v>
      </c>
      <c r="G642" t="s">
        <v>1348</v>
      </c>
      <c r="H642" t="s">
        <v>1796</v>
      </c>
      <c r="I642" t="s">
        <v>1972</v>
      </c>
      <c r="J642" t="s">
        <v>2205</v>
      </c>
      <c r="K642">
        <v>11207</v>
      </c>
      <c r="L642" t="s">
        <v>2223</v>
      </c>
      <c r="N642" t="s">
        <v>2233</v>
      </c>
      <c r="O642" t="s">
        <v>2650</v>
      </c>
      <c r="Q642" t="s">
        <v>3291</v>
      </c>
      <c r="R642">
        <v>1</v>
      </c>
      <c r="S642">
        <v>1</v>
      </c>
      <c r="T642">
        <v>147.84</v>
      </c>
      <c r="W642">
        <v>25000</v>
      </c>
      <c r="Y642">
        <v>24.2</v>
      </c>
      <c r="Z642" t="s">
        <v>3838</v>
      </c>
      <c r="AA642" t="s">
        <v>70</v>
      </c>
      <c r="AC642" t="s">
        <v>3942</v>
      </c>
      <c r="AD642" t="s">
        <v>4034</v>
      </c>
      <c r="AF642" t="s">
        <v>4050</v>
      </c>
      <c r="AH642" t="s">
        <v>4076</v>
      </c>
      <c r="AJ642" t="s">
        <v>3943</v>
      </c>
      <c r="AK642" t="s">
        <v>4084</v>
      </c>
      <c r="AM642" t="s">
        <v>2230</v>
      </c>
      <c r="AO642">
        <v>600</v>
      </c>
      <c r="AQ642">
        <v>2</v>
      </c>
      <c r="AS642" t="s">
        <v>4114</v>
      </c>
      <c r="AU642" t="s">
        <v>4070</v>
      </c>
      <c r="AW642">
        <v>10</v>
      </c>
      <c r="AY642" t="s">
        <v>4140</v>
      </c>
      <c r="BA642" t="s">
        <v>4149</v>
      </c>
      <c r="BC642" t="s">
        <v>4155</v>
      </c>
      <c r="BG642" t="s">
        <v>4512</v>
      </c>
      <c r="BH642" t="s">
        <v>4619</v>
      </c>
      <c r="BJ642" t="s">
        <v>4622</v>
      </c>
      <c r="BL642" t="s">
        <v>4626</v>
      </c>
      <c r="BM642" t="s">
        <v>4628</v>
      </c>
    </row>
    <row r="643" spans="1:67">
      <c r="A643" s="1">
        <f>HYPERLINK("https://lsnyc.legalserver.org/matter/dynamic-profile/view/1863243","18-1863243")</f>
        <v>0</v>
      </c>
      <c r="B643" t="s">
        <v>84</v>
      </c>
      <c r="C643" t="s">
        <v>93</v>
      </c>
      <c r="D643" t="s">
        <v>383</v>
      </c>
      <c r="F643" t="s">
        <v>736</v>
      </c>
      <c r="G643" t="s">
        <v>1349</v>
      </c>
      <c r="H643" t="s">
        <v>1797</v>
      </c>
      <c r="I643">
        <v>1</v>
      </c>
      <c r="J643" t="s">
        <v>2205</v>
      </c>
      <c r="K643">
        <v>11237</v>
      </c>
      <c r="N643" t="s">
        <v>2233</v>
      </c>
      <c r="O643" t="s">
        <v>2573</v>
      </c>
      <c r="Q643" t="s">
        <v>3292</v>
      </c>
      <c r="R643">
        <v>1</v>
      </c>
      <c r="S643">
        <v>0</v>
      </c>
      <c r="T643">
        <v>49.42</v>
      </c>
      <c r="W643">
        <v>6000</v>
      </c>
      <c r="Y643">
        <v>50.2</v>
      </c>
      <c r="Z643" t="s">
        <v>176</v>
      </c>
      <c r="AA643" t="s">
        <v>3905</v>
      </c>
      <c r="AC643" t="s">
        <v>3942</v>
      </c>
      <c r="AD643" t="s">
        <v>3947</v>
      </c>
      <c r="AE643" t="s">
        <v>4049</v>
      </c>
      <c r="AH643" t="s">
        <v>4081</v>
      </c>
      <c r="AJ643" t="s">
        <v>3943</v>
      </c>
      <c r="AL643" t="s">
        <v>4102</v>
      </c>
      <c r="AM643" t="s">
        <v>2230</v>
      </c>
      <c r="AO643">
        <v>900</v>
      </c>
      <c r="AQ643">
        <v>6</v>
      </c>
      <c r="AR643" t="s">
        <v>4112</v>
      </c>
      <c r="AT643" t="s">
        <v>4127</v>
      </c>
      <c r="AW643">
        <v>40</v>
      </c>
      <c r="AY643" t="s">
        <v>4141</v>
      </c>
      <c r="BB643" t="s">
        <v>4154</v>
      </c>
      <c r="BG643" t="s">
        <v>4513</v>
      </c>
      <c r="BM643" t="s">
        <v>4627</v>
      </c>
    </row>
    <row r="644" spans="1:67">
      <c r="A644" s="1">
        <f>HYPERLINK("https://lsnyc.legalserver.org/matter/dynamic-profile/view/1907258","19-1907258")</f>
        <v>0</v>
      </c>
      <c r="B644" t="s">
        <v>84</v>
      </c>
      <c r="C644" t="s">
        <v>93</v>
      </c>
      <c r="D644" t="s">
        <v>384</v>
      </c>
      <c r="F644" t="s">
        <v>814</v>
      </c>
      <c r="G644" t="s">
        <v>1350</v>
      </c>
      <c r="H644" t="s">
        <v>1798</v>
      </c>
      <c r="I644" t="s">
        <v>1920</v>
      </c>
      <c r="J644" t="s">
        <v>2205</v>
      </c>
      <c r="K644">
        <v>11233</v>
      </c>
      <c r="N644" t="s">
        <v>2233</v>
      </c>
      <c r="O644" t="s">
        <v>2651</v>
      </c>
      <c r="Q644" t="s">
        <v>3293</v>
      </c>
      <c r="R644">
        <v>1</v>
      </c>
      <c r="S644">
        <v>0</v>
      </c>
      <c r="T644">
        <v>26.55</v>
      </c>
      <c r="W644">
        <v>3315.6</v>
      </c>
      <c r="Y644">
        <v>14.6</v>
      </c>
      <c r="Z644" t="s">
        <v>122</v>
      </c>
      <c r="AA644" t="s">
        <v>3904</v>
      </c>
      <c r="AC644" t="s">
        <v>3942</v>
      </c>
      <c r="AD644" t="s">
        <v>429</v>
      </c>
      <c r="AF644" t="s">
        <v>4053</v>
      </c>
      <c r="AH644" t="s">
        <v>4076</v>
      </c>
      <c r="AJ644" t="s">
        <v>3943</v>
      </c>
      <c r="AL644" t="s">
        <v>4086</v>
      </c>
      <c r="AM644" t="s">
        <v>2230</v>
      </c>
      <c r="AO644">
        <v>627</v>
      </c>
      <c r="AQ644">
        <v>112</v>
      </c>
      <c r="AS644" t="s">
        <v>4113</v>
      </c>
      <c r="AU644" t="s">
        <v>4129</v>
      </c>
      <c r="AW644">
        <v>8</v>
      </c>
      <c r="AY644" t="s">
        <v>4140</v>
      </c>
      <c r="BA644" t="s">
        <v>4150</v>
      </c>
      <c r="BC644" t="s">
        <v>4155</v>
      </c>
      <c r="BD644" t="s">
        <v>4157</v>
      </c>
      <c r="BE644" t="s">
        <v>4237</v>
      </c>
      <c r="BG644" t="s">
        <v>4514</v>
      </c>
      <c r="BM644" t="s">
        <v>4627</v>
      </c>
    </row>
    <row r="645" spans="1:67">
      <c r="A645" s="1">
        <f>HYPERLINK("https://lsnyc.legalserver.org/matter/dynamic-profile/view/1883833","18-1883833")</f>
        <v>0</v>
      </c>
      <c r="B645" t="s">
        <v>84</v>
      </c>
      <c r="C645" t="s">
        <v>93</v>
      </c>
      <c r="D645" t="s">
        <v>385</v>
      </c>
      <c r="F645" t="s">
        <v>815</v>
      </c>
      <c r="G645" t="s">
        <v>1351</v>
      </c>
      <c r="H645" t="s">
        <v>1799</v>
      </c>
      <c r="I645" t="s">
        <v>2067</v>
      </c>
      <c r="J645" t="s">
        <v>2205</v>
      </c>
      <c r="K645">
        <v>11208</v>
      </c>
      <c r="N645" t="s">
        <v>2233</v>
      </c>
      <c r="O645" t="s">
        <v>2652</v>
      </c>
      <c r="Q645" t="s">
        <v>3294</v>
      </c>
      <c r="R645">
        <v>3</v>
      </c>
      <c r="S645">
        <v>0</v>
      </c>
      <c r="T645">
        <v>150.14</v>
      </c>
      <c r="W645">
        <v>31200</v>
      </c>
      <c r="Y645">
        <v>4.6</v>
      </c>
      <c r="Z645" t="s">
        <v>403</v>
      </c>
      <c r="AA645" t="s">
        <v>3908</v>
      </c>
      <c r="AC645" t="s">
        <v>3942</v>
      </c>
      <c r="AD645" t="s">
        <v>3884</v>
      </c>
      <c r="AF645" t="s">
        <v>4050</v>
      </c>
      <c r="AH645" t="s">
        <v>4081</v>
      </c>
      <c r="AI645" t="s">
        <v>4082</v>
      </c>
      <c r="AL645" t="s">
        <v>4099</v>
      </c>
      <c r="AM645" t="s">
        <v>2230</v>
      </c>
      <c r="AN645" t="s">
        <v>4107</v>
      </c>
      <c r="AO645">
        <v>0</v>
      </c>
      <c r="AQ645">
        <v>2</v>
      </c>
      <c r="AR645" t="s">
        <v>4112</v>
      </c>
      <c r="AU645" t="s">
        <v>4128</v>
      </c>
      <c r="AW645">
        <v>40</v>
      </c>
      <c r="AY645" t="s">
        <v>4140</v>
      </c>
      <c r="BB645" t="s">
        <v>4154</v>
      </c>
      <c r="BG645" t="s">
        <v>4515</v>
      </c>
      <c r="BM645" t="s">
        <v>4627</v>
      </c>
    </row>
    <row r="646" spans="1:67">
      <c r="A646" s="1">
        <f>HYPERLINK("https://lsnyc.legalserver.org/matter/dynamic-profile/view/1909907","19-1909907")</f>
        <v>0</v>
      </c>
      <c r="B646" t="s">
        <v>84</v>
      </c>
      <c r="C646" t="s">
        <v>93</v>
      </c>
      <c r="D646" t="s">
        <v>224</v>
      </c>
      <c r="E646" t="s">
        <v>110</v>
      </c>
      <c r="F646" t="s">
        <v>816</v>
      </c>
      <c r="G646" t="s">
        <v>1352</v>
      </c>
      <c r="H646" t="s">
        <v>1800</v>
      </c>
      <c r="I646" t="s">
        <v>1959</v>
      </c>
      <c r="J646" t="s">
        <v>2205</v>
      </c>
      <c r="K646">
        <v>11233</v>
      </c>
      <c r="L646" t="s">
        <v>2223</v>
      </c>
      <c r="N646" t="s">
        <v>2233</v>
      </c>
      <c r="O646" t="s">
        <v>2653</v>
      </c>
      <c r="Q646" t="s">
        <v>3295</v>
      </c>
      <c r="R646">
        <v>2</v>
      </c>
      <c r="S646">
        <v>0</v>
      </c>
      <c r="T646">
        <v>124.54</v>
      </c>
      <c r="W646">
        <v>21060</v>
      </c>
      <c r="Y646">
        <v>5.44</v>
      </c>
      <c r="Z646" t="s">
        <v>102</v>
      </c>
      <c r="AA646" t="s">
        <v>3906</v>
      </c>
      <c r="AC646" t="s">
        <v>3942</v>
      </c>
      <c r="AD646" t="s">
        <v>123</v>
      </c>
      <c r="AF646" t="s">
        <v>4053</v>
      </c>
      <c r="AH646" t="s">
        <v>4076</v>
      </c>
      <c r="AJ646" t="s">
        <v>3943</v>
      </c>
      <c r="AL646" t="s">
        <v>4087</v>
      </c>
      <c r="AM646" t="s">
        <v>2230</v>
      </c>
      <c r="AO646">
        <v>1096.4</v>
      </c>
      <c r="AQ646">
        <v>24</v>
      </c>
      <c r="AS646" t="s">
        <v>4115</v>
      </c>
      <c r="AT646" t="s">
        <v>4127</v>
      </c>
      <c r="AW646">
        <v>12</v>
      </c>
      <c r="AY646" t="s">
        <v>4140</v>
      </c>
      <c r="BA646" t="s">
        <v>4150</v>
      </c>
      <c r="BC646" t="s">
        <v>4156</v>
      </c>
      <c r="BD646" t="s">
        <v>4157</v>
      </c>
      <c r="BE646" t="s">
        <v>4238</v>
      </c>
      <c r="BG646" t="s">
        <v>4516</v>
      </c>
      <c r="BH646" t="s">
        <v>4619</v>
      </c>
      <c r="BK646" t="s">
        <v>4625</v>
      </c>
      <c r="BM646" t="s">
        <v>4628</v>
      </c>
      <c r="BN646" t="s">
        <v>4629</v>
      </c>
      <c r="BO646" t="s">
        <v>4640</v>
      </c>
    </row>
    <row r="647" spans="1:67">
      <c r="A647" s="1">
        <f>HYPERLINK("https://lsnyc.legalserver.org/matter/dynamic-profile/view/1861859","18-1861859")</f>
        <v>0</v>
      </c>
      <c r="B647" t="s">
        <v>84</v>
      </c>
      <c r="C647" t="s">
        <v>93</v>
      </c>
      <c r="D647" t="s">
        <v>386</v>
      </c>
      <c r="F647" t="s">
        <v>817</v>
      </c>
      <c r="G647" t="s">
        <v>1353</v>
      </c>
      <c r="H647" t="s">
        <v>1801</v>
      </c>
      <c r="J647" t="s">
        <v>2205</v>
      </c>
      <c r="K647">
        <v>11237</v>
      </c>
      <c r="N647" t="s">
        <v>2233</v>
      </c>
      <c r="O647" t="s">
        <v>2654</v>
      </c>
      <c r="P647" t="s">
        <v>2930</v>
      </c>
      <c r="R647">
        <v>2</v>
      </c>
      <c r="S647">
        <v>5</v>
      </c>
      <c r="T647">
        <v>49.08</v>
      </c>
      <c r="W647">
        <v>18680</v>
      </c>
      <c r="Y647">
        <v>57.1</v>
      </c>
      <c r="Z647" t="s">
        <v>431</v>
      </c>
      <c r="AA647" t="s">
        <v>3897</v>
      </c>
      <c r="AB647" t="s">
        <v>3941</v>
      </c>
      <c r="AC647" t="s">
        <v>3943</v>
      </c>
      <c r="AD647" t="s">
        <v>3948</v>
      </c>
      <c r="AF647" t="s">
        <v>4050</v>
      </c>
      <c r="AH647" t="s">
        <v>4076</v>
      </c>
      <c r="AI647" t="s">
        <v>4082</v>
      </c>
      <c r="AL647" t="s">
        <v>4087</v>
      </c>
      <c r="AM647" t="s">
        <v>2230</v>
      </c>
      <c r="AO647">
        <v>1421.06</v>
      </c>
      <c r="AQ647">
        <v>6</v>
      </c>
      <c r="AR647" t="s">
        <v>4112</v>
      </c>
      <c r="AU647" t="s">
        <v>4129</v>
      </c>
      <c r="AV647" t="s">
        <v>4137</v>
      </c>
      <c r="AW647">
        <v>0</v>
      </c>
      <c r="AY647" t="s">
        <v>4141</v>
      </c>
      <c r="BB647" t="s">
        <v>4154</v>
      </c>
      <c r="BG647" t="s">
        <v>4517</v>
      </c>
      <c r="BM647" t="s">
        <v>4627</v>
      </c>
    </row>
    <row r="648" spans="1:67">
      <c r="A648" s="1">
        <f>HYPERLINK("https://lsnyc.legalserver.org/matter/dynamic-profile/view/1894962","19-1894962")</f>
        <v>0</v>
      </c>
      <c r="B648" t="s">
        <v>84</v>
      </c>
      <c r="C648" t="s">
        <v>93</v>
      </c>
      <c r="D648" t="s">
        <v>349</v>
      </c>
      <c r="F648" t="s">
        <v>818</v>
      </c>
      <c r="G648" t="s">
        <v>1030</v>
      </c>
      <c r="H648" t="s">
        <v>1802</v>
      </c>
      <c r="I648" t="s">
        <v>2068</v>
      </c>
      <c r="J648" t="s">
        <v>2205</v>
      </c>
      <c r="K648">
        <v>11239</v>
      </c>
      <c r="N648" t="s">
        <v>2233</v>
      </c>
      <c r="O648" t="s">
        <v>2655</v>
      </c>
      <c r="Q648" t="s">
        <v>3296</v>
      </c>
      <c r="R648">
        <v>2</v>
      </c>
      <c r="S648">
        <v>0</v>
      </c>
      <c r="T648">
        <v>59.33</v>
      </c>
      <c r="W648">
        <v>10032</v>
      </c>
      <c r="Y648">
        <v>24.3</v>
      </c>
      <c r="Z648" t="s">
        <v>457</v>
      </c>
      <c r="AA648" t="s">
        <v>84</v>
      </c>
      <c r="AC648" t="s">
        <v>3942</v>
      </c>
      <c r="AD648" t="s">
        <v>406</v>
      </c>
      <c r="AF648" t="s">
        <v>4053</v>
      </c>
      <c r="AH648" t="s">
        <v>4076</v>
      </c>
      <c r="AJ648" t="s">
        <v>3943</v>
      </c>
      <c r="AK648" t="s">
        <v>4084</v>
      </c>
      <c r="AM648" t="s">
        <v>2230</v>
      </c>
      <c r="AO648">
        <v>975</v>
      </c>
      <c r="AQ648">
        <v>60</v>
      </c>
      <c r="AS648" t="s">
        <v>4120</v>
      </c>
      <c r="AT648" t="s">
        <v>4127</v>
      </c>
      <c r="AW648">
        <v>27</v>
      </c>
      <c r="AY648" t="s">
        <v>4140</v>
      </c>
      <c r="BA648" t="s">
        <v>4149</v>
      </c>
      <c r="BC648" t="s">
        <v>4155</v>
      </c>
      <c r="BG648" t="s">
        <v>4518</v>
      </c>
      <c r="BM648" t="s">
        <v>4627</v>
      </c>
    </row>
    <row r="649" spans="1:67">
      <c r="A649" s="1">
        <f>HYPERLINK("https://lsnyc.legalserver.org/matter/dynamic-profile/view/1877946","18-1877946")</f>
        <v>0</v>
      </c>
      <c r="B649" t="s">
        <v>84</v>
      </c>
      <c r="C649" t="s">
        <v>93</v>
      </c>
      <c r="D649" t="s">
        <v>387</v>
      </c>
      <c r="F649" t="s">
        <v>819</v>
      </c>
      <c r="G649" t="s">
        <v>1354</v>
      </c>
      <c r="H649" t="s">
        <v>1803</v>
      </c>
      <c r="I649">
        <v>21</v>
      </c>
      <c r="J649" t="s">
        <v>2205</v>
      </c>
      <c r="K649">
        <v>11206</v>
      </c>
      <c r="N649" t="s">
        <v>2233</v>
      </c>
      <c r="O649" t="s">
        <v>2656</v>
      </c>
      <c r="Q649" t="s">
        <v>3297</v>
      </c>
      <c r="R649">
        <v>1</v>
      </c>
      <c r="S649">
        <v>0</v>
      </c>
      <c r="T649">
        <v>76.11</v>
      </c>
      <c r="W649">
        <v>9240</v>
      </c>
      <c r="Y649">
        <v>10.3</v>
      </c>
      <c r="Z649" t="s">
        <v>175</v>
      </c>
      <c r="AA649" t="s">
        <v>3908</v>
      </c>
      <c r="AC649" t="s">
        <v>3942</v>
      </c>
      <c r="AD649" t="s">
        <v>168</v>
      </c>
      <c r="AF649" t="s">
        <v>4053</v>
      </c>
      <c r="AH649" t="s">
        <v>4076</v>
      </c>
      <c r="AI649" t="s">
        <v>4082</v>
      </c>
      <c r="AL649" t="s">
        <v>4099</v>
      </c>
      <c r="AM649" t="s">
        <v>2230</v>
      </c>
      <c r="AN649" t="s">
        <v>4107</v>
      </c>
      <c r="AO649">
        <v>0</v>
      </c>
      <c r="AP649" t="s">
        <v>4108</v>
      </c>
      <c r="AQ649" t="s">
        <v>4110</v>
      </c>
      <c r="AR649" t="s">
        <v>4112</v>
      </c>
      <c r="AU649" t="s">
        <v>4129</v>
      </c>
      <c r="AW649">
        <v>15</v>
      </c>
      <c r="AY649" t="s">
        <v>4140</v>
      </c>
      <c r="BB649" t="s">
        <v>4154</v>
      </c>
      <c r="BG649" t="s">
        <v>4519</v>
      </c>
      <c r="BM649" t="s">
        <v>4627</v>
      </c>
    </row>
    <row r="650" spans="1:67">
      <c r="A650" s="1">
        <f>HYPERLINK("https://lsnyc.legalserver.org/matter/dynamic-profile/view/1869128","18-1869128")</f>
        <v>0</v>
      </c>
      <c r="B650" t="s">
        <v>84</v>
      </c>
      <c r="C650" t="s">
        <v>93</v>
      </c>
      <c r="D650" t="s">
        <v>152</v>
      </c>
      <c r="F650" t="s">
        <v>820</v>
      </c>
      <c r="G650" t="s">
        <v>1017</v>
      </c>
      <c r="H650" t="s">
        <v>1804</v>
      </c>
      <c r="I650">
        <v>3</v>
      </c>
      <c r="J650" t="s">
        <v>2205</v>
      </c>
      <c r="K650">
        <v>11208</v>
      </c>
      <c r="N650" t="s">
        <v>2233</v>
      </c>
      <c r="O650" t="s">
        <v>2657</v>
      </c>
      <c r="Q650" t="s">
        <v>3298</v>
      </c>
      <c r="R650">
        <v>3</v>
      </c>
      <c r="S650">
        <v>0</v>
      </c>
      <c r="T650">
        <v>149.18</v>
      </c>
      <c r="W650">
        <v>31000</v>
      </c>
      <c r="Y650">
        <v>21.51</v>
      </c>
      <c r="Z650" t="s">
        <v>148</v>
      </c>
      <c r="AA650" t="s">
        <v>90</v>
      </c>
      <c r="AC650" t="s">
        <v>3942</v>
      </c>
      <c r="AD650" t="s">
        <v>97</v>
      </c>
      <c r="AF650" t="s">
        <v>4050</v>
      </c>
      <c r="AH650" t="s">
        <v>4076</v>
      </c>
      <c r="AJ650" t="s">
        <v>3943</v>
      </c>
      <c r="AL650" t="s">
        <v>4097</v>
      </c>
      <c r="AM650" t="s">
        <v>2230</v>
      </c>
      <c r="AO650">
        <v>851</v>
      </c>
      <c r="AQ650">
        <v>50</v>
      </c>
      <c r="AS650" t="s">
        <v>4113</v>
      </c>
      <c r="AU650" t="s">
        <v>4128</v>
      </c>
      <c r="AW650">
        <v>12</v>
      </c>
      <c r="AY650" t="s">
        <v>4140</v>
      </c>
      <c r="BB650" t="s">
        <v>4154</v>
      </c>
      <c r="BE650" t="s">
        <v>4128</v>
      </c>
      <c r="BG650" t="s">
        <v>4520</v>
      </c>
      <c r="BM650" t="s">
        <v>4627</v>
      </c>
    </row>
    <row r="651" spans="1:67">
      <c r="A651" s="1">
        <f>HYPERLINK("https://lsnyc.legalserver.org/matter/dynamic-profile/view/1910874","19-1910874")</f>
        <v>0</v>
      </c>
      <c r="B651" t="s">
        <v>85</v>
      </c>
      <c r="C651" t="s">
        <v>93</v>
      </c>
      <c r="D651" t="s">
        <v>388</v>
      </c>
      <c r="F651" t="s">
        <v>821</v>
      </c>
      <c r="G651" t="s">
        <v>1355</v>
      </c>
      <c r="H651" t="s">
        <v>1805</v>
      </c>
      <c r="I651" t="s">
        <v>1920</v>
      </c>
      <c r="J651" t="s">
        <v>2205</v>
      </c>
      <c r="K651">
        <v>11225</v>
      </c>
      <c r="N651" t="s">
        <v>2240</v>
      </c>
      <c r="O651" t="s">
        <v>2658</v>
      </c>
      <c r="Q651" t="s">
        <v>3299</v>
      </c>
      <c r="R651">
        <v>2</v>
      </c>
      <c r="S651">
        <v>3</v>
      </c>
      <c r="T651">
        <v>95.66</v>
      </c>
      <c r="W651">
        <v>28860</v>
      </c>
      <c r="X651" t="s">
        <v>3608</v>
      </c>
      <c r="Y651">
        <v>4</v>
      </c>
      <c r="Z651" t="s">
        <v>98</v>
      </c>
      <c r="AA651" t="s">
        <v>90</v>
      </c>
      <c r="AC651" t="s">
        <v>3942</v>
      </c>
      <c r="AF651" t="s">
        <v>4053</v>
      </c>
      <c r="AH651" t="s">
        <v>4080</v>
      </c>
      <c r="AJ651" t="s">
        <v>3943</v>
      </c>
      <c r="AL651" t="s">
        <v>4086</v>
      </c>
      <c r="AM651" t="s">
        <v>2230</v>
      </c>
      <c r="AO651">
        <v>678</v>
      </c>
      <c r="AQ651">
        <v>26</v>
      </c>
      <c r="AR651" t="s">
        <v>4112</v>
      </c>
      <c r="AU651" t="s">
        <v>4136</v>
      </c>
      <c r="AW651">
        <v>19</v>
      </c>
      <c r="AY651" t="s">
        <v>4140</v>
      </c>
      <c r="BA651" t="s">
        <v>4150</v>
      </c>
      <c r="BC651" t="s">
        <v>4155</v>
      </c>
      <c r="BE651" t="s">
        <v>4128</v>
      </c>
      <c r="BG651" t="s">
        <v>4521</v>
      </c>
      <c r="BM651" t="s">
        <v>4627</v>
      </c>
    </row>
    <row r="652" spans="1:67">
      <c r="A652" s="1">
        <f>HYPERLINK("https://lsnyc.legalserver.org/matter/dynamic-profile/view/1912166","19-1912166")</f>
        <v>0</v>
      </c>
      <c r="B652" t="s">
        <v>85</v>
      </c>
      <c r="C652" t="s">
        <v>93</v>
      </c>
      <c r="D652" t="s">
        <v>138</v>
      </c>
      <c r="F652" t="s">
        <v>489</v>
      </c>
      <c r="G652" t="s">
        <v>1024</v>
      </c>
      <c r="H652" t="s">
        <v>1566</v>
      </c>
      <c r="I652" t="s">
        <v>1927</v>
      </c>
      <c r="J652" t="s">
        <v>2205</v>
      </c>
      <c r="K652">
        <v>11233</v>
      </c>
      <c r="N652" t="s">
        <v>2240</v>
      </c>
      <c r="O652" t="s">
        <v>2254</v>
      </c>
      <c r="Q652" t="s">
        <v>2941</v>
      </c>
      <c r="R652">
        <v>1</v>
      </c>
      <c r="S652">
        <v>0</v>
      </c>
      <c r="T652">
        <v>175.53</v>
      </c>
      <c r="W652">
        <v>21924</v>
      </c>
      <c r="X652" t="s">
        <v>3609</v>
      </c>
      <c r="Y652">
        <v>2.75</v>
      </c>
      <c r="Z652" t="s">
        <v>136</v>
      </c>
      <c r="AA652" t="s">
        <v>70</v>
      </c>
      <c r="AC652" t="s">
        <v>3942</v>
      </c>
      <c r="AF652" t="s">
        <v>4069</v>
      </c>
      <c r="AG652" t="s">
        <v>4075</v>
      </c>
      <c r="AJ652" t="s">
        <v>3943</v>
      </c>
      <c r="AK652" t="s">
        <v>4084</v>
      </c>
      <c r="AM652" t="s">
        <v>2230</v>
      </c>
      <c r="AO652">
        <v>1132</v>
      </c>
      <c r="AQ652">
        <v>6</v>
      </c>
      <c r="AS652" t="s">
        <v>4113</v>
      </c>
      <c r="AU652" t="s">
        <v>4128</v>
      </c>
      <c r="AW652">
        <v>10</v>
      </c>
      <c r="AY652" t="s">
        <v>4140</v>
      </c>
      <c r="AZ652" t="s">
        <v>4148</v>
      </c>
      <c r="BC652" t="s">
        <v>4155</v>
      </c>
      <c r="BG652" t="s">
        <v>4291</v>
      </c>
      <c r="BM652" t="s">
        <v>4627</v>
      </c>
    </row>
    <row r="653" spans="1:67">
      <c r="A653" s="1">
        <f>HYPERLINK("https://lsnyc.legalserver.org/matter/dynamic-profile/view/1901492","19-1901492")</f>
        <v>0</v>
      </c>
      <c r="B653" t="s">
        <v>85</v>
      </c>
      <c r="C653" t="s">
        <v>93</v>
      </c>
      <c r="D653" t="s">
        <v>389</v>
      </c>
      <c r="F653" t="s">
        <v>722</v>
      </c>
      <c r="G653" t="s">
        <v>1259</v>
      </c>
      <c r="H653" t="s">
        <v>1618</v>
      </c>
      <c r="I653" t="s">
        <v>1930</v>
      </c>
      <c r="J653" t="s">
        <v>2205</v>
      </c>
      <c r="K653">
        <v>11208</v>
      </c>
      <c r="N653" t="s">
        <v>2240</v>
      </c>
      <c r="O653" t="s">
        <v>2528</v>
      </c>
      <c r="Q653" t="s">
        <v>3190</v>
      </c>
      <c r="R653">
        <v>1</v>
      </c>
      <c r="S653">
        <v>1</v>
      </c>
      <c r="T653">
        <v>56.77</v>
      </c>
      <c r="W653">
        <v>9600</v>
      </c>
      <c r="Y653">
        <v>20</v>
      </c>
      <c r="Z653" t="s">
        <v>98</v>
      </c>
      <c r="AA653" t="s">
        <v>90</v>
      </c>
      <c r="AC653" t="s">
        <v>3942</v>
      </c>
      <c r="AD653" t="s">
        <v>236</v>
      </c>
      <c r="AF653" t="s">
        <v>4071</v>
      </c>
      <c r="AH653" t="s">
        <v>3510</v>
      </c>
      <c r="AJ653" t="s">
        <v>3943</v>
      </c>
      <c r="AK653" t="s">
        <v>4084</v>
      </c>
      <c r="AM653" t="s">
        <v>2230</v>
      </c>
      <c r="AN653" t="s">
        <v>4107</v>
      </c>
      <c r="AO653">
        <v>0</v>
      </c>
      <c r="AP653" t="s">
        <v>4108</v>
      </c>
      <c r="AQ653" t="s">
        <v>4110</v>
      </c>
      <c r="AR653" t="s">
        <v>4112</v>
      </c>
      <c r="AU653" t="s">
        <v>4133</v>
      </c>
      <c r="AV653" t="s">
        <v>4137</v>
      </c>
      <c r="AW653">
        <v>0</v>
      </c>
      <c r="AY653" t="s">
        <v>4140</v>
      </c>
      <c r="BA653" t="s">
        <v>4151</v>
      </c>
      <c r="BC653" t="s">
        <v>4155</v>
      </c>
      <c r="BE653" t="s">
        <v>4213</v>
      </c>
      <c r="BG653" t="s">
        <v>4433</v>
      </c>
      <c r="BM653" t="s">
        <v>4627</v>
      </c>
    </row>
    <row r="654" spans="1:67">
      <c r="A654" s="1">
        <f>HYPERLINK("https://lsnyc.legalserver.org/matter/dynamic-profile/view/1895168","19-1895168")</f>
        <v>0</v>
      </c>
      <c r="B654" t="s">
        <v>85</v>
      </c>
      <c r="C654" t="s">
        <v>93</v>
      </c>
      <c r="D654" t="s">
        <v>158</v>
      </c>
      <c r="E654" t="s">
        <v>102</v>
      </c>
      <c r="F654" t="s">
        <v>822</v>
      </c>
      <c r="G654" t="s">
        <v>1270</v>
      </c>
      <c r="H654" t="s">
        <v>1806</v>
      </c>
      <c r="I654">
        <v>615</v>
      </c>
      <c r="J654" t="s">
        <v>2205</v>
      </c>
      <c r="K654">
        <v>11239</v>
      </c>
      <c r="L654" t="s">
        <v>2224</v>
      </c>
      <c r="N654" t="s">
        <v>2240</v>
      </c>
      <c r="O654" t="s">
        <v>2659</v>
      </c>
      <c r="Q654" t="s">
        <v>3300</v>
      </c>
      <c r="R654">
        <v>2</v>
      </c>
      <c r="S654">
        <v>1</v>
      </c>
      <c r="T654">
        <v>241.76</v>
      </c>
      <c r="W654">
        <v>51568</v>
      </c>
      <c r="Y654">
        <v>11.5</v>
      </c>
      <c r="Z654" t="s">
        <v>102</v>
      </c>
      <c r="AA654" t="s">
        <v>70</v>
      </c>
      <c r="AC654" t="s">
        <v>3942</v>
      </c>
      <c r="AD654" t="s">
        <v>158</v>
      </c>
      <c r="AF654" t="s">
        <v>4053</v>
      </c>
      <c r="AH654" t="s">
        <v>4078</v>
      </c>
      <c r="AJ654" t="s">
        <v>3943</v>
      </c>
      <c r="AL654" t="s">
        <v>4095</v>
      </c>
      <c r="AM654" t="s">
        <v>2230</v>
      </c>
      <c r="AO654">
        <v>1205</v>
      </c>
      <c r="AQ654">
        <v>137</v>
      </c>
      <c r="AS654" t="s">
        <v>4113</v>
      </c>
      <c r="AU654" t="s">
        <v>4129</v>
      </c>
      <c r="AW654">
        <v>1</v>
      </c>
      <c r="AY654" t="s">
        <v>4140</v>
      </c>
      <c r="BC654" t="s">
        <v>4155</v>
      </c>
      <c r="BE654" t="s">
        <v>4239</v>
      </c>
      <c r="BG654" t="s">
        <v>4522</v>
      </c>
      <c r="BJ654" t="s">
        <v>4622</v>
      </c>
      <c r="BM654" t="s">
        <v>4628</v>
      </c>
    </row>
    <row r="655" spans="1:67">
      <c r="A655" s="1">
        <f>HYPERLINK("https://lsnyc.legalserver.org/matter/dynamic-profile/view/1894711","19-1894711")</f>
        <v>0</v>
      </c>
      <c r="B655" t="s">
        <v>85</v>
      </c>
      <c r="C655" t="s">
        <v>93</v>
      </c>
      <c r="D655" t="s">
        <v>390</v>
      </c>
      <c r="E655" t="s">
        <v>102</v>
      </c>
      <c r="F655" t="s">
        <v>569</v>
      </c>
      <c r="G655" t="s">
        <v>1103</v>
      </c>
      <c r="H655" t="s">
        <v>1629</v>
      </c>
      <c r="I655" t="s">
        <v>1962</v>
      </c>
      <c r="J655" t="s">
        <v>2205</v>
      </c>
      <c r="K655">
        <v>11208</v>
      </c>
      <c r="L655" t="s">
        <v>2224</v>
      </c>
      <c r="N655" t="s">
        <v>2233</v>
      </c>
      <c r="O655" t="s">
        <v>2342</v>
      </c>
      <c r="Q655" t="s">
        <v>3020</v>
      </c>
      <c r="R655">
        <v>1</v>
      </c>
      <c r="S655">
        <v>0</v>
      </c>
      <c r="T655">
        <v>176.11</v>
      </c>
      <c r="W655">
        <v>21996</v>
      </c>
      <c r="Y655">
        <v>3.25</v>
      </c>
      <c r="Z655" t="s">
        <v>102</v>
      </c>
      <c r="AA655" t="s">
        <v>90</v>
      </c>
      <c r="AC655" t="s">
        <v>3942</v>
      </c>
      <c r="AD655" t="s">
        <v>349</v>
      </c>
      <c r="AF655" t="s">
        <v>4069</v>
      </c>
      <c r="AH655" t="s">
        <v>4080</v>
      </c>
      <c r="AJ655" t="s">
        <v>3943</v>
      </c>
      <c r="AL655" t="s">
        <v>4093</v>
      </c>
      <c r="AM655" t="s">
        <v>2230</v>
      </c>
      <c r="AO655">
        <v>859</v>
      </c>
      <c r="AQ655">
        <v>1276</v>
      </c>
      <c r="AS655" t="s">
        <v>4113</v>
      </c>
      <c r="AU655" t="s">
        <v>4129</v>
      </c>
      <c r="AW655">
        <v>2</v>
      </c>
      <c r="AY655" t="s">
        <v>4140</v>
      </c>
      <c r="BA655" t="s">
        <v>4149</v>
      </c>
      <c r="BC655" t="s">
        <v>4155</v>
      </c>
      <c r="BE655" t="s">
        <v>4159</v>
      </c>
      <c r="BF655" t="s">
        <v>4281</v>
      </c>
      <c r="BM655" t="s">
        <v>4628</v>
      </c>
    </row>
    <row r="656" spans="1:67">
      <c r="A656" s="1">
        <f>HYPERLINK("https://lsnyc.legalserver.org/matter/dynamic-profile/view/1853736","17-1853736")</f>
        <v>0</v>
      </c>
      <c r="B656" t="s">
        <v>85</v>
      </c>
      <c r="C656" t="s">
        <v>95</v>
      </c>
      <c r="D656" t="s">
        <v>391</v>
      </c>
      <c r="F656" t="s">
        <v>625</v>
      </c>
      <c r="G656" t="s">
        <v>1356</v>
      </c>
      <c r="H656" t="s">
        <v>1807</v>
      </c>
      <c r="I656" t="s">
        <v>1924</v>
      </c>
      <c r="J656" t="s">
        <v>2207</v>
      </c>
      <c r="K656">
        <v>10035</v>
      </c>
      <c r="N656" t="s">
        <v>2241</v>
      </c>
      <c r="O656" t="s">
        <v>2660</v>
      </c>
      <c r="P656" t="s">
        <v>2930</v>
      </c>
      <c r="R656">
        <v>1</v>
      </c>
      <c r="S656">
        <v>2</v>
      </c>
      <c r="T656">
        <v>11.75</v>
      </c>
      <c r="W656">
        <v>2400</v>
      </c>
      <c r="X656" t="s">
        <v>3610</v>
      </c>
      <c r="Y656">
        <v>30.7</v>
      </c>
      <c r="Z656" t="s">
        <v>3854</v>
      </c>
      <c r="AA656" t="s">
        <v>3931</v>
      </c>
      <c r="AC656" t="s">
        <v>3942</v>
      </c>
      <c r="AD656" t="s">
        <v>391</v>
      </c>
      <c r="AF656" t="s">
        <v>4069</v>
      </c>
      <c r="AH656" t="s">
        <v>4080</v>
      </c>
      <c r="AJ656" t="s">
        <v>3943</v>
      </c>
      <c r="AL656" t="s">
        <v>4094</v>
      </c>
      <c r="AM656" t="s">
        <v>2230</v>
      </c>
      <c r="AO656">
        <v>645</v>
      </c>
      <c r="AQ656">
        <v>8</v>
      </c>
      <c r="AS656" t="s">
        <v>4113</v>
      </c>
      <c r="AU656" t="s">
        <v>4128</v>
      </c>
      <c r="AW656">
        <v>20</v>
      </c>
      <c r="AY656" t="s">
        <v>4141</v>
      </c>
      <c r="BB656" t="s">
        <v>4154</v>
      </c>
      <c r="BF656" t="s">
        <v>4281</v>
      </c>
      <c r="BM656" t="s">
        <v>4627</v>
      </c>
    </row>
    <row r="657" spans="1:65">
      <c r="A657" s="1">
        <f>HYPERLINK("https://lsnyc.legalserver.org/matter/dynamic-profile/view/1902750","19-1902750")</f>
        <v>0</v>
      </c>
      <c r="B657" t="s">
        <v>85</v>
      </c>
      <c r="C657" t="s">
        <v>93</v>
      </c>
      <c r="D657" t="s">
        <v>392</v>
      </c>
      <c r="F657" t="s">
        <v>823</v>
      </c>
      <c r="G657" t="s">
        <v>1281</v>
      </c>
      <c r="H657" t="s">
        <v>1808</v>
      </c>
      <c r="I657" t="s">
        <v>1950</v>
      </c>
      <c r="J657" t="s">
        <v>2205</v>
      </c>
      <c r="K657">
        <v>11207</v>
      </c>
      <c r="N657" t="s">
        <v>2240</v>
      </c>
      <c r="O657" t="s">
        <v>2661</v>
      </c>
      <c r="Q657" t="s">
        <v>3301</v>
      </c>
      <c r="R657">
        <v>1</v>
      </c>
      <c r="S657">
        <v>2</v>
      </c>
      <c r="T657">
        <v>60.95</v>
      </c>
      <c r="W657">
        <v>13000</v>
      </c>
      <c r="Y657">
        <v>67.75</v>
      </c>
      <c r="Z657" t="s">
        <v>135</v>
      </c>
      <c r="AA657" t="s">
        <v>70</v>
      </c>
      <c r="AC657" t="s">
        <v>3942</v>
      </c>
      <c r="AD657" t="s">
        <v>428</v>
      </c>
      <c r="AF657" t="s">
        <v>4072</v>
      </c>
      <c r="AH657" t="s">
        <v>4078</v>
      </c>
      <c r="AJ657" t="s">
        <v>3943</v>
      </c>
      <c r="AL657" t="s">
        <v>4099</v>
      </c>
      <c r="AM657" t="s">
        <v>2230</v>
      </c>
      <c r="AO657">
        <v>1762.77</v>
      </c>
      <c r="AQ657">
        <v>6</v>
      </c>
      <c r="AS657" t="s">
        <v>4113</v>
      </c>
      <c r="AT657" t="s">
        <v>4127</v>
      </c>
      <c r="AW657">
        <v>11</v>
      </c>
      <c r="AY657" t="s">
        <v>4146</v>
      </c>
      <c r="BC657" t="s">
        <v>4156</v>
      </c>
      <c r="BE657" t="s">
        <v>4240</v>
      </c>
      <c r="BG657" t="s">
        <v>4523</v>
      </c>
      <c r="BM657" t="s">
        <v>4627</v>
      </c>
    </row>
    <row r="658" spans="1:65">
      <c r="A658" s="1">
        <f>HYPERLINK("https://lsnyc.legalserver.org/matter/dynamic-profile/view/1908418","19-1908418")</f>
        <v>0</v>
      </c>
      <c r="B658" t="s">
        <v>85</v>
      </c>
      <c r="C658" t="s">
        <v>93</v>
      </c>
      <c r="D658" t="s">
        <v>160</v>
      </c>
      <c r="F658" t="s">
        <v>499</v>
      </c>
      <c r="G658" t="s">
        <v>1097</v>
      </c>
      <c r="H658" t="s">
        <v>1622</v>
      </c>
      <c r="I658" t="s">
        <v>1960</v>
      </c>
      <c r="J658" t="s">
        <v>2205</v>
      </c>
      <c r="K658">
        <v>11208</v>
      </c>
      <c r="N658" t="s">
        <v>2240</v>
      </c>
      <c r="O658" t="s">
        <v>2335</v>
      </c>
      <c r="Q658" t="s">
        <v>3013</v>
      </c>
      <c r="R658">
        <v>1</v>
      </c>
      <c r="S658">
        <v>7</v>
      </c>
      <c r="T658">
        <v>65.98</v>
      </c>
      <c r="W658">
        <v>28656</v>
      </c>
      <c r="X658" t="s">
        <v>3611</v>
      </c>
      <c r="Y658">
        <v>8.25</v>
      </c>
      <c r="Z658" t="s">
        <v>173</v>
      </c>
      <c r="AA658" t="s">
        <v>70</v>
      </c>
      <c r="AC658" t="s">
        <v>3942</v>
      </c>
      <c r="AF658" t="s">
        <v>4069</v>
      </c>
      <c r="AH658" t="s">
        <v>4078</v>
      </c>
      <c r="AJ658" t="s">
        <v>3943</v>
      </c>
      <c r="AL658" t="s">
        <v>4101</v>
      </c>
      <c r="AM658" t="s">
        <v>2230</v>
      </c>
      <c r="AO658">
        <v>273</v>
      </c>
      <c r="AQ658">
        <v>322</v>
      </c>
      <c r="AS658" t="s">
        <v>4113</v>
      </c>
      <c r="AU658" t="s">
        <v>4133</v>
      </c>
      <c r="AV658" t="s">
        <v>4137</v>
      </c>
      <c r="AW658">
        <v>0</v>
      </c>
      <c r="AY658" t="s">
        <v>4140</v>
      </c>
      <c r="AZ658" t="s">
        <v>4148</v>
      </c>
      <c r="BC658" t="s">
        <v>4155</v>
      </c>
      <c r="BE658" t="s">
        <v>4177</v>
      </c>
      <c r="BF658" t="s">
        <v>4281</v>
      </c>
      <c r="BG658" t="s">
        <v>4128</v>
      </c>
      <c r="BM658" t="s">
        <v>4627</v>
      </c>
    </row>
    <row r="659" spans="1:65">
      <c r="A659" s="1">
        <f>HYPERLINK("https://lsnyc.legalserver.org/matter/dynamic-profile/view/1912808","19-1912808")</f>
        <v>0</v>
      </c>
      <c r="B659" t="s">
        <v>85</v>
      </c>
      <c r="C659" t="s">
        <v>93</v>
      </c>
      <c r="D659" t="s">
        <v>221</v>
      </c>
      <c r="E659" t="s">
        <v>102</v>
      </c>
      <c r="F659" t="s">
        <v>485</v>
      </c>
      <c r="G659" t="s">
        <v>1030</v>
      </c>
      <c r="H659" t="s">
        <v>1809</v>
      </c>
      <c r="J659" t="s">
        <v>2205</v>
      </c>
      <c r="K659">
        <v>11233</v>
      </c>
      <c r="L659" t="s">
        <v>2222</v>
      </c>
      <c r="N659" t="s">
        <v>2233</v>
      </c>
      <c r="O659" t="s">
        <v>2662</v>
      </c>
      <c r="Q659" t="s">
        <v>3302</v>
      </c>
      <c r="R659">
        <v>1</v>
      </c>
      <c r="S659">
        <v>3</v>
      </c>
      <c r="T659">
        <v>35.4</v>
      </c>
      <c r="W659">
        <v>9116</v>
      </c>
      <c r="Y659">
        <v>0.75</v>
      </c>
      <c r="Z659" t="s">
        <v>102</v>
      </c>
      <c r="AA659" t="s">
        <v>90</v>
      </c>
      <c r="AC659" t="s">
        <v>3942</v>
      </c>
      <c r="AD659" t="s">
        <v>221</v>
      </c>
      <c r="AF659" t="s">
        <v>4072</v>
      </c>
      <c r="AH659" t="s">
        <v>4081</v>
      </c>
      <c r="AJ659" t="s">
        <v>3943</v>
      </c>
      <c r="AL659" t="s">
        <v>4095</v>
      </c>
      <c r="AM659" t="s">
        <v>2230</v>
      </c>
      <c r="AO659">
        <v>1588</v>
      </c>
      <c r="AQ659">
        <v>19</v>
      </c>
      <c r="AR659" t="s">
        <v>4112</v>
      </c>
      <c r="AU659" t="s">
        <v>4129</v>
      </c>
      <c r="AW659">
        <v>6</v>
      </c>
      <c r="AY659" t="s">
        <v>4140</v>
      </c>
      <c r="BA659" t="s">
        <v>4149</v>
      </c>
      <c r="BC659" t="s">
        <v>4155</v>
      </c>
      <c r="BD659" t="s">
        <v>4157</v>
      </c>
      <c r="BE659" t="s">
        <v>4241</v>
      </c>
      <c r="BF659" t="s">
        <v>4281</v>
      </c>
      <c r="BG659" t="s">
        <v>4054</v>
      </c>
      <c r="BM659" t="s">
        <v>4628</v>
      </c>
    </row>
    <row r="660" spans="1:65">
      <c r="A660" s="1">
        <f>HYPERLINK("https://lsnyc.legalserver.org/matter/dynamic-profile/view/1863416","18-1863416")</f>
        <v>0</v>
      </c>
      <c r="B660" t="s">
        <v>85</v>
      </c>
      <c r="C660" t="s">
        <v>95</v>
      </c>
      <c r="D660" t="s">
        <v>393</v>
      </c>
      <c r="E660" t="s">
        <v>176</v>
      </c>
      <c r="F660" t="s">
        <v>824</v>
      </c>
      <c r="G660" t="s">
        <v>1357</v>
      </c>
      <c r="H660" t="s">
        <v>1810</v>
      </c>
      <c r="I660" t="s">
        <v>1953</v>
      </c>
      <c r="J660" t="s">
        <v>2207</v>
      </c>
      <c r="K660">
        <v>10034</v>
      </c>
      <c r="L660" t="s">
        <v>2227</v>
      </c>
      <c r="N660" t="s">
        <v>2241</v>
      </c>
      <c r="O660" t="s">
        <v>2663</v>
      </c>
      <c r="Q660" t="s">
        <v>3303</v>
      </c>
      <c r="R660">
        <v>2</v>
      </c>
      <c r="S660">
        <v>2</v>
      </c>
      <c r="T660">
        <v>62.63</v>
      </c>
      <c r="W660">
        <v>15720</v>
      </c>
      <c r="Y660">
        <v>62.75</v>
      </c>
      <c r="Z660" t="s">
        <v>3863</v>
      </c>
      <c r="AA660" t="s">
        <v>3931</v>
      </c>
      <c r="AC660" t="s">
        <v>3942</v>
      </c>
      <c r="AD660" t="s">
        <v>393</v>
      </c>
      <c r="AF660" t="s">
        <v>4071</v>
      </c>
      <c r="AH660" t="s">
        <v>4078</v>
      </c>
      <c r="AJ660" t="s">
        <v>3943</v>
      </c>
      <c r="AL660" t="s">
        <v>4094</v>
      </c>
      <c r="AM660" t="s">
        <v>2230</v>
      </c>
      <c r="AO660">
        <v>1554.47</v>
      </c>
      <c r="AQ660">
        <v>48</v>
      </c>
      <c r="AS660" t="s">
        <v>4113</v>
      </c>
      <c r="AU660" t="s">
        <v>4070</v>
      </c>
      <c r="AW660">
        <v>13</v>
      </c>
      <c r="AY660" t="s">
        <v>4141</v>
      </c>
      <c r="BA660" t="s">
        <v>4150</v>
      </c>
      <c r="BC660" t="s">
        <v>4155</v>
      </c>
      <c r="BF660" t="s">
        <v>4281</v>
      </c>
      <c r="BJ660" t="s">
        <v>4622</v>
      </c>
      <c r="BM660" t="s">
        <v>4628</v>
      </c>
    </row>
    <row r="661" spans="1:65">
      <c r="A661" s="1">
        <f>HYPERLINK("https://lsnyc.legalserver.org/matter/dynamic-profile/view/1908816","19-1908816")</f>
        <v>0</v>
      </c>
      <c r="B661" t="s">
        <v>85</v>
      </c>
      <c r="C661" t="s">
        <v>93</v>
      </c>
      <c r="D661" t="s">
        <v>394</v>
      </c>
      <c r="F661" t="s">
        <v>712</v>
      </c>
      <c r="G661" t="s">
        <v>1358</v>
      </c>
      <c r="H661" t="s">
        <v>1811</v>
      </c>
      <c r="I661" t="s">
        <v>1939</v>
      </c>
      <c r="J661" t="s">
        <v>2205</v>
      </c>
      <c r="K661">
        <v>11233</v>
      </c>
      <c r="N661" t="s">
        <v>2241</v>
      </c>
      <c r="O661" t="s">
        <v>2664</v>
      </c>
      <c r="Q661" t="s">
        <v>3304</v>
      </c>
      <c r="R661">
        <v>1</v>
      </c>
      <c r="S661">
        <v>1</v>
      </c>
      <c r="T661">
        <v>211.71</v>
      </c>
      <c r="W661">
        <v>35800</v>
      </c>
      <c r="X661" t="s">
        <v>3612</v>
      </c>
      <c r="Y661">
        <v>25</v>
      </c>
      <c r="Z661" t="s">
        <v>135</v>
      </c>
      <c r="AA661" t="s">
        <v>90</v>
      </c>
      <c r="AC661" t="s">
        <v>3942</v>
      </c>
      <c r="AF661" t="s">
        <v>4072</v>
      </c>
      <c r="AG661" t="s">
        <v>4075</v>
      </c>
      <c r="AJ661" t="s">
        <v>3943</v>
      </c>
      <c r="AL661" t="s">
        <v>4070</v>
      </c>
      <c r="AM661" t="s">
        <v>2230</v>
      </c>
      <c r="AO661">
        <v>868.12</v>
      </c>
      <c r="AQ661">
        <v>32</v>
      </c>
      <c r="AS661" t="s">
        <v>4113</v>
      </c>
      <c r="AU661" t="s">
        <v>4128</v>
      </c>
      <c r="AW661">
        <v>7</v>
      </c>
      <c r="AY661" t="s">
        <v>4140</v>
      </c>
      <c r="BA661" t="s">
        <v>4151</v>
      </c>
      <c r="BC661" t="s">
        <v>4155</v>
      </c>
      <c r="BE661" t="s">
        <v>4159</v>
      </c>
      <c r="BF661" t="s">
        <v>4281</v>
      </c>
      <c r="BG661" t="s">
        <v>4524</v>
      </c>
      <c r="BM661" t="s">
        <v>4627</v>
      </c>
    </row>
    <row r="662" spans="1:65">
      <c r="A662" s="1">
        <f>HYPERLINK("https://lsnyc.legalserver.org/matter/dynamic-profile/view/1913797","19-1913797")</f>
        <v>0</v>
      </c>
      <c r="B662" t="s">
        <v>85</v>
      </c>
      <c r="C662" t="s">
        <v>93</v>
      </c>
      <c r="D662" t="s">
        <v>361</v>
      </c>
      <c r="F662" t="s">
        <v>689</v>
      </c>
      <c r="G662" t="s">
        <v>1359</v>
      </c>
      <c r="H662" t="s">
        <v>1812</v>
      </c>
      <c r="I662" t="s">
        <v>2069</v>
      </c>
      <c r="J662" t="s">
        <v>2205</v>
      </c>
      <c r="K662">
        <v>11212</v>
      </c>
      <c r="N662" t="s">
        <v>2240</v>
      </c>
      <c r="O662" t="s">
        <v>2665</v>
      </c>
      <c r="Q662" t="s">
        <v>3305</v>
      </c>
      <c r="R662">
        <v>1</v>
      </c>
      <c r="S662">
        <v>0</v>
      </c>
      <c r="T662">
        <v>74.08</v>
      </c>
      <c r="W662">
        <v>9252</v>
      </c>
      <c r="X662" t="s">
        <v>3613</v>
      </c>
      <c r="Y662">
        <v>7</v>
      </c>
      <c r="Z662" t="s">
        <v>457</v>
      </c>
      <c r="AA662" t="s">
        <v>70</v>
      </c>
      <c r="AB662" t="s">
        <v>3940</v>
      </c>
      <c r="AC662" t="s">
        <v>3944</v>
      </c>
      <c r="AF662" t="s">
        <v>4072</v>
      </c>
      <c r="AG662" t="s">
        <v>4075</v>
      </c>
      <c r="AJ662" t="s">
        <v>3943</v>
      </c>
      <c r="AL662" t="s">
        <v>4092</v>
      </c>
      <c r="AM662" t="s">
        <v>2230</v>
      </c>
      <c r="AO662">
        <v>1027</v>
      </c>
      <c r="AQ662">
        <v>260</v>
      </c>
      <c r="AS662" t="s">
        <v>4120</v>
      </c>
      <c r="AU662" t="s">
        <v>4136</v>
      </c>
      <c r="AW662">
        <v>17</v>
      </c>
      <c r="AY662" t="s">
        <v>4140</v>
      </c>
      <c r="BA662" t="s">
        <v>4149</v>
      </c>
      <c r="BB662" t="s">
        <v>4154</v>
      </c>
      <c r="BG662" t="s">
        <v>4525</v>
      </c>
      <c r="BM662" t="s">
        <v>4627</v>
      </c>
    </row>
    <row r="663" spans="1:65">
      <c r="A663" s="1">
        <f>HYPERLINK("https://lsnyc.legalserver.org/matter/dynamic-profile/view/1910450","19-1910450")</f>
        <v>0</v>
      </c>
      <c r="B663" t="s">
        <v>85</v>
      </c>
      <c r="C663" t="s">
        <v>93</v>
      </c>
      <c r="D663" t="s">
        <v>395</v>
      </c>
      <c r="F663" t="s">
        <v>825</v>
      </c>
      <c r="G663" t="s">
        <v>1360</v>
      </c>
      <c r="H663" t="s">
        <v>1813</v>
      </c>
      <c r="I663" t="s">
        <v>1968</v>
      </c>
      <c r="J663" t="s">
        <v>2205</v>
      </c>
      <c r="K663">
        <v>11212</v>
      </c>
      <c r="N663" t="s">
        <v>2240</v>
      </c>
      <c r="O663" t="s">
        <v>2666</v>
      </c>
      <c r="Q663" t="s">
        <v>3306</v>
      </c>
      <c r="R663">
        <v>3</v>
      </c>
      <c r="S663">
        <v>1</v>
      </c>
      <c r="T663">
        <v>227.55</v>
      </c>
      <c r="W663">
        <v>58595</v>
      </c>
      <c r="X663" t="s">
        <v>3614</v>
      </c>
      <c r="Y663">
        <v>5</v>
      </c>
      <c r="Z663" t="s">
        <v>183</v>
      </c>
      <c r="AA663" t="s">
        <v>90</v>
      </c>
      <c r="AC663" t="s">
        <v>3942</v>
      </c>
      <c r="AF663" t="s">
        <v>4071</v>
      </c>
      <c r="AG663" t="s">
        <v>4075</v>
      </c>
      <c r="AJ663" t="s">
        <v>3943</v>
      </c>
      <c r="AL663" t="s">
        <v>4086</v>
      </c>
      <c r="AM663" t="s">
        <v>2230</v>
      </c>
      <c r="AO663">
        <v>2200</v>
      </c>
      <c r="AQ663">
        <v>5</v>
      </c>
      <c r="AS663" t="s">
        <v>4114</v>
      </c>
      <c r="AU663" t="s">
        <v>4128</v>
      </c>
      <c r="AW663">
        <v>1</v>
      </c>
      <c r="AY663" t="s">
        <v>4140</v>
      </c>
      <c r="AZ663" t="s">
        <v>4148</v>
      </c>
      <c r="BC663" t="s">
        <v>4155</v>
      </c>
      <c r="BE663" t="s">
        <v>4168</v>
      </c>
      <c r="BG663" t="s">
        <v>4526</v>
      </c>
      <c r="BM663" t="s">
        <v>4627</v>
      </c>
    </row>
    <row r="664" spans="1:65">
      <c r="A664" s="1">
        <f>HYPERLINK("https://lsnyc.legalserver.org/matter/dynamic-profile/view/1908420","19-1908420")</f>
        <v>0</v>
      </c>
      <c r="B664" t="s">
        <v>85</v>
      </c>
      <c r="C664" t="s">
        <v>93</v>
      </c>
      <c r="D664" t="s">
        <v>160</v>
      </c>
      <c r="E664" t="s">
        <v>102</v>
      </c>
      <c r="F664" t="s">
        <v>763</v>
      </c>
      <c r="G664" t="s">
        <v>1306</v>
      </c>
      <c r="H664" t="s">
        <v>1751</v>
      </c>
      <c r="I664" t="s">
        <v>1924</v>
      </c>
      <c r="J664" t="s">
        <v>2205</v>
      </c>
      <c r="K664">
        <v>11237</v>
      </c>
      <c r="L664" t="s">
        <v>2228</v>
      </c>
      <c r="N664" t="s">
        <v>2240</v>
      </c>
      <c r="O664" t="s">
        <v>2588</v>
      </c>
      <c r="Q664" t="s">
        <v>3234</v>
      </c>
      <c r="R664">
        <v>1</v>
      </c>
      <c r="S664">
        <v>0</v>
      </c>
      <c r="T664">
        <v>0</v>
      </c>
      <c r="W664">
        <v>0</v>
      </c>
      <c r="Y664">
        <v>15</v>
      </c>
      <c r="Z664" t="s">
        <v>102</v>
      </c>
      <c r="AA664" t="s">
        <v>70</v>
      </c>
      <c r="AC664" t="s">
        <v>3942</v>
      </c>
      <c r="AF664" t="s">
        <v>4069</v>
      </c>
      <c r="AH664" t="s">
        <v>4078</v>
      </c>
      <c r="AJ664" t="s">
        <v>3943</v>
      </c>
      <c r="AL664" t="s">
        <v>4099</v>
      </c>
      <c r="AM664" t="s">
        <v>2230</v>
      </c>
      <c r="AO664">
        <v>973</v>
      </c>
      <c r="AQ664">
        <v>6</v>
      </c>
      <c r="AS664" t="s">
        <v>4113</v>
      </c>
      <c r="AU664" t="s">
        <v>4129</v>
      </c>
      <c r="AW664">
        <v>12</v>
      </c>
      <c r="AY664" t="s">
        <v>4140</v>
      </c>
      <c r="AZ664" t="s">
        <v>4148</v>
      </c>
      <c r="BC664" t="s">
        <v>4156</v>
      </c>
      <c r="BE664" t="s">
        <v>4221</v>
      </c>
      <c r="BF664" t="s">
        <v>4281</v>
      </c>
      <c r="BG664" t="s">
        <v>4128</v>
      </c>
      <c r="BJ664" t="s">
        <v>4622</v>
      </c>
      <c r="BM664" t="s">
        <v>4628</v>
      </c>
    </row>
    <row r="665" spans="1:65">
      <c r="A665" s="1">
        <f>HYPERLINK("https://lsnyc.legalserver.org/matter/dynamic-profile/view/1878529","18-1878529")</f>
        <v>0</v>
      </c>
      <c r="B665" t="s">
        <v>85</v>
      </c>
      <c r="C665" t="s">
        <v>95</v>
      </c>
      <c r="D665" t="s">
        <v>396</v>
      </c>
      <c r="F665" t="s">
        <v>826</v>
      </c>
      <c r="G665" t="s">
        <v>1210</v>
      </c>
      <c r="H665" t="s">
        <v>1814</v>
      </c>
      <c r="I665">
        <v>65</v>
      </c>
      <c r="J665" t="s">
        <v>2207</v>
      </c>
      <c r="K665">
        <v>10029</v>
      </c>
      <c r="N665" t="s">
        <v>2241</v>
      </c>
      <c r="O665" t="s">
        <v>2667</v>
      </c>
      <c r="P665" t="s">
        <v>2930</v>
      </c>
      <c r="R665">
        <v>2</v>
      </c>
      <c r="S665">
        <v>0</v>
      </c>
      <c r="T665">
        <v>54.68</v>
      </c>
      <c r="W665">
        <v>9000</v>
      </c>
      <c r="Y665">
        <v>3.5</v>
      </c>
      <c r="Z665" t="s">
        <v>248</v>
      </c>
      <c r="AA665" t="s">
        <v>3931</v>
      </c>
      <c r="AC665" t="s">
        <v>3942</v>
      </c>
      <c r="AD665" t="s">
        <v>396</v>
      </c>
      <c r="AF665" t="s">
        <v>4069</v>
      </c>
      <c r="AH665" t="s">
        <v>4078</v>
      </c>
      <c r="AJ665" t="s">
        <v>3943</v>
      </c>
      <c r="AL665" t="s">
        <v>4104</v>
      </c>
      <c r="AM665" t="s">
        <v>2230</v>
      </c>
      <c r="AO665">
        <v>1029.07</v>
      </c>
      <c r="AQ665">
        <v>65</v>
      </c>
      <c r="AS665" t="s">
        <v>4117</v>
      </c>
      <c r="AU665" t="s">
        <v>4128</v>
      </c>
      <c r="AW665">
        <v>21</v>
      </c>
      <c r="AY665" t="s">
        <v>4140</v>
      </c>
      <c r="BA665" t="s">
        <v>4149</v>
      </c>
      <c r="BB665" t="s">
        <v>4154</v>
      </c>
      <c r="BF665" t="s">
        <v>4281</v>
      </c>
      <c r="BM665" t="s">
        <v>4627</v>
      </c>
    </row>
    <row r="666" spans="1:65">
      <c r="A666" s="1">
        <f>HYPERLINK("https://lsnyc.legalserver.org/matter/dynamic-profile/view/1915092","19-1915092")</f>
        <v>0</v>
      </c>
      <c r="B666" t="s">
        <v>85</v>
      </c>
      <c r="C666" t="s">
        <v>93</v>
      </c>
      <c r="D666" t="s">
        <v>156</v>
      </c>
      <c r="F666" t="s">
        <v>798</v>
      </c>
      <c r="G666" t="s">
        <v>1338</v>
      </c>
      <c r="H666" t="s">
        <v>1778</v>
      </c>
      <c r="I666" t="s">
        <v>2059</v>
      </c>
      <c r="J666" t="s">
        <v>2205</v>
      </c>
      <c r="K666">
        <v>11239</v>
      </c>
      <c r="N666" t="s">
        <v>2240</v>
      </c>
      <c r="O666" t="s">
        <v>2631</v>
      </c>
      <c r="Q666" t="s">
        <v>3272</v>
      </c>
      <c r="R666">
        <v>1</v>
      </c>
      <c r="S666">
        <v>0</v>
      </c>
      <c r="T666">
        <v>82.34</v>
      </c>
      <c r="W666">
        <v>10284</v>
      </c>
      <c r="X666" t="s">
        <v>3615</v>
      </c>
      <c r="Y666">
        <v>1.5</v>
      </c>
      <c r="Z666" t="s">
        <v>360</v>
      </c>
      <c r="AA666" t="s">
        <v>90</v>
      </c>
      <c r="AC666" t="s">
        <v>3942</v>
      </c>
      <c r="AD666" t="s">
        <v>3974</v>
      </c>
      <c r="AF666" t="s">
        <v>4072</v>
      </c>
      <c r="AG666" t="s">
        <v>4075</v>
      </c>
      <c r="AJ666" t="s">
        <v>3943</v>
      </c>
      <c r="AL666" t="s">
        <v>4099</v>
      </c>
      <c r="AM666" t="s">
        <v>2230</v>
      </c>
      <c r="AN666" t="s">
        <v>4107</v>
      </c>
      <c r="AO666">
        <v>0</v>
      </c>
      <c r="AQ666">
        <v>1463</v>
      </c>
      <c r="AS666" t="s">
        <v>4120</v>
      </c>
      <c r="AU666" t="s">
        <v>4129</v>
      </c>
      <c r="AW666">
        <v>44</v>
      </c>
      <c r="AY666" t="s">
        <v>4140</v>
      </c>
      <c r="BA666" t="s">
        <v>4150</v>
      </c>
      <c r="BC666" t="s">
        <v>4155</v>
      </c>
      <c r="BE666" t="s">
        <v>4162</v>
      </c>
      <c r="BG666" t="s">
        <v>4527</v>
      </c>
      <c r="BM666" t="s">
        <v>4627</v>
      </c>
    </row>
    <row r="667" spans="1:65">
      <c r="A667" s="1">
        <f>HYPERLINK("https://lsnyc.legalserver.org/matter/dynamic-profile/view/1882893","18-1882893")</f>
        <v>0</v>
      </c>
      <c r="B667" t="s">
        <v>85</v>
      </c>
      <c r="C667" t="s">
        <v>93</v>
      </c>
      <c r="D667" t="s">
        <v>397</v>
      </c>
      <c r="F667" t="s">
        <v>607</v>
      </c>
      <c r="G667" t="s">
        <v>1138</v>
      </c>
      <c r="H667" t="s">
        <v>1669</v>
      </c>
      <c r="I667" t="s">
        <v>1924</v>
      </c>
      <c r="J667" t="s">
        <v>2205</v>
      </c>
      <c r="K667">
        <v>11233</v>
      </c>
      <c r="N667" t="s">
        <v>2240</v>
      </c>
      <c r="O667" t="s">
        <v>2385</v>
      </c>
      <c r="Q667" t="s">
        <v>3060</v>
      </c>
      <c r="R667">
        <v>1</v>
      </c>
      <c r="S667">
        <v>0</v>
      </c>
      <c r="T667">
        <v>11.53</v>
      </c>
      <c r="W667">
        <v>1400</v>
      </c>
      <c r="Y667">
        <v>36.25</v>
      </c>
      <c r="Z667" t="s">
        <v>98</v>
      </c>
      <c r="AA667" t="s">
        <v>70</v>
      </c>
      <c r="AC667" t="s">
        <v>3942</v>
      </c>
      <c r="AD667" t="s">
        <v>426</v>
      </c>
      <c r="AF667" t="s">
        <v>4072</v>
      </c>
      <c r="AH667" t="s">
        <v>4078</v>
      </c>
      <c r="AJ667" t="s">
        <v>3943</v>
      </c>
      <c r="AL667" t="s">
        <v>4099</v>
      </c>
      <c r="AM667" t="s">
        <v>2230</v>
      </c>
      <c r="AO667">
        <v>1515</v>
      </c>
      <c r="AQ667">
        <v>6</v>
      </c>
      <c r="AS667" t="s">
        <v>4113</v>
      </c>
      <c r="AU667" t="s">
        <v>4135</v>
      </c>
      <c r="AW667">
        <v>5</v>
      </c>
      <c r="AY667" t="s">
        <v>4140</v>
      </c>
      <c r="BA667" t="s">
        <v>4151</v>
      </c>
      <c r="BC667" t="s">
        <v>4155</v>
      </c>
      <c r="BD667" t="s">
        <v>4157</v>
      </c>
      <c r="BE667" t="s">
        <v>4197</v>
      </c>
      <c r="BG667" t="s">
        <v>4387</v>
      </c>
      <c r="BM667" t="s">
        <v>4627</v>
      </c>
    </row>
    <row r="668" spans="1:65">
      <c r="A668" s="1">
        <f>HYPERLINK("https://lsnyc.legalserver.org/matter/dynamic-profile/view/1912175","19-1912175")</f>
        <v>0</v>
      </c>
      <c r="B668" t="s">
        <v>85</v>
      </c>
      <c r="C668" t="s">
        <v>93</v>
      </c>
      <c r="D668" t="s">
        <v>138</v>
      </c>
      <c r="F668" t="s">
        <v>827</v>
      </c>
      <c r="G668" t="s">
        <v>1106</v>
      </c>
      <c r="H668" t="s">
        <v>1790</v>
      </c>
      <c r="J668" t="s">
        <v>2205</v>
      </c>
      <c r="K668">
        <v>11208</v>
      </c>
      <c r="N668" t="s">
        <v>2240</v>
      </c>
      <c r="O668" t="s">
        <v>2668</v>
      </c>
      <c r="Q668" t="s">
        <v>3307</v>
      </c>
      <c r="R668">
        <v>1</v>
      </c>
      <c r="S668">
        <v>0</v>
      </c>
      <c r="T668">
        <v>76</v>
      </c>
      <c r="W668">
        <v>9492</v>
      </c>
      <c r="X668" t="s">
        <v>3616</v>
      </c>
      <c r="Y668">
        <v>5.75</v>
      </c>
      <c r="Z668" t="s">
        <v>173</v>
      </c>
      <c r="AA668" t="s">
        <v>70</v>
      </c>
      <c r="AC668" t="s">
        <v>3942</v>
      </c>
      <c r="AF668" t="s">
        <v>4069</v>
      </c>
      <c r="AG668" t="s">
        <v>4075</v>
      </c>
      <c r="AJ668" t="s">
        <v>3943</v>
      </c>
      <c r="AL668" t="s">
        <v>4070</v>
      </c>
      <c r="AM668" t="s">
        <v>2230</v>
      </c>
      <c r="AO668">
        <v>1057</v>
      </c>
      <c r="AQ668">
        <v>300</v>
      </c>
      <c r="AS668" t="s">
        <v>4113</v>
      </c>
      <c r="AU668" t="s">
        <v>4135</v>
      </c>
      <c r="AW668">
        <v>2</v>
      </c>
      <c r="AY668" t="s">
        <v>4140</v>
      </c>
      <c r="AZ668" t="s">
        <v>4148</v>
      </c>
      <c r="BC668" t="s">
        <v>4155</v>
      </c>
      <c r="BG668" t="s">
        <v>4528</v>
      </c>
      <c r="BM668" t="s">
        <v>4627</v>
      </c>
    </row>
    <row r="669" spans="1:65">
      <c r="A669" s="1">
        <f>HYPERLINK("https://lsnyc.legalserver.org/matter/dynamic-profile/view/1895214","19-1895214")</f>
        <v>0</v>
      </c>
      <c r="B669" t="s">
        <v>85</v>
      </c>
      <c r="C669" t="s">
        <v>93</v>
      </c>
      <c r="D669" t="s">
        <v>158</v>
      </c>
      <c r="F669" t="s">
        <v>575</v>
      </c>
      <c r="G669" t="s">
        <v>1109</v>
      </c>
      <c r="H669" t="s">
        <v>1636</v>
      </c>
      <c r="I669" t="s">
        <v>1968</v>
      </c>
      <c r="J669" t="s">
        <v>2205</v>
      </c>
      <c r="K669">
        <v>11233</v>
      </c>
      <c r="N669" t="s">
        <v>2240</v>
      </c>
      <c r="O669" t="s">
        <v>2349</v>
      </c>
      <c r="Q669" t="s">
        <v>3027</v>
      </c>
      <c r="R669">
        <v>1</v>
      </c>
      <c r="S669">
        <v>2</v>
      </c>
      <c r="T669">
        <v>46.21</v>
      </c>
      <c r="W669">
        <v>9857</v>
      </c>
      <c r="Y669">
        <v>23.5</v>
      </c>
      <c r="Z669" t="s">
        <v>113</v>
      </c>
      <c r="AA669" t="s">
        <v>90</v>
      </c>
      <c r="AC669" t="s">
        <v>3942</v>
      </c>
      <c r="AD669" t="s">
        <v>198</v>
      </c>
      <c r="AF669" t="s">
        <v>4073</v>
      </c>
      <c r="AH669" t="s">
        <v>4080</v>
      </c>
      <c r="AJ669" t="s">
        <v>3943</v>
      </c>
      <c r="AL669" t="s">
        <v>4086</v>
      </c>
      <c r="AM669" t="s">
        <v>2230</v>
      </c>
      <c r="AO669">
        <v>1113</v>
      </c>
      <c r="AQ669">
        <v>66</v>
      </c>
      <c r="AS669" t="s">
        <v>4116</v>
      </c>
      <c r="AU669" t="s">
        <v>4131</v>
      </c>
      <c r="AW669">
        <v>1</v>
      </c>
      <c r="AY669" t="s">
        <v>4140</v>
      </c>
      <c r="BA669" t="s">
        <v>4149</v>
      </c>
      <c r="BB669" t="s">
        <v>4154</v>
      </c>
      <c r="BE669" t="s">
        <v>4182</v>
      </c>
      <c r="BF669" t="s">
        <v>4281</v>
      </c>
      <c r="BG669" t="s">
        <v>4128</v>
      </c>
      <c r="BM669" t="s">
        <v>4627</v>
      </c>
    </row>
    <row r="670" spans="1:65">
      <c r="A670" s="1">
        <f>HYPERLINK("https://lsnyc.legalserver.org/matter/dynamic-profile/view/1859387","18-1859387")</f>
        <v>0</v>
      </c>
      <c r="B670" t="s">
        <v>85</v>
      </c>
      <c r="C670" t="s">
        <v>95</v>
      </c>
      <c r="D670" t="s">
        <v>398</v>
      </c>
      <c r="E670" t="s">
        <v>176</v>
      </c>
      <c r="F670" t="s">
        <v>737</v>
      </c>
      <c r="G670" t="s">
        <v>1361</v>
      </c>
      <c r="H670" t="s">
        <v>1815</v>
      </c>
      <c r="I670" t="s">
        <v>1933</v>
      </c>
      <c r="J670" t="s">
        <v>2207</v>
      </c>
      <c r="K670">
        <v>10034</v>
      </c>
      <c r="L670" t="s">
        <v>2227</v>
      </c>
      <c r="N670" t="s">
        <v>2241</v>
      </c>
      <c r="O670" t="s">
        <v>2669</v>
      </c>
      <c r="Q670" t="s">
        <v>3308</v>
      </c>
      <c r="R670">
        <v>2</v>
      </c>
      <c r="S670">
        <v>1</v>
      </c>
      <c r="T670">
        <v>46.54</v>
      </c>
      <c r="W670">
        <v>9672</v>
      </c>
      <c r="Y670">
        <v>26.5</v>
      </c>
      <c r="Z670" t="s">
        <v>3863</v>
      </c>
      <c r="AA670" t="s">
        <v>3931</v>
      </c>
      <c r="AC670" t="s">
        <v>3942</v>
      </c>
      <c r="AD670" t="s">
        <v>398</v>
      </c>
      <c r="AF670" t="s">
        <v>4069</v>
      </c>
      <c r="AH670" t="s">
        <v>4080</v>
      </c>
      <c r="AJ670" t="s">
        <v>3943</v>
      </c>
      <c r="AL670" t="s">
        <v>4094</v>
      </c>
      <c r="AM670" t="s">
        <v>2230</v>
      </c>
      <c r="AO670">
        <v>980.67</v>
      </c>
      <c r="AQ670">
        <v>26</v>
      </c>
      <c r="AS670" t="s">
        <v>4113</v>
      </c>
      <c r="AU670" t="s">
        <v>4134</v>
      </c>
      <c r="AW670">
        <v>8</v>
      </c>
      <c r="AY670" t="s">
        <v>4141</v>
      </c>
      <c r="BB670" t="s">
        <v>4154</v>
      </c>
      <c r="BF670" t="s">
        <v>4281</v>
      </c>
      <c r="BM670" t="s">
        <v>4628</v>
      </c>
    </row>
    <row r="671" spans="1:65">
      <c r="A671" s="1">
        <f>HYPERLINK("https://lsnyc.legalserver.org/matter/dynamic-profile/view/1878828","18-1878828")</f>
        <v>0</v>
      </c>
      <c r="B671" t="s">
        <v>85</v>
      </c>
      <c r="C671" t="s">
        <v>95</v>
      </c>
      <c r="D671" t="s">
        <v>191</v>
      </c>
      <c r="F671" t="s">
        <v>828</v>
      </c>
      <c r="G671" t="s">
        <v>1362</v>
      </c>
      <c r="H671" t="s">
        <v>1816</v>
      </c>
      <c r="I671" t="s">
        <v>2070</v>
      </c>
      <c r="J671" t="s">
        <v>2207</v>
      </c>
      <c r="K671">
        <v>10029</v>
      </c>
      <c r="N671" t="s">
        <v>2241</v>
      </c>
      <c r="O671" t="s">
        <v>2670</v>
      </c>
      <c r="Q671" t="s">
        <v>3208</v>
      </c>
      <c r="R671">
        <v>1</v>
      </c>
      <c r="S671">
        <v>0</v>
      </c>
      <c r="T671">
        <v>79.08</v>
      </c>
      <c r="W671">
        <v>9600</v>
      </c>
      <c r="Y671">
        <v>2.6</v>
      </c>
      <c r="Z671" t="s">
        <v>142</v>
      </c>
      <c r="AA671" t="s">
        <v>3931</v>
      </c>
      <c r="AC671" t="s">
        <v>3942</v>
      </c>
      <c r="AD671" t="s">
        <v>191</v>
      </c>
      <c r="AF671" t="s">
        <v>4069</v>
      </c>
      <c r="AH671" t="s">
        <v>3510</v>
      </c>
      <c r="AJ671" t="s">
        <v>3943</v>
      </c>
      <c r="AL671" t="s">
        <v>4094</v>
      </c>
      <c r="AM671" t="s">
        <v>2230</v>
      </c>
      <c r="AO671">
        <v>1146</v>
      </c>
      <c r="AQ671">
        <v>400</v>
      </c>
      <c r="AS671" t="s">
        <v>4125</v>
      </c>
      <c r="AU671" t="s">
        <v>4134</v>
      </c>
      <c r="AW671">
        <v>41</v>
      </c>
      <c r="AY671" t="s">
        <v>4140</v>
      </c>
      <c r="BA671" t="s">
        <v>4149</v>
      </c>
      <c r="BB671" t="s">
        <v>4154</v>
      </c>
      <c r="BF671" t="s">
        <v>4281</v>
      </c>
      <c r="BM671" t="s">
        <v>4627</v>
      </c>
    </row>
    <row r="672" spans="1:65">
      <c r="A672" s="1">
        <f>HYPERLINK("https://lsnyc.legalserver.org/matter/dynamic-profile/view/1894799","19-1894799")</f>
        <v>0</v>
      </c>
      <c r="B672" t="s">
        <v>85</v>
      </c>
      <c r="C672" t="s">
        <v>93</v>
      </c>
      <c r="D672" t="s">
        <v>399</v>
      </c>
      <c r="F672" t="s">
        <v>656</v>
      </c>
      <c r="G672" t="s">
        <v>1363</v>
      </c>
      <c r="H672" t="s">
        <v>1817</v>
      </c>
      <c r="I672">
        <v>212</v>
      </c>
      <c r="J672" t="s">
        <v>2205</v>
      </c>
      <c r="K672">
        <v>11208</v>
      </c>
      <c r="N672" t="s">
        <v>2240</v>
      </c>
      <c r="O672" t="s">
        <v>2671</v>
      </c>
      <c r="Q672" t="s">
        <v>3309</v>
      </c>
      <c r="R672">
        <v>1</v>
      </c>
      <c r="S672">
        <v>1</v>
      </c>
      <c r="T672">
        <v>169.44</v>
      </c>
      <c r="W672">
        <v>28652</v>
      </c>
      <c r="Y672">
        <v>12</v>
      </c>
      <c r="Z672" t="s">
        <v>236</v>
      </c>
      <c r="AA672" t="s">
        <v>70</v>
      </c>
      <c r="AC672" t="s">
        <v>3942</v>
      </c>
      <c r="AD672" t="s">
        <v>370</v>
      </c>
      <c r="AF672" t="s">
        <v>4053</v>
      </c>
      <c r="AH672" t="s">
        <v>4078</v>
      </c>
      <c r="AJ672" t="s">
        <v>3943</v>
      </c>
      <c r="AL672" t="s">
        <v>4092</v>
      </c>
      <c r="AM672" t="s">
        <v>2230</v>
      </c>
      <c r="AO672">
        <v>1092</v>
      </c>
      <c r="AQ672">
        <v>323</v>
      </c>
      <c r="AS672" t="s">
        <v>4113</v>
      </c>
      <c r="AU672" t="s">
        <v>4128</v>
      </c>
      <c r="AW672">
        <v>3</v>
      </c>
      <c r="AY672" t="s">
        <v>4140</v>
      </c>
      <c r="BA672" t="s">
        <v>4149</v>
      </c>
      <c r="BB672" t="s">
        <v>4154</v>
      </c>
      <c r="BD672" t="s">
        <v>4157</v>
      </c>
      <c r="BE672" t="s">
        <v>4242</v>
      </c>
      <c r="BG672" t="s">
        <v>4529</v>
      </c>
      <c r="BM672" t="s">
        <v>4627</v>
      </c>
    </row>
    <row r="673" spans="1:65">
      <c r="A673" s="1">
        <f>HYPERLINK("https://lsnyc.legalserver.org/matter/dynamic-profile/view/1876399","18-1876399")</f>
        <v>0</v>
      </c>
      <c r="B673" t="s">
        <v>85</v>
      </c>
      <c r="C673" t="s">
        <v>95</v>
      </c>
      <c r="D673" t="s">
        <v>239</v>
      </c>
      <c r="E673" t="s">
        <v>176</v>
      </c>
      <c r="F673" t="s">
        <v>829</v>
      </c>
      <c r="G673" t="s">
        <v>1364</v>
      </c>
      <c r="H673" t="s">
        <v>1818</v>
      </c>
      <c r="I673" t="s">
        <v>1951</v>
      </c>
      <c r="J673" t="s">
        <v>2207</v>
      </c>
      <c r="K673">
        <v>10035</v>
      </c>
      <c r="L673" t="s">
        <v>2227</v>
      </c>
      <c r="N673" t="s">
        <v>2241</v>
      </c>
      <c r="O673" t="s">
        <v>2672</v>
      </c>
      <c r="Q673" t="s">
        <v>3310</v>
      </c>
      <c r="R673">
        <v>1</v>
      </c>
      <c r="S673">
        <v>0</v>
      </c>
      <c r="T673">
        <v>78.09</v>
      </c>
      <c r="W673">
        <v>9480</v>
      </c>
      <c r="Y673">
        <v>3.5</v>
      </c>
      <c r="Z673" t="s">
        <v>3875</v>
      </c>
      <c r="AA673" t="s">
        <v>3931</v>
      </c>
      <c r="AC673" t="s">
        <v>3942</v>
      </c>
      <c r="AD673" t="s">
        <v>121</v>
      </c>
      <c r="AF673" t="s">
        <v>4069</v>
      </c>
      <c r="AH673" t="s">
        <v>4078</v>
      </c>
      <c r="AJ673" t="s">
        <v>3943</v>
      </c>
      <c r="AL673" t="s">
        <v>4094</v>
      </c>
      <c r="AM673" t="s">
        <v>2230</v>
      </c>
      <c r="AO673">
        <v>2100</v>
      </c>
      <c r="AQ673">
        <v>35</v>
      </c>
      <c r="AS673" t="s">
        <v>4120</v>
      </c>
      <c r="AU673" t="s">
        <v>4129</v>
      </c>
      <c r="AW673">
        <v>15</v>
      </c>
      <c r="AY673" t="s">
        <v>4140</v>
      </c>
      <c r="BA673" t="s">
        <v>4149</v>
      </c>
      <c r="BC673" t="s">
        <v>4155</v>
      </c>
      <c r="BF673" t="s">
        <v>4281</v>
      </c>
      <c r="BJ673" t="s">
        <v>4622</v>
      </c>
      <c r="BM673" t="s">
        <v>4628</v>
      </c>
    </row>
    <row r="674" spans="1:65">
      <c r="A674" s="1">
        <f>HYPERLINK("https://lsnyc.legalserver.org/matter/dynamic-profile/view/1850772","17-1850772")</f>
        <v>0</v>
      </c>
      <c r="B674" t="s">
        <v>85</v>
      </c>
      <c r="C674" t="s">
        <v>95</v>
      </c>
      <c r="D674" t="s">
        <v>400</v>
      </c>
      <c r="E674" t="s">
        <v>176</v>
      </c>
      <c r="F674" t="s">
        <v>485</v>
      </c>
      <c r="G674" t="s">
        <v>1365</v>
      </c>
      <c r="H674" t="s">
        <v>1819</v>
      </c>
      <c r="I674" t="s">
        <v>2071</v>
      </c>
      <c r="J674" t="s">
        <v>2207</v>
      </c>
      <c r="K674">
        <v>10029</v>
      </c>
      <c r="L674" t="s">
        <v>2227</v>
      </c>
      <c r="N674" t="s">
        <v>2241</v>
      </c>
      <c r="O674" t="s">
        <v>2673</v>
      </c>
      <c r="Q674" t="s">
        <v>3311</v>
      </c>
      <c r="R674">
        <v>1</v>
      </c>
      <c r="S674">
        <v>0</v>
      </c>
      <c r="T674">
        <v>182.42</v>
      </c>
      <c r="W674">
        <v>22000</v>
      </c>
      <c r="Y674">
        <v>58.5</v>
      </c>
      <c r="Z674" t="s">
        <v>256</v>
      </c>
      <c r="AA674" t="s">
        <v>3931</v>
      </c>
      <c r="AC674" t="s">
        <v>3942</v>
      </c>
      <c r="AD674" t="s">
        <v>400</v>
      </c>
      <c r="AF674" t="s">
        <v>4069</v>
      </c>
      <c r="AH674" t="s">
        <v>4080</v>
      </c>
      <c r="AJ674" t="s">
        <v>3943</v>
      </c>
      <c r="AL674" t="s">
        <v>4094</v>
      </c>
      <c r="AM674" t="s">
        <v>2230</v>
      </c>
      <c r="AO674">
        <v>1319.05</v>
      </c>
      <c r="AQ674">
        <v>936</v>
      </c>
      <c r="AS674" t="s">
        <v>4125</v>
      </c>
      <c r="AU674" t="s">
        <v>4128</v>
      </c>
      <c r="AW674">
        <v>22</v>
      </c>
      <c r="AY674" t="s">
        <v>4141</v>
      </c>
      <c r="BB674" t="s">
        <v>4154</v>
      </c>
      <c r="BF674" t="s">
        <v>4281</v>
      </c>
      <c r="BM674" t="s">
        <v>4628</v>
      </c>
    </row>
    <row r="675" spans="1:65">
      <c r="A675" s="1">
        <f>HYPERLINK("https://lsnyc.legalserver.org/matter/dynamic-profile/view/1911594","19-1911594")</f>
        <v>0</v>
      </c>
      <c r="B675" t="s">
        <v>85</v>
      </c>
      <c r="C675" t="s">
        <v>93</v>
      </c>
      <c r="D675" t="s">
        <v>401</v>
      </c>
      <c r="F675" t="s">
        <v>651</v>
      </c>
      <c r="G675" t="s">
        <v>1366</v>
      </c>
      <c r="H675" t="s">
        <v>1820</v>
      </c>
      <c r="I675" t="s">
        <v>2072</v>
      </c>
      <c r="J675" t="s">
        <v>2205</v>
      </c>
      <c r="K675">
        <v>11239</v>
      </c>
      <c r="N675" t="s">
        <v>2233</v>
      </c>
      <c r="O675" t="s">
        <v>2674</v>
      </c>
      <c r="Q675" t="s">
        <v>3312</v>
      </c>
      <c r="R675">
        <v>1</v>
      </c>
      <c r="S675">
        <v>0</v>
      </c>
      <c r="T675">
        <v>82.43000000000001</v>
      </c>
      <c r="W675">
        <v>10296</v>
      </c>
      <c r="Y675">
        <v>16.25</v>
      </c>
      <c r="Z675" t="s">
        <v>457</v>
      </c>
      <c r="AA675" t="s">
        <v>90</v>
      </c>
      <c r="AC675" t="s">
        <v>3942</v>
      </c>
      <c r="AF675" t="s">
        <v>4054</v>
      </c>
      <c r="AG675" t="s">
        <v>4075</v>
      </c>
      <c r="AJ675" t="s">
        <v>3943</v>
      </c>
      <c r="AL675" t="s">
        <v>4086</v>
      </c>
      <c r="AM675" t="s">
        <v>2230</v>
      </c>
      <c r="AO675">
        <v>2400</v>
      </c>
      <c r="AQ675">
        <v>84</v>
      </c>
      <c r="AS675" t="s">
        <v>4116</v>
      </c>
      <c r="AU675" t="s">
        <v>4136</v>
      </c>
      <c r="AW675">
        <v>1</v>
      </c>
      <c r="AY675" t="s">
        <v>4140</v>
      </c>
      <c r="BA675" t="s">
        <v>4149</v>
      </c>
      <c r="BC675" t="s">
        <v>4155</v>
      </c>
      <c r="BD675" t="s">
        <v>4157</v>
      </c>
      <c r="BE675" t="s">
        <v>4243</v>
      </c>
      <c r="BF675" t="s">
        <v>4281</v>
      </c>
      <c r="BG675" t="s">
        <v>4530</v>
      </c>
      <c r="BM675" t="s">
        <v>4627</v>
      </c>
    </row>
    <row r="676" spans="1:65">
      <c r="A676" s="1">
        <f>HYPERLINK("https://lsnyc.legalserver.org/matter/dynamic-profile/view/1849148","17-1849148")</f>
        <v>0</v>
      </c>
      <c r="B676" t="s">
        <v>85</v>
      </c>
      <c r="C676" t="s">
        <v>95</v>
      </c>
      <c r="D676" t="s">
        <v>402</v>
      </c>
      <c r="E676" t="s">
        <v>176</v>
      </c>
      <c r="F676" t="s">
        <v>749</v>
      </c>
      <c r="G676" t="s">
        <v>1367</v>
      </c>
      <c r="H676" t="s">
        <v>1821</v>
      </c>
      <c r="I676" t="s">
        <v>1933</v>
      </c>
      <c r="J676" t="s">
        <v>2207</v>
      </c>
      <c r="K676">
        <v>10035</v>
      </c>
      <c r="L676" t="s">
        <v>2227</v>
      </c>
      <c r="N676" t="s">
        <v>2241</v>
      </c>
      <c r="O676" t="s">
        <v>2675</v>
      </c>
      <c r="Q676" t="s">
        <v>3313</v>
      </c>
      <c r="R676">
        <v>3</v>
      </c>
      <c r="S676">
        <v>1</v>
      </c>
      <c r="T676">
        <v>134.73</v>
      </c>
      <c r="W676">
        <v>42840</v>
      </c>
      <c r="Y676">
        <v>24.25</v>
      </c>
      <c r="Z676" t="s">
        <v>3447</v>
      </c>
      <c r="AA676" t="s">
        <v>3931</v>
      </c>
      <c r="AC676" t="s">
        <v>3942</v>
      </c>
      <c r="AD676" t="s">
        <v>402</v>
      </c>
      <c r="AF676" t="s">
        <v>4069</v>
      </c>
      <c r="AH676" t="s">
        <v>4078</v>
      </c>
      <c r="AJ676" t="s">
        <v>3943</v>
      </c>
      <c r="AL676" t="s">
        <v>4094</v>
      </c>
      <c r="AM676" t="s">
        <v>2230</v>
      </c>
      <c r="AN676" t="s">
        <v>4107</v>
      </c>
      <c r="AO676">
        <v>0</v>
      </c>
      <c r="AQ676">
        <v>42</v>
      </c>
      <c r="AS676" t="s">
        <v>4120</v>
      </c>
      <c r="AU676" t="s">
        <v>4129</v>
      </c>
      <c r="AW676">
        <v>40</v>
      </c>
      <c r="AY676" t="s">
        <v>4140</v>
      </c>
      <c r="BB676" t="s">
        <v>4154</v>
      </c>
      <c r="BF676" t="s">
        <v>4281</v>
      </c>
      <c r="BJ676" t="s">
        <v>4622</v>
      </c>
      <c r="BM676" t="s">
        <v>4628</v>
      </c>
    </row>
    <row r="677" spans="1:65">
      <c r="A677" s="1">
        <f>HYPERLINK("https://lsnyc.legalserver.org/matter/dynamic-profile/view/1913800","19-1913800")</f>
        <v>0</v>
      </c>
      <c r="B677" t="s">
        <v>85</v>
      </c>
      <c r="C677" t="s">
        <v>93</v>
      </c>
      <c r="D677" t="s">
        <v>361</v>
      </c>
      <c r="F677" t="s">
        <v>830</v>
      </c>
      <c r="G677" t="s">
        <v>1368</v>
      </c>
      <c r="H677" t="s">
        <v>1822</v>
      </c>
      <c r="I677" t="s">
        <v>1930</v>
      </c>
      <c r="J677" t="s">
        <v>2205</v>
      </c>
      <c r="K677">
        <v>11233</v>
      </c>
      <c r="N677" t="s">
        <v>2240</v>
      </c>
      <c r="O677" t="s">
        <v>2676</v>
      </c>
      <c r="Q677" t="s">
        <v>3314</v>
      </c>
      <c r="R677">
        <v>2</v>
      </c>
      <c r="S677">
        <v>0</v>
      </c>
      <c r="T677">
        <v>153.76</v>
      </c>
      <c r="W677">
        <v>26000</v>
      </c>
      <c r="X677" t="s">
        <v>3617</v>
      </c>
      <c r="Y677">
        <v>3</v>
      </c>
      <c r="Z677" t="s">
        <v>457</v>
      </c>
      <c r="AA677" t="s">
        <v>70</v>
      </c>
      <c r="AC677" t="s">
        <v>3942</v>
      </c>
      <c r="AF677" t="s">
        <v>4072</v>
      </c>
      <c r="AG677" t="s">
        <v>4075</v>
      </c>
      <c r="AJ677" t="s">
        <v>3943</v>
      </c>
      <c r="AL677" t="s">
        <v>4086</v>
      </c>
      <c r="AM677" t="s">
        <v>2230</v>
      </c>
      <c r="AO677">
        <v>1052</v>
      </c>
      <c r="AQ677">
        <v>12</v>
      </c>
      <c r="AS677" t="s">
        <v>4113</v>
      </c>
      <c r="AU677" t="s">
        <v>4128</v>
      </c>
      <c r="AW677">
        <v>8</v>
      </c>
      <c r="AY677" t="s">
        <v>4140</v>
      </c>
      <c r="BA677" t="s">
        <v>4149</v>
      </c>
      <c r="BC677" t="s">
        <v>4155</v>
      </c>
      <c r="BE677" t="s">
        <v>4128</v>
      </c>
      <c r="BG677" t="s">
        <v>4531</v>
      </c>
      <c r="BM677" t="s">
        <v>4627</v>
      </c>
    </row>
    <row r="678" spans="1:65">
      <c r="A678" s="1">
        <f>HYPERLINK("https://lsnyc.legalserver.org/matter/dynamic-profile/view/1888436","19-1888436")</f>
        <v>0</v>
      </c>
      <c r="B678" t="s">
        <v>85</v>
      </c>
      <c r="C678" t="s">
        <v>93</v>
      </c>
      <c r="D678" t="s">
        <v>403</v>
      </c>
      <c r="F678" t="s">
        <v>585</v>
      </c>
      <c r="G678" t="s">
        <v>1119</v>
      </c>
      <c r="H678" t="s">
        <v>1646</v>
      </c>
      <c r="I678" t="s">
        <v>1944</v>
      </c>
      <c r="J678" t="s">
        <v>2205</v>
      </c>
      <c r="K678">
        <v>11226</v>
      </c>
      <c r="N678" t="s">
        <v>2240</v>
      </c>
      <c r="O678" t="s">
        <v>2359</v>
      </c>
      <c r="Q678" t="s">
        <v>3035</v>
      </c>
      <c r="R678">
        <v>1</v>
      </c>
      <c r="S678">
        <v>0</v>
      </c>
      <c r="T678">
        <v>0</v>
      </c>
      <c r="U678" t="s">
        <v>3444</v>
      </c>
      <c r="V678" t="s">
        <v>3457</v>
      </c>
      <c r="W678">
        <v>0</v>
      </c>
      <c r="X678" t="s">
        <v>3618</v>
      </c>
      <c r="Y678">
        <v>32.35</v>
      </c>
      <c r="Z678" t="s">
        <v>457</v>
      </c>
      <c r="AA678" t="s">
        <v>70</v>
      </c>
      <c r="AC678" t="s">
        <v>3942</v>
      </c>
      <c r="AD678" t="s">
        <v>197</v>
      </c>
      <c r="AF678" t="s">
        <v>4053</v>
      </c>
      <c r="AH678" t="s">
        <v>4079</v>
      </c>
      <c r="AJ678" t="s">
        <v>3943</v>
      </c>
      <c r="AL678" t="s">
        <v>4091</v>
      </c>
      <c r="AM678" t="s">
        <v>2230</v>
      </c>
      <c r="AO678">
        <v>1850</v>
      </c>
      <c r="AQ678">
        <v>16</v>
      </c>
      <c r="AS678" t="s">
        <v>4113</v>
      </c>
      <c r="AT678" t="s">
        <v>4127</v>
      </c>
      <c r="AW678">
        <v>10</v>
      </c>
      <c r="AY678" t="s">
        <v>4140</v>
      </c>
      <c r="BC678" t="s">
        <v>4155</v>
      </c>
      <c r="BE678" t="s">
        <v>4190</v>
      </c>
      <c r="BG678" t="s">
        <v>4532</v>
      </c>
      <c r="BM678" t="s">
        <v>4627</v>
      </c>
    </row>
    <row r="679" spans="1:65">
      <c r="A679" s="1">
        <f>HYPERLINK("https://lsnyc.legalserver.org/matter/dynamic-profile/view/1911716","19-1911716")</f>
        <v>0</v>
      </c>
      <c r="B679" t="s">
        <v>85</v>
      </c>
      <c r="C679" t="s">
        <v>93</v>
      </c>
      <c r="D679" t="s">
        <v>192</v>
      </c>
      <c r="E679" t="s">
        <v>183</v>
      </c>
      <c r="F679" t="s">
        <v>662</v>
      </c>
      <c r="G679" t="s">
        <v>1133</v>
      </c>
      <c r="H679" t="s">
        <v>1823</v>
      </c>
      <c r="I679">
        <v>7</v>
      </c>
      <c r="J679" t="s">
        <v>2205</v>
      </c>
      <c r="K679">
        <v>11233</v>
      </c>
      <c r="L679" t="s">
        <v>2222</v>
      </c>
      <c r="N679" t="s">
        <v>2240</v>
      </c>
      <c r="O679" t="s">
        <v>2677</v>
      </c>
      <c r="Q679" t="s">
        <v>3315</v>
      </c>
      <c r="R679">
        <v>2</v>
      </c>
      <c r="S679">
        <v>0</v>
      </c>
      <c r="T679">
        <v>0</v>
      </c>
      <c r="W679">
        <v>0</v>
      </c>
      <c r="Y679">
        <v>1.75</v>
      </c>
      <c r="Z679" t="s">
        <v>183</v>
      </c>
      <c r="AA679" t="s">
        <v>70</v>
      </c>
      <c r="AC679" t="s">
        <v>3942</v>
      </c>
      <c r="AD679" t="s">
        <v>196</v>
      </c>
      <c r="AF679" t="s">
        <v>4056</v>
      </c>
      <c r="AH679" t="s">
        <v>4081</v>
      </c>
      <c r="AJ679" t="s">
        <v>3943</v>
      </c>
      <c r="AL679" t="s">
        <v>4070</v>
      </c>
      <c r="AM679" t="s">
        <v>2230</v>
      </c>
      <c r="AO679">
        <v>871</v>
      </c>
      <c r="AQ679">
        <v>8</v>
      </c>
      <c r="AS679" t="s">
        <v>4113</v>
      </c>
      <c r="AU679" t="s">
        <v>4129</v>
      </c>
      <c r="AV679" t="s">
        <v>4137</v>
      </c>
      <c r="AW679">
        <v>0</v>
      </c>
      <c r="AY679" t="s">
        <v>4140</v>
      </c>
      <c r="BC679" t="s">
        <v>4155</v>
      </c>
      <c r="BF679" t="s">
        <v>4281</v>
      </c>
      <c r="BG679" t="s">
        <v>4054</v>
      </c>
      <c r="BM679" t="s">
        <v>4628</v>
      </c>
    </row>
    <row r="680" spans="1:65">
      <c r="A680" s="1">
        <f>HYPERLINK("https://lsnyc.legalserver.org/matter/dynamic-profile/view/1909296","19-1909296")</f>
        <v>0</v>
      </c>
      <c r="B680" t="s">
        <v>85</v>
      </c>
      <c r="C680" t="s">
        <v>93</v>
      </c>
      <c r="D680" t="s">
        <v>382</v>
      </c>
      <c r="F680" t="s">
        <v>831</v>
      </c>
      <c r="G680" t="s">
        <v>1364</v>
      </c>
      <c r="H680" t="s">
        <v>1571</v>
      </c>
      <c r="I680">
        <v>143</v>
      </c>
      <c r="J680" t="s">
        <v>2205</v>
      </c>
      <c r="K680">
        <v>11208</v>
      </c>
      <c r="N680" t="s">
        <v>2233</v>
      </c>
      <c r="O680" t="s">
        <v>2678</v>
      </c>
      <c r="Q680" t="s">
        <v>3316</v>
      </c>
      <c r="R680">
        <v>1</v>
      </c>
      <c r="S680">
        <v>0</v>
      </c>
      <c r="T680">
        <v>14.58</v>
      </c>
      <c r="W680">
        <v>1821.6</v>
      </c>
      <c r="Y680">
        <v>31.75</v>
      </c>
      <c r="Z680" t="s">
        <v>135</v>
      </c>
      <c r="AA680" t="s">
        <v>3903</v>
      </c>
      <c r="AC680" t="s">
        <v>3942</v>
      </c>
      <c r="AD680" t="s">
        <v>225</v>
      </c>
      <c r="AF680" t="s">
        <v>4057</v>
      </c>
      <c r="AH680" t="s">
        <v>3510</v>
      </c>
      <c r="AJ680" t="s">
        <v>3943</v>
      </c>
      <c r="AL680" t="s">
        <v>4089</v>
      </c>
      <c r="AM680" t="s">
        <v>2230</v>
      </c>
      <c r="AO680">
        <v>1000</v>
      </c>
      <c r="AQ680">
        <v>266</v>
      </c>
      <c r="AS680" t="s">
        <v>4120</v>
      </c>
      <c r="AU680" t="s">
        <v>4129</v>
      </c>
      <c r="AW680">
        <v>28</v>
      </c>
      <c r="AY680" t="s">
        <v>4140</v>
      </c>
      <c r="BA680" t="s">
        <v>4149</v>
      </c>
      <c r="BC680" t="s">
        <v>4155</v>
      </c>
      <c r="BE680" t="s">
        <v>4160</v>
      </c>
      <c r="BF680" t="s">
        <v>4281</v>
      </c>
      <c r="BG680" t="s">
        <v>4054</v>
      </c>
      <c r="BM680" t="s">
        <v>4627</v>
      </c>
    </row>
    <row r="681" spans="1:65">
      <c r="A681" s="1">
        <f>HYPERLINK("https://lsnyc.legalserver.org/matter/dynamic-profile/view/1895453","19-1895453")</f>
        <v>0</v>
      </c>
      <c r="B681" t="s">
        <v>85</v>
      </c>
      <c r="C681" t="s">
        <v>93</v>
      </c>
      <c r="D681" t="s">
        <v>404</v>
      </c>
      <c r="E681" t="s">
        <v>102</v>
      </c>
      <c r="F681" t="s">
        <v>799</v>
      </c>
      <c r="G681" t="s">
        <v>1299</v>
      </c>
      <c r="H681" t="s">
        <v>1780</v>
      </c>
      <c r="I681" t="s">
        <v>1924</v>
      </c>
      <c r="J681" t="s">
        <v>2205</v>
      </c>
      <c r="K681">
        <v>11208</v>
      </c>
      <c r="L681" t="s">
        <v>2224</v>
      </c>
      <c r="N681" t="s">
        <v>2240</v>
      </c>
      <c r="O681" t="s">
        <v>2633</v>
      </c>
      <c r="Q681" t="s">
        <v>3274</v>
      </c>
      <c r="R681">
        <v>2</v>
      </c>
      <c r="S681">
        <v>0</v>
      </c>
      <c r="T681">
        <v>110.09</v>
      </c>
      <c r="W681">
        <v>18616</v>
      </c>
      <c r="Y681">
        <v>25.75</v>
      </c>
      <c r="Z681" t="s">
        <v>102</v>
      </c>
      <c r="AA681" t="s">
        <v>70</v>
      </c>
      <c r="AC681" t="s">
        <v>3942</v>
      </c>
      <c r="AD681" t="s">
        <v>372</v>
      </c>
      <c r="AF681" t="s">
        <v>4072</v>
      </c>
      <c r="AH681" t="s">
        <v>4080</v>
      </c>
      <c r="AJ681" t="s">
        <v>3943</v>
      </c>
      <c r="AL681" t="s">
        <v>4101</v>
      </c>
      <c r="AM681" t="s">
        <v>2230</v>
      </c>
      <c r="AO681">
        <v>862</v>
      </c>
      <c r="AQ681">
        <v>6</v>
      </c>
      <c r="AR681" t="s">
        <v>4112</v>
      </c>
      <c r="AT681" t="s">
        <v>4127</v>
      </c>
      <c r="AW681">
        <v>13</v>
      </c>
      <c r="AY681" t="s">
        <v>4141</v>
      </c>
      <c r="BB681" t="s">
        <v>4154</v>
      </c>
      <c r="BD681" t="s">
        <v>4157</v>
      </c>
      <c r="BE681" t="s">
        <v>4232</v>
      </c>
      <c r="BG681" t="s">
        <v>4497</v>
      </c>
      <c r="BM681" t="s">
        <v>4628</v>
      </c>
    </row>
    <row r="682" spans="1:65">
      <c r="A682" s="1">
        <f>HYPERLINK("https://lsnyc.legalserver.org/matter/dynamic-profile/view/1913793","19-1913793")</f>
        <v>0</v>
      </c>
      <c r="B682" t="s">
        <v>85</v>
      </c>
      <c r="C682" t="s">
        <v>93</v>
      </c>
      <c r="D682" t="s">
        <v>361</v>
      </c>
      <c r="F682" t="s">
        <v>619</v>
      </c>
      <c r="G682" t="s">
        <v>1151</v>
      </c>
      <c r="H682" t="s">
        <v>1683</v>
      </c>
      <c r="I682">
        <v>1</v>
      </c>
      <c r="J682" t="s">
        <v>2205</v>
      </c>
      <c r="K682">
        <v>11207</v>
      </c>
      <c r="N682" t="s">
        <v>2240</v>
      </c>
      <c r="O682" t="s">
        <v>2400</v>
      </c>
      <c r="Q682" t="s">
        <v>3074</v>
      </c>
      <c r="R682">
        <v>3</v>
      </c>
      <c r="S682">
        <v>2</v>
      </c>
      <c r="T682">
        <v>30.16</v>
      </c>
      <c r="W682">
        <v>9100</v>
      </c>
      <c r="X682" t="s">
        <v>3617</v>
      </c>
      <c r="Y682">
        <v>1.75</v>
      </c>
      <c r="Z682" t="s">
        <v>360</v>
      </c>
      <c r="AA682" t="s">
        <v>70</v>
      </c>
      <c r="AC682" t="s">
        <v>3942</v>
      </c>
      <c r="AD682" t="s">
        <v>360</v>
      </c>
      <c r="AF682" t="s">
        <v>4072</v>
      </c>
      <c r="AG682" t="s">
        <v>4075</v>
      </c>
      <c r="AJ682" t="s">
        <v>3943</v>
      </c>
      <c r="AK682" t="s">
        <v>4084</v>
      </c>
      <c r="AM682" t="s">
        <v>2230</v>
      </c>
      <c r="AO682">
        <v>2000</v>
      </c>
      <c r="AQ682">
        <v>3</v>
      </c>
      <c r="AS682" t="s">
        <v>4114</v>
      </c>
      <c r="AT682" t="s">
        <v>4127</v>
      </c>
      <c r="AV682" t="s">
        <v>4137</v>
      </c>
      <c r="AW682">
        <v>0</v>
      </c>
      <c r="AY682" t="s">
        <v>4140</v>
      </c>
      <c r="BA682" t="s">
        <v>4149</v>
      </c>
      <c r="BC682" t="s">
        <v>4155</v>
      </c>
      <c r="BD682" t="s">
        <v>4157</v>
      </c>
      <c r="BE682" t="s">
        <v>4204</v>
      </c>
      <c r="BG682" t="s">
        <v>4401</v>
      </c>
      <c r="BM682" t="s">
        <v>4627</v>
      </c>
    </row>
    <row r="683" spans="1:65">
      <c r="A683" s="1">
        <f>HYPERLINK("https://lsnyc.legalserver.org/matter/dynamic-profile/view/1915309","19-1915309")</f>
        <v>0</v>
      </c>
      <c r="B683" t="s">
        <v>85</v>
      </c>
      <c r="C683" t="s">
        <v>93</v>
      </c>
      <c r="D683" t="s">
        <v>360</v>
      </c>
      <c r="F683" t="s">
        <v>559</v>
      </c>
      <c r="G683" t="s">
        <v>1108</v>
      </c>
      <c r="H683" t="s">
        <v>1635</v>
      </c>
      <c r="I683" t="s">
        <v>1942</v>
      </c>
      <c r="J683" t="s">
        <v>2205</v>
      </c>
      <c r="K683">
        <v>11212</v>
      </c>
      <c r="N683" t="s">
        <v>2241</v>
      </c>
      <c r="O683" t="s">
        <v>2348</v>
      </c>
      <c r="Q683" t="s">
        <v>3026</v>
      </c>
      <c r="R683">
        <v>1</v>
      </c>
      <c r="S683">
        <v>2</v>
      </c>
      <c r="T683">
        <v>163.62</v>
      </c>
      <c r="W683">
        <v>34900</v>
      </c>
      <c r="Y683">
        <v>0</v>
      </c>
      <c r="AA683" t="s">
        <v>90</v>
      </c>
      <c r="AB683" t="s">
        <v>3940</v>
      </c>
      <c r="AC683" t="s">
        <v>3943</v>
      </c>
      <c r="AF683" t="s">
        <v>4053</v>
      </c>
      <c r="AG683" t="s">
        <v>4075</v>
      </c>
      <c r="AJ683" t="s">
        <v>3943</v>
      </c>
      <c r="AL683" t="s">
        <v>4093</v>
      </c>
      <c r="AM683" t="s">
        <v>2230</v>
      </c>
      <c r="AO683">
        <v>1500</v>
      </c>
      <c r="AQ683">
        <v>32</v>
      </c>
      <c r="AS683" t="s">
        <v>4113</v>
      </c>
      <c r="AU683" t="s">
        <v>4128</v>
      </c>
      <c r="AW683">
        <v>3</v>
      </c>
      <c r="AY683" t="s">
        <v>4140</v>
      </c>
      <c r="BA683" t="s">
        <v>4149</v>
      </c>
      <c r="BB683" t="s">
        <v>4154</v>
      </c>
      <c r="BC683" t="s">
        <v>4128</v>
      </c>
      <c r="BD683" t="s">
        <v>4157</v>
      </c>
      <c r="BE683" t="s">
        <v>4181</v>
      </c>
      <c r="BF683" t="s">
        <v>4281</v>
      </c>
      <c r="BG683" t="s">
        <v>4533</v>
      </c>
      <c r="BM683" t="s">
        <v>4627</v>
      </c>
    </row>
    <row r="684" spans="1:65">
      <c r="A684" s="1">
        <f>HYPERLINK("https://lsnyc.legalserver.org/matter/dynamic-profile/view/1914121","19-1914121")</f>
        <v>0</v>
      </c>
      <c r="B684" t="s">
        <v>85</v>
      </c>
      <c r="C684" t="s">
        <v>93</v>
      </c>
      <c r="D684" t="s">
        <v>102</v>
      </c>
      <c r="F684" t="s">
        <v>832</v>
      </c>
      <c r="G684" t="s">
        <v>1021</v>
      </c>
      <c r="H684" t="s">
        <v>1585</v>
      </c>
      <c r="I684" t="s">
        <v>1944</v>
      </c>
      <c r="J684" t="s">
        <v>2205</v>
      </c>
      <c r="K684">
        <v>11213</v>
      </c>
      <c r="N684" t="s">
        <v>2240</v>
      </c>
      <c r="O684" t="s">
        <v>2679</v>
      </c>
      <c r="Q684" t="s">
        <v>3317</v>
      </c>
      <c r="R684">
        <v>2</v>
      </c>
      <c r="S684">
        <v>0</v>
      </c>
      <c r="T684">
        <v>30.87</v>
      </c>
      <c r="W684">
        <v>5220</v>
      </c>
      <c r="X684" t="s">
        <v>3619</v>
      </c>
      <c r="Y684">
        <v>2.25</v>
      </c>
      <c r="Z684" t="s">
        <v>357</v>
      </c>
      <c r="AA684" t="s">
        <v>70</v>
      </c>
      <c r="AC684" t="s">
        <v>3942</v>
      </c>
      <c r="AD684" t="s">
        <v>357</v>
      </c>
      <c r="AF684" t="s">
        <v>4072</v>
      </c>
      <c r="AG684" t="s">
        <v>4075</v>
      </c>
      <c r="AJ684" t="s">
        <v>3943</v>
      </c>
      <c r="AL684" t="s">
        <v>4089</v>
      </c>
      <c r="AM684" t="s">
        <v>2230</v>
      </c>
      <c r="AO684">
        <v>1350</v>
      </c>
      <c r="AQ684">
        <v>35</v>
      </c>
      <c r="AS684" t="s">
        <v>4113</v>
      </c>
      <c r="AU684" t="s">
        <v>4131</v>
      </c>
      <c r="AW684">
        <v>2</v>
      </c>
      <c r="AY684" t="s">
        <v>4140</v>
      </c>
      <c r="BA684" t="s">
        <v>4149</v>
      </c>
      <c r="BC684" t="s">
        <v>4155</v>
      </c>
      <c r="BE684" t="s">
        <v>4244</v>
      </c>
      <c r="BG684" t="s">
        <v>4534</v>
      </c>
      <c r="BM684" t="s">
        <v>4627</v>
      </c>
    </row>
    <row r="685" spans="1:65">
      <c r="A685" s="1">
        <f>HYPERLINK("https://lsnyc.legalserver.org/matter/dynamic-profile/view/1857047","18-1857047")</f>
        <v>0</v>
      </c>
      <c r="B685" t="s">
        <v>85</v>
      </c>
      <c r="C685" t="s">
        <v>95</v>
      </c>
      <c r="D685" t="s">
        <v>405</v>
      </c>
      <c r="E685" t="s">
        <v>176</v>
      </c>
      <c r="F685" t="s">
        <v>833</v>
      </c>
      <c r="G685" t="s">
        <v>1369</v>
      </c>
      <c r="H685" t="s">
        <v>1824</v>
      </c>
      <c r="I685" t="s">
        <v>1926</v>
      </c>
      <c r="J685" t="s">
        <v>2207</v>
      </c>
      <c r="K685">
        <v>10035</v>
      </c>
      <c r="L685" t="s">
        <v>2227</v>
      </c>
      <c r="N685" t="s">
        <v>2241</v>
      </c>
      <c r="O685" t="s">
        <v>2680</v>
      </c>
      <c r="Q685" t="s">
        <v>3318</v>
      </c>
      <c r="R685">
        <v>1</v>
      </c>
      <c r="S685">
        <v>0</v>
      </c>
      <c r="T685">
        <v>111.64</v>
      </c>
      <c r="W685">
        <v>13464</v>
      </c>
      <c r="Y685">
        <v>120</v>
      </c>
      <c r="Z685" t="s">
        <v>119</v>
      </c>
      <c r="AA685" t="s">
        <v>3931</v>
      </c>
      <c r="AC685" t="s">
        <v>3942</v>
      </c>
      <c r="AD685" t="s">
        <v>405</v>
      </c>
      <c r="AF685" t="s">
        <v>4069</v>
      </c>
      <c r="AH685" t="s">
        <v>4078</v>
      </c>
      <c r="AJ685" t="s">
        <v>3943</v>
      </c>
      <c r="AL685" t="s">
        <v>4094</v>
      </c>
      <c r="AM685" t="s">
        <v>2230</v>
      </c>
      <c r="AO685">
        <v>814.25</v>
      </c>
      <c r="AQ685">
        <v>8</v>
      </c>
      <c r="AS685" t="s">
        <v>4113</v>
      </c>
      <c r="AU685" t="s">
        <v>4128</v>
      </c>
      <c r="AW685">
        <v>8</v>
      </c>
      <c r="AY685" t="s">
        <v>4140</v>
      </c>
      <c r="BB685" t="s">
        <v>4154</v>
      </c>
      <c r="BF685" t="s">
        <v>4281</v>
      </c>
      <c r="BJ685" t="s">
        <v>4622</v>
      </c>
      <c r="BM685" t="s">
        <v>4628</v>
      </c>
    </row>
    <row r="686" spans="1:65">
      <c r="A686" s="1">
        <f>HYPERLINK("https://lsnyc.legalserver.org/matter/dynamic-profile/view/1909370","19-1909370")</f>
        <v>0</v>
      </c>
      <c r="B686" t="s">
        <v>85</v>
      </c>
      <c r="C686" t="s">
        <v>93</v>
      </c>
      <c r="D686" t="s">
        <v>223</v>
      </c>
      <c r="F686" t="s">
        <v>834</v>
      </c>
      <c r="G686" t="s">
        <v>1047</v>
      </c>
      <c r="H686" t="s">
        <v>1577</v>
      </c>
      <c r="I686" t="s">
        <v>2035</v>
      </c>
      <c r="J686" t="s">
        <v>2205</v>
      </c>
      <c r="K686">
        <v>11233</v>
      </c>
      <c r="N686" t="s">
        <v>2240</v>
      </c>
      <c r="O686" t="s">
        <v>2681</v>
      </c>
      <c r="Q686" t="s">
        <v>3319</v>
      </c>
      <c r="R686">
        <v>1</v>
      </c>
      <c r="S686">
        <v>2</v>
      </c>
      <c r="T686">
        <v>0</v>
      </c>
      <c r="W686">
        <v>0</v>
      </c>
      <c r="X686" t="s">
        <v>3620</v>
      </c>
      <c r="Y686">
        <v>16</v>
      </c>
      <c r="Z686" t="s">
        <v>176</v>
      </c>
      <c r="AA686" t="s">
        <v>90</v>
      </c>
      <c r="AC686" t="s">
        <v>3942</v>
      </c>
      <c r="AF686" t="s">
        <v>4072</v>
      </c>
      <c r="AG686" t="s">
        <v>4075</v>
      </c>
      <c r="AJ686" t="s">
        <v>3943</v>
      </c>
      <c r="AL686" t="s">
        <v>4086</v>
      </c>
      <c r="AM686" t="s">
        <v>2230</v>
      </c>
      <c r="AO686">
        <v>980</v>
      </c>
      <c r="AQ686">
        <v>1117</v>
      </c>
      <c r="AS686" t="s">
        <v>4113</v>
      </c>
      <c r="AU686" t="s">
        <v>4136</v>
      </c>
      <c r="AW686">
        <v>35</v>
      </c>
      <c r="AY686" t="s">
        <v>4140</v>
      </c>
      <c r="BA686" t="s">
        <v>4149</v>
      </c>
      <c r="BC686" t="s">
        <v>4155</v>
      </c>
      <c r="BE686" t="s">
        <v>4128</v>
      </c>
      <c r="BG686" t="s">
        <v>4535</v>
      </c>
      <c r="BM686" t="s">
        <v>4627</v>
      </c>
    </row>
    <row r="687" spans="1:65">
      <c r="A687" s="1">
        <f>HYPERLINK("https://lsnyc.legalserver.org/matter/dynamic-profile/view/1912182","19-1912182")</f>
        <v>0</v>
      </c>
      <c r="B687" t="s">
        <v>85</v>
      </c>
      <c r="C687" t="s">
        <v>93</v>
      </c>
      <c r="D687" t="s">
        <v>138</v>
      </c>
      <c r="F687" t="s">
        <v>835</v>
      </c>
      <c r="G687" t="s">
        <v>1370</v>
      </c>
      <c r="H687" t="s">
        <v>1662</v>
      </c>
      <c r="I687">
        <v>9</v>
      </c>
      <c r="J687" t="s">
        <v>2205</v>
      </c>
      <c r="K687">
        <v>11212</v>
      </c>
      <c r="N687" t="s">
        <v>2240</v>
      </c>
      <c r="O687" t="s">
        <v>2682</v>
      </c>
      <c r="Q687" t="s">
        <v>3320</v>
      </c>
      <c r="R687">
        <v>1</v>
      </c>
      <c r="S687">
        <v>2</v>
      </c>
      <c r="T687">
        <v>22.5</v>
      </c>
      <c r="W687">
        <v>4800</v>
      </c>
      <c r="X687" t="s">
        <v>3621</v>
      </c>
      <c r="Y687">
        <v>8.5</v>
      </c>
      <c r="Z687" t="s">
        <v>360</v>
      </c>
      <c r="AA687" t="s">
        <v>70</v>
      </c>
      <c r="AC687" t="s">
        <v>3942</v>
      </c>
      <c r="AF687" t="s">
        <v>4069</v>
      </c>
      <c r="AG687" t="s">
        <v>4075</v>
      </c>
      <c r="AJ687" t="s">
        <v>3943</v>
      </c>
      <c r="AL687" t="s">
        <v>4093</v>
      </c>
      <c r="AM687" t="s">
        <v>2230</v>
      </c>
      <c r="AO687">
        <v>1300</v>
      </c>
      <c r="AQ687">
        <v>23</v>
      </c>
      <c r="AS687" t="s">
        <v>4113</v>
      </c>
      <c r="AU687" t="s">
        <v>4128</v>
      </c>
      <c r="AW687">
        <v>1</v>
      </c>
      <c r="AY687" t="s">
        <v>4140</v>
      </c>
      <c r="AZ687" t="s">
        <v>4148</v>
      </c>
      <c r="BC687" t="s">
        <v>4155</v>
      </c>
      <c r="BD687" t="s">
        <v>4157</v>
      </c>
      <c r="BE687" t="s">
        <v>4245</v>
      </c>
      <c r="BG687" t="s">
        <v>4536</v>
      </c>
      <c r="BM687" t="s">
        <v>4627</v>
      </c>
    </row>
    <row r="688" spans="1:65">
      <c r="A688" s="1">
        <f>HYPERLINK("https://lsnyc.legalserver.org/matter/dynamic-profile/view/1863429","18-1863429")</f>
        <v>0</v>
      </c>
      <c r="B688" t="s">
        <v>85</v>
      </c>
      <c r="C688" t="s">
        <v>95</v>
      </c>
      <c r="D688" t="s">
        <v>393</v>
      </c>
      <c r="F688" t="s">
        <v>836</v>
      </c>
      <c r="G688" t="s">
        <v>1371</v>
      </c>
      <c r="H688" t="s">
        <v>1825</v>
      </c>
      <c r="I688" t="s">
        <v>1999</v>
      </c>
      <c r="J688" t="s">
        <v>2207</v>
      </c>
      <c r="K688">
        <v>10029</v>
      </c>
      <c r="N688" t="s">
        <v>2241</v>
      </c>
      <c r="O688" t="s">
        <v>2683</v>
      </c>
      <c r="Q688" t="s">
        <v>3321</v>
      </c>
      <c r="R688">
        <v>1</v>
      </c>
      <c r="S688">
        <v>1</v>
      </c>
      <c r="T688">
        <v>21.73</v>
      </c>
      <c r="W688">
        <v>3576</v>
      </c>
      <c r="Y688">
        <v>15</v>
      </c>
      <c r="Z688" t="s">
        <v>444</v>
      </c>
      <c r="AA688" t="s">
        <v>3931</v>
      </c>
      <c r="AC688" t="s">
        <v>3942</v>
      </c>
      <c r="AD688" t="s">
        <v>393</v>
      </c>
      <c r="AF688" t="s">
        <v>4069</v>
      </c>
      <c r="AH688" t="s">
        <v>4078</v>
      </c>
      <c r="AJ688" t="s">
        <v>3943</v>
      </c>
      <c r="AL688" t="s">
        <v>4094</v>
      </c>
      <c r="AM688" t="s">
        <v>2230</v>
      </c>
      <c r="AO688">
        <v>2065</v>
      </c>
      <c r="AQ688">
        <v>32</v>
      </c>
      <c r="AS688" t="s">
        <v>4113</v>
      </c>
      <c r="AU688" t="s">
        <v>4128</v>
      </c>
      <c r="AW688">
        <v>8</v>
      </c>
      <c r="AY688" t="s">
        <v>4140</v>
      </c>
      <c r="BB688" t="s">
        <v>4154</v>
      </c>
      <c r="BF688" t="s">
        <v>4281</v>
      </c>
      <c r="BM688" t="s">
        <v>4627</v>
      </c>
    </row>
    <row r="689" spans="1:65">
      <c r="A689" s="1">
        <f>HYPERLINK("https://lsnyc.legalserver.org/matter/dynamic-profile/view/1912161","19-1912161")</f>
        <v>0</v>
      </c>
      <c r="B689" t="s">
        <v>85</v>
      </c>
      <c r="C689" t="s">
        <v>93</v>
      </c>
      <c r="D689" t="s">
        <v>138</v>
      </c>
      <c r="F689" t="s">
        <v>837</v>
      </c>
      <c r="G689" t="s">
        <v>1372</v>
      </c>
      <c r="H689" t="s">
        <v>1826</v>
      </c>
      <c r="I689" t="s">
        <v>2073</v>
      </c>
      <c r="J689" t="s">
        <v>2205</v>
      </c>
      <c r="K689">
        <v>11207</v>
      </c>
      <c r="N689" t="s">
        <v>2240</v>
      </c>
      <c r="O689" t="s">
        <v>2684</v>
      </c>
      <c r="Q689" t="s">
        <v>3322</v>
      </c>
      <c r="R689">
        <v>1</v>
      </c>
      <c r="S689">
        <v>0</v>
      </c>
      <c r="T689">
        <v>144.12</v>
      </c>
      <c r="W689">
        <v>18000</v>
      </c>
      <c r="X689" t="s">
        <v>3622</v>
      </c>
      <c r="Y689">
        <v>3</v>
      </c>
      <c r="Z689" t="s">
        <v>136</v>
      </c>
      <c r="AA689" t="s">
        <v>70</v>
      </c>
      <c r="AC689" t="s">
        <v>3942</v>
      </c>
      <c r="AF689" t="s">
        <v>4069</v>
      </c>
      <c r="AG689" t="s">
        <v>4075</v>
      </c>
      <c r="AJ689" t="s">
        <v>3943</v>
      </c>
      <c r="AL689" t="s">
        <v>4086</v>
      </c>
      <c r="AM689" t="s">
        <v>2230</v>
      </c>
      <c r="AO689">
        <v>600</v>
      </c>
      <c r="AQ689">
        <v>3</v>
      </c>
      <c r="AS689" t="s">
        <v>4114</v>
      </c>
      <c r="AU689" t="s">
        <v>4128</v>
      </c>
      <c r="AW689">
        <v>3</v>
      </c>
      <c r="AY689" t="s">
        <v>4140</v>
      </c>
      <c r="AZ689" t="s">
        <v>4148</v>
      </c>
      <c r="BC689" t="s">
        <v>4155</v>
      </c>
      <c r="BG689" t="s">
        <v>4537</v>
      </c>
      <c r="BM689" t="s">
        <v>4627</v>
      </c>
    </row>
    <row r="690" spans="1:65">
      <c r="A690" s="1">
        <f>HYPERLINK("https://lsnyc.legalserver.org/matter/dynamic-profile/view/1912574","19-1912574")</f>
        <v>0</v>
      </c>
      <c r="B690" t="s">
        <v>85</v>
      </c>
      <c r="C690" t="s">
        <v>93</v>
      </c>
      <c r="D690" t="s">
        <v>196</v>
      </c>
      <c r="E690" t="s">
        <v>98</v>
      </c>
      <c r="F690" t="s">
        <v>838</v>
      </c>
      <c r="G690" t="s">
        <v>1039</v>
      </c>
      <c r="H690" t="s">
        <v>1827</v>
      </c>
      <c r="I690">
        <v>2</v>
      </c>
      <c r="J690" t="s">
        <v>2205</v>
      </c>
      <c r="K690">
        <v>11212</v>
      </c>
      <c r="L690" t="s">
        <v>2222</v>
      </c>
      <c r="M690" t="s">
        <v>2230</v>
      </c>
      <c r="N690" t="s">
        <v>2240</v>
      </c>
      <c r="O690" t="s">
        <v>2685</v>
      </c>
      <c r="Q690" t="s">
        <v>3323</v>
      </c>
      <c r="R690">
        <v>2</v>
      </c>
      <c r="S690">
        <v>3</v>
      </c>
      <c r="T690">
        <v>33.15</v>
      </c>
      <c r="W690">
        <v>10000</v>
      </c>
      <c r="Y690">
        <v>4</v>
      </c>
      <c r="Z690" t="s">
        <v>98</v>
      </c>
      <c r="AA690" t="s">
        <v>3899</v>
      </c>
      <c r="AC690" t="s">
        <v>3942</v>
      </c>
      <c r="AD690" t="s">
        <v>359</v>
      </c>
      <c r="AF690" t="s">
        <v>4054</v>
      </c>
      <c r="AH690" t="s">
        <v>4081</v>
      </c>
      <c r="AJ690" t="s">
        <v>3943</v>
      </c>
      <c r="AL690" t="s">
        <v>4098</v>
      </c>
      <c r="AM690" t="s">
        <v>2230</v>
      </c>
      <c r="AO690">
        <v>579</v>
      </c>
      <c r="AQ690">
        <v>4</v>
      </c>
      <c r="AS690" t="s">
        <v>4120</v>
      </c>
      <c r="AT690" t="s">
        <v>4127</v>
      </c>
      <c r="AW690">
        <v>4</v>
      </c>
      <c r="AY690" t="s">
        <v>4140</v>
      </c>
      <c r="BC690" t="s">
        <v>4155</v>
      </c>
      <c r="BF690" t="s">
        <v>4281</v>
      </c>
      <c r="BG690" t="s">
        <v>4054</v>
      </c>
      <c r="BM690" t="s">
        <v>4628</v>
      </c>
    </row>
    <row r="691" spans="1:65">
      <c r="A691" s="1">
        <f>HYPERLINK("https://lsnyc.legalserver.org/matter/dynamic-profile/view/1914742","19-1914742")</f>
        <v>0</v>
      </c>
      <c r="B691" t="s">
        <v>85</v>
      </c>
      <c r="C691" t="s">
        <v>93</v>
      </c>
      <c r="D691" t="s">
        <v>173</v>
      </c>
      <c r="F691" t="s">
        <v>585</v>
      </c>
      <c r="G691" t="s">
        <v>1305</v>
      </c>
      <c r="H691" t="s">
        <v>1750</v>
      </c>
      <c r="I691" t="s">
        <v>1973</v>
      </c>
      <c r="J691" t="s">
        <v>2205</v>
      </c>
      <c r="K691">
        <v>11236</v>
      </c>
      <c r="N691" t="s">
        <v>2240</v>
      </c>
      <c r="O691" t="s">
        <v>2587</v>
      </c>
      <c r="Q691" t="s">
        <v>3233</v>
      </c>
      <c r="R691">
        <v>2</v>
      </c>
      <c r="S691">
        <v>0</v>
      </c>
      <c r="T691">
        <v>28.39</v>
      </c>
      <c r="W691">
        <v>4800</v>
      </c>
      <c r="X691" t="s">
        <v>3623</v>
      </c>
      <c r="Y691">
        <v>2.5</v>
      </c>
      <c r="Z691" t="s">
        <v>360</v>
      </c>
      <c r="AA691" t="s">
        <v>70</v>
      </c>
      <c r="AC691" t="s">
        <v>3942</v>
      </c>
      <c r="AF691" t="s">
        <v>4072</v>
      </c>
      <c r="AH691" t="s">
        <v>4079</v>
      </c>
      <c r="AJ691" t="s">
        <v>3943</v>
      </c>
      <c r="AL691" t="s">
        <v>4070</v>
      </c>
      <c r="AM691" t="s">
        <v>2230</v>
      </c>
      <c r="AO691">
        <v>1400</v>
      </c>
      <c r="AQ691">
        <v>515</v>
      </c>
      <c r="AS691" t="s">
        <v>4124</v>
      </c>
      <c r="AU691" t="s">
        <v>4128</v>
      </c>
      <c r="AW691">
        <v>22</v>
      </c>
      <c r="AY691" t="s">
        <v>4140</v>
      </c>
      <c r="AZ691" t="s">
        <v>4148</v>
      </c>
      <c r="BC691" t="s">
        <v>4155</v>
      </c>
      <c r="BG691" t="s">
        <v>4472</v>
      </c>
      <c r="BM691" t="s">
        <v>4627</v>
      </c>
    </row>
    <row r="692" spans="1:65">
      <c r="A692" s="1">
        <f>HYPERLINK("https://lsnyc.legalserver.org/matter/dynamic-profile/view/1897167","19-1897167")</f>
        <v>0</v>
      </c>
      <c r="B692" t="s">
        <v>86</v>
      </c>
      <c r="C692" t="s">
        <v>93</v>
      </c>
      <c r="D692" t="s">
        <v>406</v>
      </c>
      <c r="F692" t="s">
        <v>839</v>
      </c>
      <c r="G692" t="s">
        <v>1373</v>
      </c>
      <c r="H692" t="s">
        <v>1633</v>
      </c>
      <c r="I692" t="s">
        <v>2074</v>
      </c>
      <c r="J692" t="s">
        <v>2205</v>
      </c>
      <c r="K692">
        <v>11233</v>
      </c>
      <c r="N692" t="s">
        <v>2233</v>
      </c>
      <c r="O692" t="s">
        <v>2686</v>
      </c>
      <c r="P692" t="s">
        <v>2930</v>
      </c>
      <c r="R692">
        <v>1</v>
      </c>
      <c r="S692">
        <v>0</v>
      </c>
      <c r="T692">
        <v>0</v>
      </c>
      <c r="W692">
        <v>0</v>
      </c>
      <c r="X692" t="s">
        <v>3624</v>
      </c>
      <c r="Y692">
        <v>0</v>
      </c>
      <c r="AA692" t="s">
        <v>70</v>
      </c>
      <c r="AC692" t="s">
        <v>3942</v>
      </c>
      <c r="AD692" t="s">
        <v>3847</v>
      </c>
      <c r="AF692" t="s">
        <v>4059</v>
      </c>
      <c r="AH692" t="s">
        <v>4078</v>
      </c>
      <c r="AJ692" t="s">
        <v>3942</v>
      </c>
      <c r="AL692" t="s">
        <v>4070</v>
      </c>
      <c r="AM692" t="s">
        <v>2230</v>
      </c>
      <c r="AO692">
        <v>1294.06</v>
      </c>
      <c r="AQ692">
        <v>359</v>
      </c>
      <c r="AS692" t="s">
        <v>4113</v>
      </c>
      <c r="AU692" t="s">
        <v>4128</v>
      </c>
      <c r="AW692">
        <v>27</v>
      </c>
      <c r="AY692" t="s">
        <v>4140</v>
      </c>
      <c r="BA692" t="s">
        <v>4149</v>
      </c>
      <c r="BB692" t="s">
        <v>4154</v>
      </c>
      <c r="BF692" t="s">
        <v>4281</v>
      </c>
      <c r="BG692" t="s">
        <v>4538</v>
      </c>
      <c r="BM692" t="s">
        <v>4627</v>
      </c>
    </row>
    <row r="693" spans="1:65">
      <c r="A693" s="1">
        <f>HYPERLINK("https://lsnyc.legalserver.org/matter/dynamic-profile/view/1891564","19-1891564")</f>
        <v>0</v>
      </c>
      <c r="B693" t="s">
        <v>86</v>
      </c>
      <c r="C693" t="s">
        <v>93</v>
      </c>
      <c r="D693" t="s">
        <v>407</v>
      </c>
      <c r="F693" t="s">
        <v>840</v>
      </c>
      <c r="G693" t="s">
        <v>1374</v>
      </c>
      <c r="H693" t="s">
        <v>1633</v>
      </c>
      <c r="I693" t="s">
        <v>2075</v>
      </c>
      <c r="J693" t="s">
        <v>2205</v>
      </c>
      <c r="K693">
        <v>11233</v>
      </c>
      <c r="N693" t="s">
        <v>2233</v>
      </c>
      <c r="O693" t="s">
        <v>2686</v>
      </c>
      <c r="P693" t="s">
        <v>2930</v>
      </c>
      <c r="R693">
        <v>6</v>
      </c>
      <c r="S693">
        <v>0</v>
      </c>
      <c r="T693">
        <v>383.06</v>
      </c>
      <c r="U693" t="s">
        <v>274</v>
      </c>
      <c r="W693">
        <v>132500</v>
      </c>
      <c r="X693" t="s">
        <v>3625</v>
      </c>
      <c r="Y693">
        <v>0</v>
      </c>
      <c r="AA693" t="s">
        <v>90</v>
      </c>
      <c r="AC693" t="s">
        <v>3942</v>
      </c>
      <c r="AD693" t="s">
        <v>4035</v>
      </c>
      <c r="AF693" t="s">
        <v>4061</v>
      </c>
      <c r="AH693" t="s">
        <v>3510</v>
      </c>
      <c r="AJ693" t="s">
        <v>3942</v>
      </c>
      <c r="AK693" t="s">
        <v>4084</v>
      </c>
      <c r="AM693" t="s">
        <v>2230</v>
      </c>
      <c r="AO693">
        <v>1157</v>
      </c>
      <c r="AQ693">
        <v>359</v>
      </c>
      <c r="AS693" t="s">
        <v>4113</v>
      </c>
      <c r="AT693" t="s">
        <v>4127</v>
      </c>
      <c r="AW693">
        <v>39</v>
      </c>
      <c r="AY693" t="s">
        <v>4140</v>
      </c>
      <c r="BA693" t="s">
        <v>4149</v>
      </c>
      <c r="BB693" t="s">
        <v>4154</v>
      </c>
      <c r="BF693" t="s">
        <v>4281</v>
      </c>
      <c r="BG693" t="s">
        <v>4159</v>
      </c>
      <c r="BM693" t="s">
        <v>4627</v>
      </c>
    </row>
    <row r="694" spans="1:65">
      <c r="A694" s="1">
        <f>HYPERLINK("https://lsnyc.legalserver.org/matter/dynamic-profile/view/1892512","19-1892512")</f>
        <v>0</v>
      </c>
      <c r="B694" t="s">
        <v>86</v>
      </c>
      <c r="C694" t="s">
        <v>93</v>
      </c>
      <c r="D694" t="s">
        <v>408</v>
      </c>
      <c r="F694" t="s">
        <v>841</v>
      </c>
      <c r="G694" t="s">
        <v>1021</v>
      </c>
      <c r="H694" t="s">
        <v>1633</v>
      </c>
      <c r="I694" t="s">
        <v>2064</v>
      </c>
      <c r="J694" t="s">
        <v>2205</v>
      </c>
      <c r="K694">
        <v>11233</v>
      </c>
      <c r="N694" t="s">
        <v>2233</v>
      </c>
      <c r="O694" t="s">
        <v>2686</v>
      </c>
      <c r="P694" t="s">
        <v>2930</v>
      </c>
      <c r="R694">
        <v>2</v>
      </c>
      <c r="S694">
        <v>0</v>
      </c>
      <c r="T694">
        <v>413.96</v>
      </c>
      <c r="W694">
        <v>70000</v>
      </c>
      <c r="X694" t="s">
        <v>3626</v>
      </c>
      <c r="Y694">
        <v>0</v>
      </c>
      <c r="AA694" t="s">
        <v>70</v>
      </c>
      <c r="AC694" t="s">
        <v>3942</v>
      </c>
      <c r="AD694" t="s">
        <v>3847</v>
      </c>
      <c r="AF694" t="s">
        <v>4059</v>
      </c>
      <c r="AH694" t="s">
        <v>4078</v>
      </c>
      <c r="AJ694" t="s">
        <v>3942</v>
      </c>
      <c r="AL694" t="s">
        <v>4070</v>
      </c>
      <c r="AM694" t="s">
        <v>2230</v>
      </c>
      <c r="AN694" t="s">
        <v>4107</v>
      </c>
      <c r="AO694">
        <v>0</v>
      </c>
      <c r="AQ694">
        <v>359</v>
      </c>
      <c r="AS694" t="s">
        <v>4113</v>
      </c>
      <c r="AU694" t="s">
        <v>4128</v>
      </c>
      <c r="AW694">
        <v>43</v>
      </c>
      <c r="AY694" t="s">
        <v>4140</v>
      </c>
      <c r="BA694" t="s">
        <v>4149</v>
      </c>
      <c r="BB694" t="s">
        <v>4154</v>
      </c>
      <c r="BC694" t="s">
        <v>4128</v>
      </c>
      <c r="BE694" t="s">
        <v>4128</v>
      </c>
      <c r="BF694" t="s">
        <v>4281</v>
      </c>
      <c r="BG694" t="s">
        <v>4538</v>
      </c>
      <c r="BM694" t="s">
        <v>4627</v>
      </c>
    </row>
    <row r="695" spans="1:65">
      <c r="A695" s="1">
        <f>HYPERLINK("https://lsnyc.legalserver.org/matter/dynamic-profile/view/1892517","19-1892517")</f>
        <v>0</v>
      </c>
      <c r="B695" t="s">
        <v>86</v>
      </c>
      <c r="C695" t="s">
        <v>93</v>
      </c>
      <c r="D695" t="s">
        <v>408</v>
      </c>
      <c r="F695" t="s">
        <v>841</v>
      </c>
      <c r="G695" t="s">
        <v>1021</v>
      </c>
      <c r="H695" t="s">
        <v>1633</v>
      </c>
      <c r="I695" t="s">
        <v>2064</v>
      </c>
      <c r="J695" t="s">
        <v>2205</v>
      </c>
      <c r="K695">
        <v>11233</v>
      </c>
      <c r="N695" t="s">
        <v>2233</v>
      </c>
      <c r="O695" t="s">
        <v>2686</v>
      </c>
      <c r="P695" t="s">
        <v>2930</v>
      </c>
      <c r="R695">
        <v>2</v>
      </c>
      <c r="S695">
        <v>0</v>
      </c>
      <c r="T695">
        <v>413.96</v>
      </c>
      <c r="W695">
        <v>70000</v>
      </c>
      <c r="X695" t="s">
        <v>3626</v>
      </c>
      <c r="Y695">
        <v>0</v>
      </c>
      <c r="AA695" t="s">
        <v>70</v>
      </c>
      <c r="AC695" t="s">
        <v>3942</v>
      </c>
      <c r="AD695" t="s">
        <v>4035</v>
      </c>
      <c r="AF695" t="s">
        <v>4061</v>
      </c>
      <c r="AH695" t="s">
        <v>3510</v>
      </c>
      <c r="AJ695" t="s">
        <v>3942</v>
      </c>
      <c r="AL695" t="s">
        <v>4070</v>
      </c>
      <c r="AM695" t="s">
        <v>2230</v>
      </c>
      <c r="AN695" t="s">
        <v>4107</v>
      </c>
      <c r="AO695">
        <v>0</v>
      </c>
      <c r="AQ695">
        <v>359</v>
      </c>
      <c r="AS695" t="s">
        <v>4113</v>
      </c>
      <c r="AU695" t="s">
        <v>4128</v>
      </c>
      <c r="AW695">
        <v>43</v>
      </c>
      <c r="AY695" t="s">
        <v>4140</v>
      </c>
      <c r="BA695" t="s">
        <v>4149</v>
      </c>
      <c r="BB695" t="s">
        <v>4154</v>
      </c>
      <c r="BC695" t="s">
        <v>4128</v>
      </c>
      <c r="BE695" t="s">
        <v>4128</v>
      </c>
      <c r="BF695" t="s">
        <v>4281</v>
      </c>
      <c r="BG695" t="s">
        <v>4128</v>
      </c>
      <c r="BM695" t="s">
        <v>4627</v>
      </c>
    </row>
    <row r="696" spans="1:65">
      <c r="A696" s="1">
        <f>HYPERLINK("https://lsnyc.legalserver.org/matter/dynamic-profile/view/1891507","19-1891507")</f>
        <v>0</v>
      </c>
      <c r="B696" t="s">
        <v>86</v>
      </c>
      <c r="C696" t="s">
        <v>93</v>
      </c>
      <c r="D696" t="s">
        <v>407</v>
      </c>
      <c r="F696" t="s">
        <v>842</v>
      </c>
      <c r="G696" t="s">
        <v>676</v>
      </c>
      <c r="H696" t="s">
        <v>1577</v>
      </c>
      <c r="I696" t="s">
        <v>1987</v>
      </c>
      <c r="J696" t="s">
        <v>2205</v>
      </c>
      <c r="K696">
        <v>11233</v>
      </c>
      <c r="N696" t="s">
        <v>2233</v>
      </c>
      <c r="O696" t="s">
        <v>2687</v>
      </c>
      <c r="P696" t="s">
        <v>2930</v>
      </c>
      <c r="R696">
        <v>1</v>
      </c>
      <c r="S696">
        <v>0</v>
      </c>
      <c r="T696">
        <v>0</v>
      </c>
      <c r="W696">
        <v>0</v>
      </c>
      <c r="X696" t="s">
        <v>3627</v>
      </c>
      <c r="Y696">
        <v>0</v>
      </c>
      <c r="AA696" t="s">
        <v>90</v>
      </c>
      <c r="AC696" t="s">
        <v>3942</v>
      </c>
      <c r="AD696" t="s">
        <v>3847</v>
      </c>
      <c r="AF696" t="s">
        <v>4059</v>
      </c>
      <c r="AH696" t="s">
        <v>4078</v>
      </c>
      <c r="AJ696" t="s">
        <v>3942</v>
      </c>
      <c r="AK696" t="s">
        <v>4084</v>
      </c>
      <c r="AM696" t="s">
        <v>2230</v>
      </c>
      <c r="AN696" t="s">
        <v>4107</v>
      </c>
      <c r="AO696">
        <v>0</v>
      </c>
      <c r="AQ696">
        <v>359</v>
      </c>
      <c r="AS696" t="s">
        <v>4113</v>
      </c>
      <c r="AT696" t="s">
        <v>4127</v>
      </c>
      <c r="AW696">
        <v>14</v>
      </c>
      <c r="AY696" t="s">
        <v>4140</v>
      </c>
      <c r="BA696" t="s">
        <v>4149</v>
      </c>
      <c r="BB696" t="s">
        <v>4154</v>
      </c>
      <c r="BF696" t="s">
        <v>4281</v>
      </c>
      <c r="BG696" t="s">
        <v>4539</v>
      </c>
      <c r="BM696" t="s">
        <v>4627</v>
      </c>
    </row>
    <row r="697" spans="1:65">
      <c r="A697" s="1">
        <f>HYPERLINK("https://lsnyc.legalserver.org/matter/dynamic-profile/view/1897345","19-1897345")</f>
        <v>0</v>
      </c>
      <c r="B697" t="s">
        <v>86</v>
      </c>
      <c r="C697" t="s">
        <v>93</v>
      </c>
      <c r="D697" t="s">
        <v>409</v>
      </c>
      <c r="F697" t="s">
        <v>843</v>
      </c>
      <c r="G697" t="s">
        <v>1375</v>
      </c>
      <c r="H697" t="s">
        <v>1633</v>
      </c>
      <c r="I697" t="s">
        <v>2076</v>
      </c>
      <c r="J697" t="s">
        <v>2205</v>
      </c>
      <c r="K697">
        <v>11233</v>
      </c>
      <c r="N697" t="s">
        <v>2233</v>
      </c>
      <c r="O697" t="s">
        <v>2688</v>
      </c>
      <c r="P697" t="s">
        <v>2930</v>
      </c>
      <c r="R697">
        <v>2</v>
      </c>
      <c r="S697">
        <v>0</v>
      </c>
      <c r="T697">
        <v>266.11</v>
      </c>
      <c r="W697">
        <v>45000</v>
      </c>
      <c r="X697" t="s">
        <v>3628</v>
      </c>
      <c r="Y697">
        <v>0</v>
      </c>
      <c r="AA697" t="s">
        <v>90</v>
      </c>
      <c r="AC697" t="s">
        <v>3942</v>
      </c>
      <c r="AD697" t="s">
        <v>3847</v>
      </c>
      <c r="AF697" t="s">
        <v>4059</v>
      </c>
      <c r="AH697" t="s">
        <v>4078</v>
      </c>
      <c r="AJ697" t="s">
        <v>3942</v>
      </c>
      <c r="AL697" t="s">
        <v>4088</v>
      </c>
      <c r="AM697" t="s">
        <v>2230</v>
      </c>
      <c r="AO697">
        <v>780</v>
      </c>
      <c r="AQ697">
        <v>359</v>
      </c>
      <c r="AS697" t="s">
        <v>4113</v>
      </c>
      <c r="AT697" t="s">
        <v>4127</v>
      </c>
      <c r="AW697">
        <v>21</v>
      </c>
      <c r="AY697" t="s">
        <v>4140</v>
      </c>
      <c r="BA697" t="s">
        <v>4149</v>
      </c>
      <c r="BB697" t="s">
        <v>4154</v>
      </c>
      <c r="BF697" t="s">
        <v>4281</v>
      </c>
      <c r="BG697" t="s">
        <v>4538</v>
      </c>
      <c r="BM697" t="s">
        <v>4627</v>
      </c>
    </row>
    <row r="698" spans="1:65">
      <c r="A698" s="1">
        <f>HYPERLINK("https://lsnyc.legalserver.org/matter/dynamic-profile/view/1897185","19-1897185")</f>
        <v>0</v>
      </c>
      <c r="B698" t="s">
        <v>86</v>
      </c>
      <c r="C698" t="s">
        <v>93</v>
      </c>
      <c r="D698" t="s">
        <v>406</v>
      </c>
      <c r="F698" t="s">
        <v>651</v>
      </c>
      <c r="G698" t="s">
        <v>797</v>
      </c>
      <c r="H698" t="s">
        <v>1633</v>
      </c>
      <c r="I698" t="s">
        <v>1928</v>
      </c>
      <c r="J698" t="s">
        <v>2205</v>
      </c>
      <c r="K698">
        <v>11233</v>
      </c>
      <c r="N698" t="s">
        <v>2233</v>
      </c>
      <c r="O698" t="s">
        <v>2689</v>
      </c>
      <c r="P698" t="s">
        <v>2930</v>
      </c>
      <c r="R698">
        <v>1</v>
      </c>
      <c r="S698">
        <v>0</v>
      </c>
      <c r="T698">
        <v>0</v>
      </c>
      <c r="W698">
        <v>0</v>
      </c>
      <c r="X698" t="s">
        <v>3629</v>
      </c>
      <c r="Y698">
        <v>0</v>
      </c>
      <c r="AA698" t="s">
        <v>70</v>
      </c>
      <c r="AC698" t="s">
        <v>3942</v>
      </c>
      <c r="AD698" t="s">
        <v>3847</v>
      </c>
      <c r="AF698" t="s">
        <v>4059</v>
      </c>
      <c r="AH698" t="s">
        <v>4078</v>
      </c>
      <c r="AJ698" t="s">
        <v>3942</v>
      </c>
      <c r="AL698" t="s">
        <v>4070</v>
      </c>
      <c r="AM698" t="s">
        <v>2230</v>
      </c>
      <c r="AO698">
        <v>1014</v>
      </c>
      <c r="AQ698">
        <v>359</v>
      </c>
      <c r="AS698" t="s">
        <v>4113</v>
      </c>
      <c r="AT698" t="s">
        <v>4127</v>
      </c>
      <c r="AW698">
        <v>30</v>
      </c>
      <c r="AY698" t="s">
        <v>4140</v>
      </c>
      <c r="BA698" t="s">
        <v>4149</v>
      </c>
      <c r="BB698" t="s">
        <v>4154</v>
      </c>
      <c r="BF698" t="s">
        <v>4281</v>
      </c>
      <c r="BG698" t="s">
        <v>4538</v>
      </c>
      <c r="BM698" t="s">
        <v>4627</v>
      </c>
    </row>
    <row r="699" spans="1:65">
      <c r="A699" s="1">
        <f>HYPERLINK("https://lsnyc.legalserver.org/matter/dynamic-profile/view/1891586","19-1891586")</f>
        <v>0</v>
      </c>
      <c r="B699" t="s">
        <v>86</v>
      </c>
      <c r="C699" t="s">
        <v>93</v>
      </c>
      <c r="D699" t="s">
        <v>410</v>
      </c>
      <c r="F699" t="s">
        <v>844</v>
      </c>
      <c r="G699" t="s">
        <v>1376</v>
      </c>
      <c r="H699" t="s">
        <v>1633</v>
      </c>
      <c r="I699" t="s">
        <v>2020</v>
      </c>
      <c r="J699" t="s">
        <v>2205</v>
      </c>
      <c r="K699">
        <v>11233</v>
      </c>
      <c r="N699" t="s">
        <v>2233</v>
      </c>
      <c r="O699" t="s">
        <v>2619</v>
      </c>
      <c r="P699" t="s">
        <v>2930</v>
      </c>
      <c r="R699">
        <v>1</v>
      </c>
      <c r="S699">
        <v>0</v>
      </c>
      <c r="T699">
        <v>416.33</v>
      </c>
      <c r="W699">
        <v>52000</v>
      </c>
      <c r="X699" t="s">
        <v>3627</v>
      </c>
      <c r="Y699">
        <v>0</v>
      </c>
      <c r="AA699" t="s">
        <v>90</v>
      </c>
      <c r="AC699" t="s">
        <v>3942</v>
      </c>
      <c r="AD699" t="s">
        <v>3847</v>
      </c>
      <c r="AF699" t="s">
        <v>4059</v>
      </c>
      <c r="AH699" t="s">
        <v>4078</v>
      </c>
      <c r="AJ699" t="s">
        <v>3942</v>
      </c>
      <c r="AK699" t="s">
        <v>4084</v>
      </c>
      <c r="AM699" t="s">
        <v>2230</v>
      </c>
      <c r="AO699">
        <v>1485</v>
      </c>
      <c r="AQ699">
        <v>359</v>
      </c>
      <c r="AS699" t="s">
        <v>4113</v>
      </c>
      <c r="AT699" t="s">
        <v>4127</v>
      </c>
      <c r="AW699">
        <v>2</v>
      </c>
      <c r="AY699" t="s">
        <v>4140</v>
      </c>
      <c r="BA699" t="s">
        <v>4149</v>
      </c>
      <c r="BB699" t="s">
        <v>4154</v>
      </c>
      <c r="BF699" t="s">
        <v>4281</v>
      </c>
      <c r="BG699" t="s">
        <v>4538</v>
      </c>
      <c r="BM699" t="s">
        <v>4627</v>
      </c>
    </row>
    <row r="700" spans="1:65">
      <c r="A700" s="1">
        <f>HYPERLINK("https://lsnyc.legalserver.org/matter/dynamic-profile/view/1901980","19-1901980")</f>
        <v>0</v>
      </c>
      <c r="B700" t="s">
        <v>86</v>
      </c>
      <c r="C700" t="s">
        <v>93</v>
      </c>
      <c r="D700" t="s">
        <v>240</v>
      </c>
      <c r="F700" t="s">
        <v>845</v>
      </c>
      <c r="G700" t="s">
        <v>1377</v>
      </c>
      <c r="H700" t="s">
        <v>1633</v>
      </c>
      <c r="I700" t="s">
        <v>2077</v>
      </c>
      <c r="J700" t="s">
        <v>2205</v>
      </c>
      <c r="K700">
        <v>11233</v>
      </c>
      <c r="N700" t="s">
        <v>2233</v>
      </c>
      <c r="O700" t="s">
        <v>2690</v>
      </c>
      <c r="P700" t="s">
        <v>2930</v>
      </c>
      <c r="R700">
        <v>2</v>
      </c>
      <c r="S700">
        <v>0</v>
      </c>
      <c r="T700">
        <v>47.31</v>
      </c>
      <c r="W700">
        <v>8000</v>
      </c>
      <c r="X700" t="s">
        <v>3630</v>
      </c>
      <c r="Y700">
        <v>0</v>
      </c>
      <c r="AA700" t="s">
        <v>70</v>
      </c>
      <c r="AC700" t="s">
        <v>3942</v>
      </c>
      <c r="AD700" t="s">
        <v>4035</v>
      </c>
      <c r="AF700" t="s">
        <v>4061</v>
      </c>
      <c r="AH700" t="s">
        <v>3510</v>
      </c>
      <c r="AJ700" t="s">
        <v>3942</v>
      </c>
      <c r="AL700" t="s">
        <v>4070</v>
      </c>
      <c r="AM700" t="s">
        <v>2230</v>
      </c>
      <c r="AO700">
        <v>1375</v>
      </c>
      <c r="AQ700">
        <v>359</v>
      </c>
      <c r="AS700" t="s">
        <v>4113</v>
      </c>
      <c r="AT700" t="s">
        <v>4127</v>
      </c>
      <c r="AW700">
        <v>10</v>
      </c>
      <c r="AY700" t="s">
        <v>4140</v>
      </c>
      <c r="BA700" t="s">
        <v>4149</v>
      </c>
      <c r="BB700" t="s">
        <v>4154</v>
      </c>
      <c r="BC700" t="s">
        <v>4128</v>
      </c>
      <c r="BF700" t="s">
        <v>4281</v>
      </c>
      <c r="BG700" t="s">
        <v>4303</v>
      </c>
      <c r="BM700" t="s">
        <v>4627</v>
      </c>
    </row>
    <row r="701" spans="1:65">
      <c r="A701" s="1">
        <f>HYPERLINK("https://lsnyc.legalserver.org/matter/dynamic-profile/view/1901977","19-1901977")</f>
        <v>0</v>
      </c>
      <c r="B701" t="s">
        <v>86</v>
      </c>
      <c r="C701" t="s">
        <v>93</v>
      </c>
      <c r="D701" t="s">
        <v>240</v>
      </c>
      <c r="F701" t="s">
        <v>845</v>
      </c>
      <c r="G701" t="s">
        <v>1377</v>
      </c>
      <c r="H701" t="s">
        <v>1633</v>
      </c>
      <c r="I701" t="s">
        <v>2077</v>
      </c>
      <c r="J701" t="s">
        <v>2205</v>
      </c>
      <c r="K701">
        <v>11233</v>
      </c>
      <c r="N701" t="s">
        <v>2233</v>
      </c>
      <c r="O701" t="s">
        <v>2690</v>
      </c>
      <c r="P701" t="s">
        <v>2930</v>
      </c>
      <c r="R701">
        <v>2</v>
      </c>
      <c r="S701">
        <v>0</v>
      </c>
      <c r="T701">
        <v>47.31</v>
      </c>
      <c r="W701">
        <v>8000</v>
      </c>
      <c r="X701" t="s">
        <v>3624</v>
      </c>
      <c r="Y701">
        <v>0</v>
      </c>
      <c r="AA701" t="s">
        <v>70</v>
      </c>
      <c r="AC701" t="s">
        <v>3942</v>
      </c>
      <c r="AD701" t="s">
        <v>3847</v>
      </c>
      <c r="AF701" t="s">
        <v>4059</v>
      </c>
      <c r="AH701" t="s">
        <v>4078</v>
      </c>
      <c r="AJ701" t="s">
        <v>3942</v>
      </c>
      <c r="AL701" t="s">
        <v>4070</v>
      </c>
      <c r="AM701" t="s">
        <v>2230</v>
      </c>
      <c r="AO701">
        <v>1375</v>
      </c>
      <c r="AQ701">
        <v>359</v>
      </c>
      <c r="AS701" t="s">
        <v>4113</v>
      </c>
      <c r="AT701" t="s">
        <v>4127</v>
      </c>
      <c r="AW701">
        <v>10</v>
      </c>
      <c r="AY701" t="s">
        <v>4140</v>
      </c>
      <c r="BA701" t="s">
        <v>4149</v>
      </c>
      <c r="BB701" t="s">
        <v>4154</v>
      </c>
      <c r="BC701" t="s">
        <v>4128</v>
      </c>
      <c r="BF701" t="s">
        <v>4281</v>
      </c>
      <c r="BG701" t="s">
        <v>4538</v>
      </c>
      <c r="BM701" t="s">
        <v>4627</v>
      </c>
    </row>
    <row r="702" spans="1:65">
      <c r="A702" s="1">
        <f>HYPERLINK("https://lsnyc.legalserver.org/matter/dynamic-profile/view/1897349","19-1897349")</f>
        <v>0</v>
      </c>
      <c r="B702" t="s">
        <v>86</v>
      </c>
      <c r="C702" t="s">
        <v>93</v>
      </c>
      <c r="D702" t="s">
        <v>409</v>
      </c>
      <c r="F702" t="s">
        <v>843</v>
      </c>
      <c r="G702" t="s">
        <v>1375</v>
      </c>
      <c r="H702" t="s">
        <v>1633</v>
      </c>
      <c r="I702" t="s">
        <v>2076</v>
      </c>
      <c r="J702" t="s">
        <v>2205</v>
      </c>
      <c r="K702">
        <v>11233</v>
      </c>
      <c r="N702" t="s">
        <v>2233</v>
      </c>
      <c r="O702" t="s">
        <v>2688</v>
      </c>
      <c r="P702" t="s">
        <v>2930</v>
      </c>
      <c r="R702">
        <v>2</v>
      </c>
      <c r="S702">
        <v>0</v>
      </c>
      <c r="T702">
        <v>266.11</v>
      </c>
      <c r="W702">
        <v>45000</v>
      </c>
      <c r="Y702">
        <v>0</v>
      </c>
      <c r="AA702" t="s">
        <v>90</v>
      </c>
      <c r="AC702" t="s">
        <v>3942</v>
      </c>
      <c r="AD702" t="s">
        <v>4035</v>
      </c>
      <c r="AF702" t="s">
        <v>4061</v>
      </c>
      <c r="AH702" t="s">
        <v>3510</v>
      </c>
      <c r="AJ702" t="s">
        <v>3942</v>
      </c>
      <c r="AL702" t="s">
        <v>4088</v>
      </c>
      <c r="AM702" t="s">
        <v>2230</v>
      </c>
      <c r="AO702">
        <v>780</v>
      </c>
      <c r="AQ702">
        <v>359</v>
      </c>
      <c r="AS702" t="s">
        <v>4113</v>
      </c>
      <c r="AT702" t="s">
        <v>4127</v>
      </c>
      <c r="AW702">
        <v>21</v>
      </c>
      <c r="AY702" t="s">
        <v>4140</v>
      </c>
      <c r="BA702" t="s">
        <v>4149</v>
      </c>
      <c r="BB702" t="s">
        <v>4154</v>
      </c>
      <c r="BF702" t="s">
        <v>4281</v>
      </c>
      <c r="BM702" t="s">
        <v>4627</v>
      </c>
    </row>
    <row r="703" spans="1:65">
      <c r="A703" s="1">
        <f>HYPERLINK("https://lsnyc.legalserver.org/matter/dynamic-profile/view/1891580","19-1891580")</f>
        <v>0</v>
      </c>
      <c r="B703" t="s">
        <v>86</v>
      </c>
      <c r="C703" t="s">
        <v>93</v>
      </c>
      <c r="D703" t="s">
        <v>410</v>
      </c>
      <c r="F703" t="s">
        <v>846</v>
      </c>
      <c r="G703" t="s">
        <v>1378</v>
      </c>
      <c r="H703" t="s">
        <v>1633</v>
      </c>
      <c r="I703" t="s">
        <v>2078</v>
      </c>
      <c r="J703" t="s">
        <v>2205</v>
      </c>
      <c r="K703">
        <v>11233</v>
      </c>
      <c r="N703" t="s">
        <v>2233</v>
      </c>
      <c r="O703" t="s">
        <v>2691</v>
      </c>
      <c r="P703" t="s">
        <v>2930</v>
      </c>
      <c r="R703">
        <v>2</v>
      </c>
      <c r="S703">
        <v>0</v>
      </c>
      <c r="T703">
        <v>271.41</v>
      </c>
      <c r="U703" t="s">
        <v>274</v>
      </c>
      <c r="V703" t="s">
        <v>3458</v>
      </c>
      <c r="W703">
        <v>45895</v>
      </c>
      <c r="X703" t="s">
        <v>3627</v>
      </c>
      <c r="Y703">
        <v>0</v>
      </c>
      <c r="AA703" t="s">
        <v>90</v>
      </c>
      <c r="AC703" t="s">
        <v>3942</v>
      </c>
      <c r="AD703" t="s">
        <v>3847</v>
      </c>
      <c r="AF703" t="s">
        <v>4059</v>
      </c>
      <c r="AH703" t="s">
        <v>4078</v>
      </c>
      <c r="AJ703" t="s">
        <v>3942</v>
      </c>
      <c r="AK703" t="s">
        <v>4084</v>
      </c>
      <c r="AM703" t="s">
        <v>2230</v>
      </c>
      <c r="AO703">
        <v>811.37</v>
      </c>
      <c r="AQ703">
        <v>359</v>
      </c>
      <c r="AS703" t="s">
        <v>4113</v>
      </c>
      <c r="AT703" t="s">
        <v>4127</v>
      </c>
      <c r="AW703">
        <v>20</v>
      </c>
      <c r="AY703" t="s">
        <v>4140</v>
      </c>
      <c r="BA703" t="s">
        <v>4149</v>
      </c>
      <c r="BB703" t="s">
        <v>4154</v>
      </c>
      <c r="BF703" t="s">
        <v>4281</v>
      </c>
      <c r="BG703" t="s">
        <v>4538</v>
      </c>
      <c r="BM703" t="s">
        <v>4627</v>
      </c>
    </row>
    <row r="704" spans="1:65">
      <c r="A704" s="1">
        <f>HYPERLINK("https://lsnyc.legalserver.org/matter/dynamic-profile/view/1892098","19-1892098")</f>
        <v>0</v>
      </c>
      <c r="B704" t="s">
        <v>86</v>
      </c>
      <c r="C704" t="s">
        <v>93</v>
      </c>
      <c r="D704" t="s">
        <v>411</v>
      </c>
      <c r="F704" t="s">
        <v>847</v>
      </c>
      <c r="G704" t="s">
        <v>1021</v>
      </c>
      <c r="H704" t="s">
        <v>1577</v>
      </c>
      <c r="I704" t="s">
        <v>2079</v>
      </c>
      <c r="J704" t="s">
        <v>2205</v>
      </c>
      <c r="K704">
        <v>11233</v>
      </c>
      <c r="N704" t="s">
        <v>2233</v>
      </c>
      <c r="O704" t="s">
        <v>2692</v>
      </c>
      <c r="P704" t="s">
        <v>2930</v>
      </c>
      <c r="R704">
        <v>3</v>
      </c>
      <c r="S704">
        <v>0</v>
      </c>
      <c r="T704">
        <v>4388.19</v>
      </c>
      <c r="W704">
        <v>936000</v>
      </c>
      <c r="X704" t="s">
        <v>3631</v>
      </c>
      <c r="Y704">
        <v>0</v>
      </c>
      <c r="AA704" t="s">
        <v>70</v>
      </c>
      <c r="AC704" t="s">
        <v>3942</v>
      </c>
      <c r="AD704" t="s">
        <v>4035</v>
      </c>
      <c r="AF704" t="s">
        <v>4061</v>
      </c>
      <c r="AH704" t="s">
        <v>3510</v>
      </c>
      <c r="AJ704" t="s">
        <v>3942</v>
      </c>
      <c r="AL704" t="s">
        <v>4070</v>
      </c>
      <c r="AM704" t="s">
        <v>2230</v>
      </c>
      <c r="AO704">
        <v>1037</v>
      </c>
      <c r="AQ704">
        <v>359</v>
      </c>
      <c r="AS704" t="s">
        <v>4113</v>
      </c>
      <c r="AT704" t="s">
        <v>4127</v>
      </c>
      <c r="AW704">
        <v>49</v>
      </c>
      <c r="AY704" t="s">
        <v>4140</v>
      </c>
      <c r="BA704" t="s">
        <v>4149</v>
      </c>
      <c r="BB704" t="s">
        <v>4154</v>
      </c>
      <c r="BF704" t="s">
        <v>4281</v>
      </c>
      <c r="BM704" t="s">
        <v>4627</v>
      </c>
    </row>
    <row r="705" spans="1:65">
      <c r="A705" s="1">
        <f>HYPERLINK("https://lsnyc.legalserver.org/matter/dynamic-profile/view/1891566","19-1891566")</f>
        <v>0</v>
      </c>
      <c r="B705" t="s">
        <v>86</v>
      </c>
      <c r="C705" t="s">
        <v>93</v>
      </c>
      <c r="D705" t="s">
        <v>407</v>
      </c>
      <c r="F705" t="s">
        <v>848</v>
      </c>
      <c r="G705" t="s">
        <v>888</v>
      </c>
      <c r="H705" t="s">
        <v>1633</v>
      </c>
      <c r="I705" t="s">
        <v>2080</v>
      </c>
      <c r="J705" t="s">
        <v>2205</v>
      </c>
      <c r="K705">
        <v>11233</v>
      </c>
      <c r="N705" t="s">
        <v>2233</v>
      </c>
      <c r="O705" t="s">
        <v>2693</v>
      </c>
      <c r="P705" t="s">
        <v>2930</v>
      </c>
      <c r="R705">
        <v>1</v>
      </c>
      <c r="S705">
        <v>2</v>
      </c>
      <c r="T705">
        <v>281.29</v>
      </c>
      <c r="U705" t="s">
        <v>274</v>
      </c>
      <c r="V705" t="s">
        <v>3458</v>
      </c>
      <c r="W705">
        <v>60000</v>
      </c>
      <c r="X705" t="s">
        <v>3632</v>
      </c>
      <c r="Y705">
        <v>0</v>
      </c>
      <c r="AA705" t="s">
        <v>90</v>
      </c>
      <c r="AC705" t="s">
        <v>3942</v>
      </c>
      <c r="AD705" t="s">
        <v>4035</v>
      </c>
      <c r="AF705" t="s">
        <v>4061</v>
      </c>
      <c r="AH705" t="s">
        <v>3510</v>
      </c>
      <c r="AJ705" t="s">
        <v>3942</v>
      </c>
      <c r="AK705" t="s">
        <v>4084</v>
      </c>
      <c r="AM705" t="s">
        <v>2230</v>
      </c>
      <c r="AO705">
        <v>1003</v>
      </c>
      <c r="AQ705">
        <v>359</v>
      </c>
      <c r="AS705" t="s">
        <v>4113</v>
      </c>
      <c r="AT705" t="s">
        <v>4127</v>
      </c>
      <c r="AW705">
        <v>13</v>
      </c>
      <c r="AY705" t="s">
        <v>4140</v>
      </c>
      <c r="BA705" t="s">
        <v>4149</v>
      </c>
      <c r="BB705" t="s">
        <v>4154</v>
      </c>
      <c r="BF705" t="s">
        <v>4281</v>
      </c>
      <c r="BG705" t="s">
        <v>4159</v>
      </c>
      <c r="BM705" t="s">
        <v>4627</v>
      </c>
    </row>
    <row r="706" spans="1:65">
      <c r="A706" s="1">
        <f>HYPERLINK("https://lsnyc.legalserver.org/matter/dynamic-profile/view/1892764","19-1892764")</f>
        <v>0</v>
      </c>
      <c r="B706" t="s">
        <v>86</v>
      </c>
      <c r="C706" t="s">
        <v>93</v>
      </c>
      <c r="D706" t="s">
        <v>412</v>
      </c>
      <c r="F706" t="s">
        <v>849</v>
      </c>
      <c r="G706" t="s">
        <v>1379</v>
      </c>
      <c r="H706" t="s">
        <v>1828</v>
      </c>
      <c r="I706" t="s">
        <v>1998</v>
      </c>
      <c r="J706" t="s">
        <v>2205</v>
      </c>
      <c r="K706">
        <v>11233</v>
      </c>
      <c r="N706" t="s">
        <v>2233</v>
      </c>
      <c r="O706" t="s">
        <v>2694</v>
      </c>
      <c r="P706" t="s">
        <v>2930</v>
      </c>
      <c r="R706">
        <v>2</v>
      </c>
      <c r="S706">
        <v>1</v>
      </c>
      <c r="T706">
        <v>281.29</v>
      </c>
      <c r="W706">
        <v>60000</v>
      </c>
      <c r="X706" t="s">
        <v>3633</v>
      </c>
      <c r="Y706">
        <v>0</v>
      </c>
      <c r="AA706" t="s">
        <v>70</v>
      </c>
      <c r="AC706" t="s">
        <v>3942</v>
      </c>
      <c r="AD706" t="s">
        <v>3847</v>
      </c>
      <c r="AF706" t="s">
        <v>4059</v>
      </c>
      <c r="AH706" t="s">
        <v>4078</v>
      </c>
      <c r="AJ706" t="s">
        <v>3942</v>
      </c>
      <c r="AL706" t="s">
        <v>4070</v>
      </c>
      <c r="AM706" t="s">
        <v>2230</v>
      </c>
      <c r="AO706">
        <v>1200</v>
      </c>
      <c r="AQ706">
        <v>359</v>
      </c>
      <c r="AS706" t="s">
        <v>4113</v>
      </c>
      <c r="AT706" t="s">
        <v>4127</v>
      </c>
      <c r="AW706">
        <v>4</v>
      </c>
      <c r="AY706" t="s">
        <v>4140</v>
      </c>
      <c r="BA706" t="s">
        <v>4149</v>
      </c>
      <c r="BB706" t="s">
        <v>4154</v>
      </c>
      <c r="BF706" t="s">
        <v>4281</v>
      </c>
      <c r="BG706" t="s">
        <v>4539</v>
      </c>
      <c r="BM706" t="s">
        <v>4627</v>
      </c>
    </row>
    <row r="707" spans="1:65">
      <c r="A707" s="1">
        <f>HYPERLINK("https://lsnyc.legalserver.org/matter/dynamic-profile/view/1892863","19-1892863")</f>
        <v>0</v>
      </c>
      <c r="B707" t="s">
        <v>86</v>
      </c>
      <c r="C707" t="s">
        <v>93</v>
      </c>
      <c r="D707" t="s">
        <v>413</v>
      </c>
      <c r="F707" t="s">
        <v>555</v>
      </c>
      <c r="G707" t="s">
        <v>1380</v>
      </c>
      <c r="H707" t="s">
        <v>1829</v>
      </c>
      <c r="I707" t="s">
        <v>1955</v>
      </c>
      <c r="J707" t="s">
        <v>2205</v>
      </c>
      <c r="K707">
        <v>11233</v>
      </c>
      <c r="N707" t="s">
        <v>2233</v>
      </c>
      <c r="O707" t="s">
        <v>2695</v>
      </c>
      <c r="P707" t="s">
        <v>2930</v>
      </c>
      <c r="R707">
        <v>1</v>
      </c>
      <c r="S707">
        <v>0</v>
      </c>
      <c r="T707">
        <v>408.33</v>
      </c>
      <c r="W707">
        <v>51000</v>
      </c>
      <c r="X707" t="s">
        <v>3634</v>
      </c>
      <c r="Y707">
        <v>0</v>
      </c>
      <c r="AA707" t="s">
        <v>70</v>
      </c>
      <c r="AC707" t="s">
        <v>3942</v>
      </c>
      <c r="AD707" t="s">
        <v>3847</v>
      </c>
      <c r="AF707" t="s">
        <v>4059</v>
      </c>
      <c r="AH707" t="s">
        <v>4078</v>
      </c>
      <c r="AJ707" t="s">
        <v>3942</v>
      </c>
      <c r="AL707" t="s">
        <v>4070</v>
      </c>
      <c r="AM707" t="s">
        <v>2230</v>
      </c>
      <c r="AO707">
        <v>621.34</v>
      </c>
      <c r="AQ707">
        <v>359</v>
      </c>
      <c r="AS707" t="s">
        <v>4113</v>
      </c>
      <c r="AT707" t="s">
        <v>4127</v>
      </c>
      <c r="AW707">
        <v>18</v>
      </c>
      <c r="AY707" t="s">
        <v>4140</v>
      </c>
      <c r="BA707" t="s">
        <v>4149</v>
      </c>
      <c r="BB707" t="s">
        <v>4154</v>
      </c>
      <c r="BF707" t="s">
        <v>4281</v>
      </c>
      <c r="BG707" t="s">
        <v>4538</v>
      </c>
      <c r="BM707" t="s">
        <v>4627</v>
      </c>
    </row>
    <row r="708" spans="1:65">
      <c r="A708" s="1">
        <f>HYPERLINK("https://lsnyc.legalserver.org/matter/dynamic-profile/view/1892069","19-1892069")</f>
        <v>0</v>
      </c>
      <c r="B708" t="s">
        <v>86</v>
      </c>
      <c r="C708" t="s">
        <v>93</v>
      </c>
      <c r="D708" t="s">
        <v>411</v>
      </c>
      <c r="F708" t="s">
        <v>850</v>
      </c>
      <c r="G708" t="s">
        <v>1381</v>
      </c>
      <c r="H708" t="s">
        <v>1577</v>
      </c>
      <c r="I708" t="s">
        <v>1928</v>
      </c>
      <c r="J708" t="s">
        <v>2205</v>
      </c>
      <c r="K708">
        <v>11233</v>
      </c>
      <c r="N708" t="s">
        <v>2233</v>
      </c>
      <c r="O708" t="s">
        <v>2696</v>
      </c>
      <c r="P708" t="s">
        <v>2930</v>
      </c>
      <c r="R708">
        <v>2</v>
      </c>
      <c r="S708">
        <v>1</v>
      </c>
      <c r="T708">
        <v>281.29</v>
      </c>
      <c r="W708">
        <v>60000</v>
      </c>
      <c r="X708" t="s">
        <v>3635</v>
      </c>
      <c r="Y708">
        <v>0</v>
      </c>
      <c r="AA708" t="s">
        <v>70</v>
      </c>
      <c r="AC708" t="s">
        <v>3942</v>
      </c>
      <c r="AD708" t="s">
        <v>3847</v>
      </c>
      <c r="AF708" t="s">
        <v>4059</v>
      </c>
      <c r="AH708" t="s">
        <v>4078</v>
      </c>
      <c r="AJ708" t="s">
        <v>3942</v>
      </c>
      <c r="AL708" t="s">
        <v>4070</v>
      </c>
      <c r="AM708" t="s">
        <v>2230</v>
      </c>
      <c r="AO708">
        <v>978</v>
      </c>
      <c r="AQ708">
        <v>359</v>
      </c>
      <c r="AS708" t="s">
        <v>4113</v>
      </c>
      <c r="AU708" t="s">
        <v>4128</v>
      </c>
      <c r="AW708">
        <v>3</v>
      </c>
      <c r="AY708" t="s">
        <v>4140</v>
      </c>
      <c r="BA708" t="s">
        <v>4149</v>
      </c>
      <c r="BB708" t="s">
        <v>4154</v>
      </c>
      <c r="BF708" t="s">
        <v>4281</v>
      </c>
      <c r="BG708" t="s">
        <v>4539</v>
      </c>
      <c r="BM708" t="s">
        <v>4627</v>
      </c>
    </row>
    <row r="709" spans="1:65">
      <c r="A709" s="1">
        <f>HYPERLINK("https://lsnyc.legalserver.org/matter/dynamic-profile/view/1891565","19-1891565")</f>
        <v>0</v>
      </c>
      <c r="B709" t="s">
        <v>86</v>
      </c>
      <c r="C709" t="s">
        <v>93</v>
      </c>
      <c r="D709" t="s">
        <v>407</v>
      </c>
      <c r="F709" t="s">
        <v>848</v>
      </c>
      <c r="G709" t="s">
        <v>888</v>
      </c>
      <c r="H709" t="s">
        <v>1633</v>
      </c>
      <c r="I709" t="s">
        <v>2080</v>
      </c>
      <c r="J709" t="s">
        <v>2205</v>
      </c>
      <c r="K709">
        <v>11233</v>
      </c>
      <c r="N709" t="s">
        <v>2233</v>
      </c>
      <c r="O709" t="s">
        <v>2693</v>
      </c>
      <c r="P709" t="s">
        <v>2930</v>
      </c>
      <c r="R709">
        <v>1</v>
      </c>
      <c r="S709">
        <v>2</v>
      </c>
      <c r="T709">
        <v>281.29</v>
      </c>
      <c r="U709" t="s">
        <v>274</v>
      </c>
      <c r="V709" t="s">
        <v>3458</v>
      </c>
      <c r="W709">
        <v>60000</v>
      </c>
      <c r="X709" t="s">
        <v>3627</v>
      </c>
      <c r="Y709">
        <v>0</v>
      </c>
      <c r="AA709" t="s">
        <v>90</v>
      </c>
      <c r="AC709" t="s">
        <v>3942</v>
      </c>
      <c r="AD709" t="s">
        <v>3847</v>
      </c>
      <c r="AF709" t="s">
        <v>4059</v>
      </c>
      <c r="AH709" t="s">
        <v>4078</v>
      </c>
      <c r="AJ709" t="s">
        <v>3942</v>
      </c>
      <c r="AK709" t="s">
        <v>4084</v>
      </c>
      <c r="AM709" t="s">
        <v>2230</v>
      </c>
      <c r="AO709">
        <v>1003</v>
      </c>
      <c r="AQ709">
        <v>359</v>
      </c>
      <c r="AS709" t="s">
        <v>4113</v>
      </c>
      <c r="AT709" t="s">
        <v>4127</v>
      </c>
      <c r="AW709">
        <v>13</v>
      </c>
      <c r="AY709" t="s">
        <v>4140</v>
      </c>
      <c r="BA709" t="s">
        <v>4149</v>
      </c>
      <c r="BB709" t="s">
        <v>4154</v>
      </c>
      <c r="BF709" t="s">
        <v>4281</v>
      </c>
      <c r="BG709" t="s">
        <v>4538</v>
      </c>
      <c r="BM709" t="s">
        <v>4627</v>
      </c>
    </row>
    <row r="710" spans="1:65">
      <c r="A710" s="1">
        <f>HYPERLINK("https://lsnyc.legalserver.org/matter/dynamic-profile/view/1891491","19-1891491")</f>
        <v>0</v>
      </c>
      <c r="B710" t="s">
        <v>86</v>
      </c>
      <c r="C710" t="s">
        <v>93</v>
      </c>
      <c r="D710" t="s">
        <v>407</v>
      </c>
      <c r="F710" t="s">
        <v>851</v>
      </c>
      <c r="G710" t="s">
        <v>1382</v>
      </c>
      <c r="H710" t="s">
        <v>1577</v>
      </c>
      <c r="I710" t="s">
        <v>2081</v>
      </c>
      <c r="J710" t="s">
        <v>2205</v>
      </c>
      <c r="K710">
        <v>11233</v>
      </c>
      <c r="N710" t="s">
        <v>2233</v>
      </c>
      <c r="O710" t="s">
        <v>2697</v>
      </c>
      <c r="P710" t="s">
        <v>2930</v>
      </c>
      <c r="R710">
        <v>1</v>
      </c>
      <c r="S710">
        <v>0</v>
      </c>
      <c r="T710">
        <v>0</v>
      </c>
      <c r="W710">
        <v>0</v>
      </c>
      <c r="X710" t="s">
        <v>3627</v>
      </c>
      <c r="Y710">
        <v>0</v>
      </c>
      <c r="AA710" t="s">
        <v>90</v>
      </c>
      <c r="AC710" t="s">
        <v>3942</v>
      </c>
      <c r="AD710" t="s">
        <v>3847</v>
      </c>
      <c r="AF710" t="s">
        <v>4059</v>
      </c>
      <c r="AH710" t="s">
        <v>4078</v>
      </c>
      <c r="AJ710" t="s">
        <v>3942</v>
      </c>
      <c r="AK710" t="s">
        <v>4084</v>
      </c>
      <c r="AM710" t="s">
        <v>2230</v>
      </c>
      <c r="AO710">
        <v>505</v>
      </c>
      <c r="AQ710">
        <v>359</v>
      </c>
      <c r="AS710" t="s">
        <v>4113</v>
      </c>
      <c r="AT710" t="s">
        <v>4127</v>
      </c>
      <c r="AW710">
        <v>40</v>
      </c>
      <c r="AY710" t="s">
        <v>4140</v>
      </c>
      <c r="BA710" t="s">
        <v>4149</v>
      </c>
      <c r="BB710" t="s">
        <v>4154</v>
      </c>
      <c r="BF710" t="s">
        <v>4281</v>
      </c>
      <c r="BG710" t="s">
        <v>4539</v>
      </c>
      <c r="BM710" t="s">
        <v>4627</v>
      </c>
    </row>
    <row r="711" spans="1:65">
      <c r="A711" s="1">
        <f>HYPERLINK("https://lsnyc.legalserver.org/matter/dynamic-profile/view/1892522","19-1892522")</f>
        <v>0</v>
      </c>
      <c r="B711" t="s">
        <v>86</v>
      </c>
      <c r="C711" t="s">
        <v>93</v>
      </c>
      <c r="D711" t="s">
        <v>408</v>
      </c>
      <c r="F711" t="s">
        <v>543</v>
      </c>
      <c r="G711" t="s">
        <v>1100</v>
      </c>
      <c r="H711" t="s">
        <v>1577</v>
      </c>
      <c r="I711" t="s">
        <v>2082</v>
      </c>
      <c r="J711" t="s">
        <v>2205</v>
      </c>
      <c r="K711">
        <v>11233</v>
      </c>
      <c r="N711" t="s">
        <v>2233</v>
      </c>
      <c r="O711" t="s">
        <v>2698</v>
      </c>
      <c r="P711" t="s">
        <v>2930</v>
      </c>
      <c r="R711">
        <v>1</v>
      </c>
      <c r="S711">
        <v>0</v>
      </c>
      <c r="T711">
        <v>280.22</v>
      </c>
      <c r="W711">
        <v>35000</v>
      </c>
      <c r="X711" t="s">
        <v>3636</v>
      </c>
      <c r="Y711">
        <v>0</v>
      </c>
      <c r="AA711" t="s">
        <v>70</v>
      </c>
      <c r="AC711" t="s">
        <v>3942</v>
      </c>
      <c r="AD711" t="s">
        <v>4035</v>
      </c>
      <c r="AF711" t="s">
        <v>4061</v>
      </c>
      <c r="AH711" t="s">
        <v>3510</v>
      </c>
      <c r="AJ711" t="s">
        <v>3942</v>
      </c>
      <c r="AL711" t="s">
        <v>4070</v>
      </c>
      <c r="AM711" t="s">
        <v>2230</v>
      </c>
      <c r="AO711">
        <v>2500</v>
      </c>
      <c r="AQ711">
        <v>359</v>
      </c>
      <c r="AS711" t="s">
        <v>4113</v>
      </c>
      <c r="AT711" t="s">
        <v>4127</v>
      </c>
      <c r="AW711">
        <v>51</v>
      </c>
      <c r="AY711" t="s">
        <v>4140</v>
      </c>
      <c r="BA711" t="s">
        <v>4149</v>
      </c>
      <c r="BB711" t="s">
        <v>4154</v>
      </c>
      <c r="BF711" t="s">
        <v>4281</v>
      </c>
      <c r="BM711" t="s">
        <v>4627</v>
      </c>
    </row>
    <row r="712" spans="1:65">
      <c r="A712" s="1">
        <f>HYPERLINK("https://lsnyc.legalserver.org/matter/dynamic-profile/view/1890555","19-1890555")</f>
        <v>0</v>
      </c>
      <c r="B712" t="s">
        <v>86</v>
      </c>
      <c r="C712" t="s">
        <v>93</v>
      </c>
      <c r="D712" t="s">
        <v>414</v>
      </c>
      <c r="F712" t="s">
        <v>852</v>
      </c>
      <c r="G712" t="s">
        <v>1383</v>
      </c>
      <c r="H712" t="s">
        <v>1577</v>
      </c>
      <c r="I712" t="s">
        <v>2083</v>
      </c>
      <c r="J712" t="s">
        <v>2205</v>
      </c>
      <c r="K712">
        <v>11233</v>
      </c>
      <c r="N712" t="s">
        <v>2233</v>
      </c>
      <c r="O712" t="s">
        <v>2699</v>
      </c>
      <c r="P712" t="s">
        <v>2930</v>
      </c>
      <c r="R712">
        <v>2</v>
      </c>
      <c r="S712">
        <v>2</v>
      </c>
      <c r="T712">
        <v>46.6</v>
      </c>
      <c r="W712">
        <v>12000</v>
      </c>
      <c r="X712" t="s">
        <v>3637</v>
      </c>
      <c r="Y712">
        <v>0</v>
      </c>
      <c r="AA712" t="s">
        <v>70</v>
      </c>
      <c r="AC712" t="s">
        <v>3942</v>
      </c>
      <c r="AD712" t="s">
        <v>3847</v>
      </c>
      <c r="AF712" t="s">
        <v>4059</v>
      </c>
      <c r="AH712" t="s">
        <v>4078</v>
      </c>
      <c r="AJ712" t="s">
        <v>3942</v>
      </c>
      <c r="AL712" t="s">
        <v>4070</v>
      </c>
      <c r="AM712" t="s">
        <v>2230</v>
      </c>
      <c r="AO712">
        <v>915</v>
      </c>
      <c r="AQ712">
        <v>359</v>
      </c>
      <c r="AS712" t="s">
        <v>4113</v>
      </c>
      <c r="AU712" t="s">
        <v>4128</v>
      </c>
      <c r="AW712">
        <v>6</v>
      </c>
      <c r="AY712" t="s">
        <v>4140</v>
      </c>
      <c r="BA712" t="s">
        <v>4149</v>
      </c>
      <c r="BB712" t="s">
        <v>4154</v>
      </c>
      <c r="BF712" t="s">
        <v>4281</v>
      </c>
      <c r="BG712" t="s">
        <v>4539</v>
      </c>
      <c r="BM712" t="s">
        <v>4627</v>
      </c>
    </row>
    <row r="713" spans="1:65">
      <c r="A713" s="1">
        <f>HYPERLINK("https://lsnyc.legalserver.org/matter/dynamic-profile/view/1892521","19-1892521")</f>
        <v>0</v>
      </c>
      <c r="B713" t="s">
        <v>86</v>
      </c>
      <c r="C713" t="s">
        <v>93</v>
      </c>
      <c r="D713" t="s">
        <v>408</v>
      </c>
      <c r="F713" t="s">
        <v>543</v>
      </c>
      <c r="G713" t="s">
        <v>1100</v>
      </c>
      <c r="H713" t="s">
        <v>1577</v>
      </c>
      <c r="I713" t="s">
        <v>2082</v>
      </c>
      <c r="J713" t="s">
        <v>2205</v>
      </c>
      <c r="K713">
        <v>11233</v>
      </c>
      <c r="N713" t="s">
        <v>2233</v>
      </c>
      <c r="O713" t="s">
        <v>2698</v>
      </c>
      <c r="P713" t="s">
        <v>2930</v>
      </c>
      <c r="R713">
        <v>1</v>
      </c>
      <c r="S713">
        <v>0</v>
      </c>
      <c r="T713">
        <v>280.22</v>
      </c>
      <c r="W713">
        <v>35000</v>
      </c>
      <c r="X713" t="s">
        <v>3635</v>
      </c>
      <c r="Y713">
        <v>0</v>
      </c>
      <c r="AA713" t="s">
        <v>70</v>
      </c>
      <c r="AC713" t="s">
        <v>3942</v>
      </c>
      <c r="AD713" t="s">
        <v>3847</v>
      </c>
      <c r="AF713" t="s">
        <v>4059</v>
      </c>
      <c r="AH713" t="s">
        <v>4078</v>
      </c>
      <c r="AJ713" t="s">
        <v>3942</v>
      </c>
      <c r="AL713" t="s">
        <v>4070</v>
      </c>
      <c r="AM713" t="s">
        <v>2230</v>
      </c>
      <c r="AO713">
        <v>2500</v>
      </c>
      <c r="AQ713">
        <v>359</v>
      </c>
      <c r="AS713" t="s">
        <v>4113</v>
      </c>
      <c r="AT713" t="s">
        <v>4127</v>
      </c>
      <c r="AW713">
        <v>51</v>
      </c>
      <c r="AY713" t="s">
        <v>4140</v>
      </c>
      <c r="BA713" t="s">
        <v>4149</v>
      </c>
      <c r="BB713" t="s">
        <v>4154</v>
      </c>
      <c r="BF713" t="s">
        <v>4281</v>
      </c>
      <c r="BG713" t="s">
        <v>4539</v>
      </c>
      <c r="BM713" t="s">
        <v>4627</v>
      </c>
    </row>
    <row r="714" spans="1:65">
      <c r="A714" s="1">
        <f>HYPERLINK("https://lsnyc.legalserver.org/matter/dynamic-profile/view/1892865","19-1892865")</f>
        <v>0</v>
      </c>
      <c r="B714" t="s">
        <v>86</v>
      </c>
      <c r="C714" t="s">
        <v>93</v>
      </c>
      <c r="D714" t="s">
        <v>413</v>
      </c>
      <c r="F714" t="s">
        <v>555</v>
      </c>
      <c r="G714" t="s">
        <v>1380</v>
      </c>
      <c r="H714" t="s">
        <v>1829</v>
      </c>
      <c r="I714" t="s">
        <v>1955</v>
      </c>
      <c r="J714" t="s">
        <v>2205</v>
      </c>
      <c r="K714">
        <v>11233</v>
      </c>
      <c r="N714" t="s">
        <v>2233</v>
      </c>
      <c r="O714" t="s">
        <v>2695</v>
      </c>
      <c r="P714" t="s">
        <v>2930</v>
      </c>
      <c r="R714">
        <v>1</v>
      </c>
      <c r="S714">
        <v>0</v>
      </c>
      <c r="T714">
        <v>408.33</v>
      </c>
      <c r="W714">
        <v>51000</v>
      </c>
      <c r="X714" t="s">
        <v>3638</v>
      </c>
      <c r="Y714">
        <v>0</v>
      </c>
      <c r="AA714" t="s">
        <v>70</v>
      </c>
      <c r="AC714" t="s">
        <v>3942</v>
      </c>
      <c r="AD714" t="s">
        <v>4035</v>
      </c>
      <c r="AF714" t="s">
        <v>4061</v>
      </c>
      <c r="AH714" t="s">
        <v>3510</v>
      </c>
      <c r="AJ714" t="s">
        <v>3942</v>
      </c>
      <c r="AL714" t="s">
        <v>4070</v>
      </c>
      <c r="AM714" t="s">
        <v>2230</v>
      </c>
      <c r="AO714">
        <v>621.34</v>
      </c>
      <c r="AQ714">
        <v>359</v>
      </c>
      <c r="AS714" t="s">
        <v>4113</v>
      </c>
      <c r="AT714" t="s">
        <v>4127</v>
      </c>
      <c r="AW714">
        <v>18</v>
      </c>
      <c r="AY714" t="s">
        <v>4140</v>
      </c>
      <c r="BA714" t="s">
        <v>4149</v>
      </c>
      <c r="BB714" t="s">
        <v>4154</v>
      </c>
      <c r="BF714" t="s">
        <v>4281</v>
      </c>
      <c r="BM714" t="s">
        <v>4627</v>
      </c>
    </row>
    <row r="715" spans="1:65">
      <c r="A715" s="1">
        <f>HYPERLINK("https://lsnyc.legalserver.org/matter/dynamic-profile/view/1853915","17-1853915")</f>
        <v>0</v>
      </c>
      <c r="B715" t="s">
        <v>86</v>
      </c>
      <c r="C715" t="s">
        <v>93</v>
      </c>
      <c r="D715" t="s">
        <v>415</v>
      </c>
      <c r="F715" t="s">
        <v>853</v>
      </c>
      <c r="G715" t="s">
        <v>1100</v>
      </c>
      <c r="H715" t="s">
        <v>1830</v>
      </c>
      <c r="I715" t="s">
        <v>1929</v>
      </c>
      <c r="J715" t="s">
        <v>2205</v>
      </c>
      <c r="K715">
        <v>11207</v>
      </c>
      <c r="N715" t="s">
        <v>2233</v>
      </c>
      <c r="O715" t="s">
        <v>2700</v>
      </c>
      <c r="Q715" t="s">
        <v>3324</v>
      </c>
      <c r="R715">
        <v>1</v>
      </c>
      <c r="S715">
        <v>1</v>
      </c>
      <c r="T715">
        <v>46.13</v>
      </c>
      <c r="V715" t="s">
        <v>3456</v>
      </c>
      <c r="W715">
        <v>7492</v>
      </c>
      <c r="X715" t="s">
        <v>3473</v>
      </c>
      <c r="Y715">
        <v>3.85</v>
      </c>
      <c r="Z715" t="s">
        <v>123</v>
      </c>
      <c r="AA715" t="s">
        <v>3900</v>
      </c>
      <c r="AC715" t="s">
        <v>3942</v>
      </c>
      <c r="AD715" t="s">
        <v>4036</v>
      </c>
      <c r="AF715" t="s">
        <v>4058</v>
      </c>
      <c r="AH715" t="s">
        <v>4076</v>
      </c>
      <c r="AJ715" t="s">
        <v>3942</v>
      </c>
      <c r="AL715" t="s">
        <v>4089</v>
      </c>
      <c r="AM715" t="s">
        <v>2230</v>
      </c>
      <c r="AO715">
        <v>1250</v>
      </c>
      <c r="AQ715">
        <v>6</v>
      </c>
      <c r="AS715" t="s">
        <v>4113</v>
      </c>
      <c r="AU715" t="s">
        <v>4130</v>
      </c>
      <c r="AW715">
        <v>7</v>
      </c>
      <c r="AY715" t="s">
        <v>4140</v>
      </c>
      <c r="BB715" t="s">
        <v>4154</v>
      </c>
      <c r="BF715" t="s">
        <v>4281</v>
      </c>
      <c r="BG715" t="s">
        <v>4540</v>
      </c>
      <c r="BM715" t="s">
        <v>4627</v>
      </c>
    </row>
    <row r="716" spans="1:65">
      <c r="A716" s="1">
        <f>HYPERLINK("https://lsnyc.legalserver.org/matter/dynamic-profile/view/1898244","19-1898244")</f>
        <v>0</v>
      </c>
      <c r="B716" t="s">
        <v>86</v>
      </c>
      <c r="C716" t="s">
        <v>93</v>
      </c>
      <c r="D716" t="s">
        <v>241</v>
      </c>
      <c r="F716" t="s">
        <v>854</v>
      </c>
      <c r="G716" t="s">
        <v>1384</v>
      </c>
      <c r="H716" t="s">
        <v>1577</v>
      </c>
      <c r="I716" t="s">
        <v>2084</v>
      </c>
      <c r="J716" t="s">
        <v>2205</v>
      </c>
      <c r="K716">
        <v>11233</v>
      </c>
      <c r="N716" t="s">
        <v>2233</v>
      </c>
      <c r="O716" t="s">
        <v>2701</v>
      </c>
      <c r="P716" t="s">
        <v>2930</v>
      </c>
      <c r="R716">
        <v>3</v>
      </c>
      <c r="S716">
        <v>1</v>
      </c>
      <c r="T716">
        <v>271.84</v>
      </c>
      <c r="W716">
        <v>70000</v>
      </c>
      <c r="X716" t="s">
        <v>3639</v>
      </c>
      <c r="Y716">
        <v>0</v>
      </c>
      <c r="AA716" t="s">
        <v>70</v>
      </c>
      <c r="AC716" t="s">
        <v>3942</v>
      </c>
      <c r="AD716" t="s">
        <v>4035</v>
      </c>
      <c r="AF716" t="s">
        <v>4061</v>
      </c>
      <c r="AH716" t="s">
        <v>3510</v>
      </c>
      <c r="AJ716" t="s">
        <v>3942</v>
      </c>
      <c r="AL716" t="s">
        <v>4070</v>
      </c>
      <c r="AM716" t="s">
        <v>2230</v>
      </c>
      <c r="AO716">
        <v>1024</v>
      </c>
      <c r="AQ716">
        <v>359</v>
      </c>
      <c r="AS716" t="s">
        <v>4113</v>
      </c>
      <c r="AT716" t="s">
        <v>4127</v>
      </c>
      <c r="AW716">
        <v>24</v>
      </c>
      <c r="AY716" t="s">
        <v>4140</v>
      </c>
      <c r="BA716" t="s">
        <v>4149</v>
      </c>
      <c r="BB716" t="s">
        <v>4154</v>
      </c>
      <c r="BF716" t="s">
        <v>4281</v>
      </c>
      <c r="BM716" t="s">
        <v>4627</v>
      </c>
    </row>
    <row r="717" spans="1:65">
      <c r="A717" s="1">
        <f>HYPERLINK("https://lsnyc.legalserver.org/matter/dynamic-profile/view/1898243","19-1898243")</f>
        <v>0</v>
      </c>
      <c r="B717" t="s">
        <v>86</v>
      </c>
      <c r="C717" t="s">
        <v>93</v>
      </c>
      <c r="D717" t="s">
        <v>241</v>
      </c>
      <c r="F717" t="s">
        <v>854</v>
      </c>
      <c r="G717" t="s">
        <v>1384</v>
      </c>
      <c r="H717" t="s">
        <v>1577</v>
      </c>
      <c r="I717" t="s">
        <v>2084</v>
      </c>
      <c r="J717" t="s">
        <v>2205</v>
      </c>
      <c r="K717">
        <v>11233</v>
      </c>
      <c r="N717" t="s">
        <v>2233</v>
      </c>
      <c r="O717" t="s">
        <v>2701</v>
      </c>
      <c r="P717" t="s">
        <v>2930</v>
      </c>
      <c r="R717">
        <v>3</v>
      </c>
      <c r="S717">
        <v>1</v>
      </c>
      <c r="T717">
        <v>271.84</v>
      </c>
      <c r="W717">
        <v>70000</v>
      </c>
      <c r="X717" t="s">
        <v>3624</v>
      </c>
      <c r="Y717">
        <v>0</v>
      </c>
      <c r="AA717" t="s">
        <v>70</v>
      </c>
      <c r="AC717" t="s">
        <v>3942</v>
      </c>
      <c r="AD717" t="s">
        <v>3847</v>
      </c>
      <c r="AF717" t="s">
        <v>4059</v>
      </c>
      <c r="AH717" t="s">
        <v>4078</v>
      </c>
      <c r="AJ717" t="s">
        <v>3942</v>
      </c>
      <c r="AL717" t="s">
        <v>4070</v>
      </c>
      <c r="AM717" t="s">
        <v>2230</v>
      </c>
      <c r="AO717">
        <v>1024</v>
      </c>
      <c r="AQ717">
        <v>359</v>
      </c>
      <c r="AS717" t="s">
        <v>4113</v>
      </c>
      <c r="AT717" t="s">
        <v>4127</v>
      </c>
      <c r="AW717">
        <v>24</v>
      </c>
      <c r="AY717" t="s">
        <v>4140</v>
      </c>
      <c r="BA717" t="s">
        <v>4149</v>
      </c>
      <c r="BB717" t="s">
        <v>4154</v>
      </c>
      <c r="BF717" t="s">
        <v>4281</v>
      </c>
      <c r="BG717" t="s">
        <v>4539</v>
      </c>
      <c r="BM717" t="s">
        <v>4627</v>
      </c>
    </row>
    <row r="718" spans="1:65">
      <c r="A718" s="1">
        <f>HYPERLINK("https://lsnyc.legalserver.org/matter/dynamic-profile/view/1891583","19-1891583")</f>
        <v>0</v>
      </c>
      <c r="B718" t="s">
        <v>86</v>
      </c>
      <c r="C718" t="s">
        <v>93</v>
      </c>
      <c r="D718" t="s">
        <v>410</v>
      </c>
      <c r="F718" t="s">
        <v>846</v>
      </c>
      <c r="G718" t="s">
        <v>1378</v>
      </c>
      <c r="H718" t="s">
        <v>1633</v>
      </c>
      <c r="I718" t="s">
        <v>2078</v>
      </c>
      <c r="J718" t="s">
        <v>2205</v>
      </c>
      <c r="K718">
        <v>11233</v>
      </c>
      <c r="N718" t="s">
        <v>2233</v>
      </c>
      <c r="O718" t="s">
        <v>2691</v>
      </c>
      <c r="P718" t="s">
        <v>2930</v>
      </c>
      <c r="R718">
        <v>2</v>
      </c>
      <c r="S718">
        <v>0</v>
      </c>
      <c r="T718">
        <v>271.41</v>
      </c>
      <c r="U718" t="s">
        <v>274</v>
      </c>
      <c r="V718" t="s">
        <v>3458</v>
      </c>
      <c r="W718">
        <v>45895</v>
      </c>
      <c r="X718" t="s">
        <v>3640</v>
      </c>
      <c r="Y718">
        <v>0</v>
      </c>
      <c r="AA718" t="s">
        <v>90</v>
      </c>
      <c r="AC718" t="s">
        <v>3942</v>
      </c>
      <c r="AD718" t="s">
        <v>4035</v>
      </c>
      <c r="AF718" t="s">
        <v>4061</v>
      </c>
      <c r="AH718" t="s">
        <v>3510</v>
      </c>
      <c r="AJ718" t="s">
        <v>3942</v>
      </c>
      <c r="AK718" t="s">
        <v>4084</v>
      </c>
      <c r="AM718" t="s">
        <v>2230</v>
      </c>
      <c r="AO718">
        <v>811.37</v>
      </c>
      <c r="AQ718">
        <v>359</v>
      </c>
      <c r="AS718" t="s">
        <v>4113</v>
      </c>
      <c r="AT718" t="s">
        <v>4127</v>
      </c>
      <c r="AW718">
        <v>20</v>
      </c>
      <c r="AY718" t="s">
        <v>4140</v>
      </c>
      <c r="BA718" t="s">
        <v>4149</v>
      </c>
      <c r="BB718" t="s">
        <v>4154</v>
      </c>
      <c r="BF718" t="s">
        <v>4281</v>
      </c>
      <c r="BG718" t="s">
        <v>4128</v>
      </c>
      <c r="BM718" t="s">
        <v>4627</v>
      </c>
    </row>
    <row r="719" spans="1:65">
      <c r="A719" s="1">
        <f>HYPERLINK("https://lsnyc.legalserver.org/matter/dynamic-profile/view/1891589","19-1891589")</f>
        <v>0</v>
      </c>
      <c r="B719" t="s">
        <v>86</v>
      </c>
      <c r="C719" t="s">
        <v>93</v>
      </c>
      <c r="D719" t="s">
        <v>410</v>
      </c>
      <c r="F719" t="s">
        <v>844</v>
      </c>
      <c r="G719" t="s">
        <v>1376</v>
      </c>
      <c r="H719" t="s">
        <v>1633</v>
      </c>
      <c r="I719" t="s">
        <v>2020</v>
      </c>
      <c r="J719" t="s">
        <v>2205</v>
      </c>
      <c r="K719">
        <v>11233</v>
      </c>
      <c r="N719" t="s">
        <v>2233</v>
      </c>
      <c r="O719" t="s">
        <v>2619</v>
      </c>
      <c r="P719" t="s">
        <v>2930</v>
      </c>
      <c r="R719">
        <v>1</v>
      </c>
      <c r="S719">
        <v>0</v>
      </c>
      <c r="T719">
        <v>416.33</v>
      </c>
      <c r="W719">
        <v>52000</v>
      </c>
      <c r="X719" t="s">
        <v>3641</v>
      </c>
      <c r="Y719">
        <v>0</v>
      </c>
      <c r="AA719" t="s">
        <v>90</v>
      </c>
      <c r="AC719" t="s">
        <v>3942</v>
      </c>
      <c r="AD719" t="s">
        <v>4035</v>
      </c>
      <c r="AF719" t="s">
        <v>4061</v>
      </c>
      <c r="AH719" t="s">
        <v>3510</v>
      </c>
      <c r="AJ719" t="s">
        <v>3942</v>
      </c>
      <c r="AK719" t="s">
        <v>4084</v>
      </c>
      <c r="AM719" t="s">
        <v>2230</v>
      </c>
      <c r="AO719">
        <v>1485</v>
      </c>
      <c r="AQ719">
        <v>359</v>
      </c>
      <c r="AS719" t="s">
        <v>4113</v>
      </c>
      <c r="AT719" t="s">
        <v>4127</v>
      </c>
      <c r="AW719">
        <v>2</v>
      </c>
      <c r="AY719" t="s">
        <v>4140</v>
      </c>
      <c r="BA719" t="s">
        <v>4149</v>
      </c>
      <c r="BB719" t="s">
        <v>4154</v>
      </c>
      <c r="BF719" t="s">
        <v>4281</v>
      </c>
      <c r="BG719" t="s">
        <v>4128</v>
      </c>
      <c r="BM719" t="s">
        <v>4627</v>
      </c>
    </row>
    <row r="720" spans="1:65">
      <c r="A720" s="1">
        <f>HYPERLINK("https://lsnyc.legalserver.org/matter/dynamic-profile/view/1898263","19-1898263")</f>
        <v>0</v>
      </c>
      <c r="B720" t="s">
        <v>86</v>
      </c>
      <c r="C720" t="s">
        <v>93</v>
      </c>
      <c r="D720" t="s">
        <v>241</v>
      </c>
      <c r="F720" t="s">
        <v>855</v>
      </c>
      <c r="G720" t="s">
        <v>1385</v>
      </c>
      <c r="H720" t="s">
        <v>1577</v>
      </c>
      <c r="I720" t="s">
        <v>2085</v>
      </c>
      <c r="J720" t="s">
        <v>2205</v>
      </c>
      <c r="K720">
        <v>11233</v>
      </c>
      <c r="N720" t="s">
        <v>2233</v>
      </c>
      <c r="O720" t="s">
        <v>2686</v>
      </c>
      <c r="P720" t="s">
        <v>2930</v>
      </c>
      <c r="R720">
        <v>1</v>
      </c>
      <c r="S720">
        <v>0</v>
      </c>
      <c r="T720">
        <v>3747</v>
      </c>
      <c r="W720">
        <v>468000</v>
      </c>
      <c r="X720" t="s">
        <v>3642</v>
      </c>
      <c r="Y720">
        <v>0</v>
      </c>
      <c r="AA720" t="s">
        <v>70</v>
      </c>
      <c r="AC720" t="s">
        <v>3942</v>
      </c>
      <c r="AD720" t="s">
        <v>4035</v>
      </c>
      <c r="AF720" t="s">
        <v>4061</v>
      </c>
      <c r="AH720" t="s">
        <v>3510</v>
      </c>
      <c r="AJ720" t="s">
        <v>3942</v>
      </c>
      <c r="AK720" t="s">
        <v>4084</v>
      </c>
      <c r="AM720" t="s">
        <v>2230</v>
      </c>
      <c r="AO720">
        <v>1872.98</v>
      </c>
      <c r="AQ720">
        <v>359</v>
      </c>
      <c r="AS720" t="s">
        <v>4113</v>
      </c>
      <c r="AT720" t="s">
        <v>4127</v>
      </c>
      <c r="AW720">
        <v>2</v>
      </c>
      <c r="AY720" t="s">
        <v>4140</v>
      </c>
      <c r="BA720" t="s">
        <v>4149</v>
      </c>
      <c r="BB720" t="s">
        <v>4154</v>
      </c>
      <c r="BF720" t="s">
        <v>4281</v>
      </c>
      <c r="BM720" t="s">
        <v>4627</v>
      </c>
    </row>
    <row r="721" spans="1:65">
      <c r="A721" s="1">
        <f>HYPERLINK("https://lsnyc.legalserver.org/matter/dynamic-profile/view/1891920","19-1891920")</f>
        <v>0</v>
      </c>
      <c r="B721" t="s">
        <v>86</v>
      </c>
      <c r="C721" t="s">
        <v>93</v>
      </c>
      <c r="D721" t="s">
        <v>416</v>
      </c>
      <c r="F721" t="s">
        <v>856</v>
      </c>
      <c r="G721" t="s">
        <v>1386</v>
      </c>
      <c r="H721" t="s">
        <v>1577</v>
      </c>
      <c r="I721" t="s">
        <v>2086</v>
      </c>
      <c r="J721" t="s">
        <v>2205</v>
      </c>
      <c r="K721">
        <v>11233</v>
      </c>
      <c r="N721" t="s">
        <v>2233</v>
      </c>
      <c r="O721" t="s">
        <v>2702</v>
      </c>
      <c r="P721" t="s">
        <v>2930</v>
      </c>
      <c r="R721">
        <v>2</v>
      </c>
      <c r="S721">
        <v>0</v>
      </c>
      <c r="T721">
        <v>473.09</v>
      </c>
      <c r="W721">
        <v>80000</v>
      </c>
      <c r="X721" t="s">
        <v>3643</v>
      </c>
      <c r="Y721">
        <v>0</v>
      </c>
      <c r="AA721" t="s">
        <v>70</v>
      </c>
      <c r="AC721" t="s">
        <v>3942</v>
      </c>
      <c r="AD721" t="s">
        <v>4035</v>
      </c>
      <c r="AF721" t="s">
        <v>4061</v>
      </c>
      <c r="AH721" t="s">
        <v>3510</v>
      </c>
      <c r="AJ721" t="s">
        <v>3942</v>
      </c>
      <c r="AL721" t="s">
        <v>4070</v>
      </c>
      <c r="AM721" t="s">
        <v>2230</v>
      </c>
      <c r="AO721">
        <v>1292.74</v>
      </c>
      <c r="AQ721">
        <v>359</v>
      </c>
      <c r="AS721" t="s">
        <v>4113</v>
      </c>
      <c r="AU721" t="s">
        <v>4128</v>
      </c>
      <c r="AW721">
        <v>27</v>
      </c>
      <c r="AY721" t="s">
        <v>4140</v>
      </c>
      <c r="BA721" t="s">
        <v>4149</v>
      </c>
      <c r="BB721" t="s">
        <v>4154</v>
      </c>
      <c r="BF721" t="s">
        <v>4281</v>
      </c>
      <c r="BM721" t="s">
        <v>4627</v>
      </c>
    </row>
    <row r="722" spans="1:65">
      <c r="A722" s="1">
        <f>HYPERLINK("https://lsnyc.legalserver.org/matter/dynamic-profile/view/1890526","19-1890526")</f>
        <v>0</v>
      </c>
      <c r="B722" t="s">
        <v>86</v>
      </c>
      <c r="C722" t="s">
        <v>93</v>
      </c>
      <c r="D722" t="s">
        <v>414</v>
      </c>
      <c r="F722" t="s">
        <v>589</v>
      </c>
      <c r="G722" t="s">
        <v>1387</v>
      </c>
      <c r="H722" t="s">
        <v>1633</v>
      </c>
      <c r="I722" t="s">
        <v>2087</v>
      </c>
      <c r="J722" t="s">
        <v>2205</v>
      </c>
      <c r="K722">
        <v>11233</v>
      </c>
      <c r="N722" t="s">
        <v>2233</v>
      </c>
      <c r="O722" t="s">
        <v>2703</v>
      </c>
      <c r="P722" t="s">
        <v>2930</v>
      </c>
      <c r="R722">
        <v>2</v>
      </c>
      <c r="S722">
        <v>0</v>
      </c>
      <c r="T722">
        <v>420.19</v>
      </c>
      <c r="W722">
        <v>71054</v>
      </c>
      <c r="X722" t="s">
        <v>3644</v>
      </c>
      <c r="Y722">
        <v>0</v>
      </c>
      <c r="AA722" t="s">
        <v>90</v>
      </c>
      <c r="AC722" t="s">
        <v>3942</v>
      </c>
      <c r="AD722" t="s">
        <v>3847</v>
      </c>
      <c r="AF722" t="s">
        <v>4059</v>
      </c>
      <c r="AH722" t="s">
        <v>4078</v>
      </c>
      <c r="AJ722" t="s">
        <v>3942</v>
      </c>
      <c r="AL722" t="s">
        <v>4088</v>
      </c>
      <c r="AM722" t="s">
        <v>2230</v>
      </c>
      <c r="AO722">
        <v>1027</v>
      </c>
      <c r="AQ722">
        <v>359</v>
      </c>
      <c r="AS722" t="s">
        <v>4113</v>
      </c>
      <c r="AU722" t="s">
        <v>4128</v>
      </c>
      <c r="AW722">
        <v>7</v>
      </c>
      <c r="AY722" t="s">
        <v>4140</v>
      </c>
      <c r="BA722" t="s">
        <v>4149</v>
      </c>
      <c r="BB722" t="s">
        <v>4154</v>
      </c>
      <c r="BC722" t="s">
        <v>4128</v>
      </c>
      <c r="BE722" t="s">
        <v>4159</v>
      </c>
      <c r="BF722" t="s">
        <v>4281</v>
      </c>
      <c r="BG722" t="s">
        <v>4538</v>
      </c>
      <c r="BM722" t="s">
        <v>4627</v>
      </c>
    </row>
    <row r="723" spans="1:65">
      <c r="A723" s="1">
        <f>HYPERLINK("https://lsnyc.legalserver.org/matter/dynamic-profile/view/1898966","19-1898966")</f>
        <v>0</v>
      </c>
      <c r="B723" t="s">
        <v>86</v>
      </c>
      <c r="C723" t="s">
        <v>93</v>
      </c>
      <c r="D723" t="s">
        <v>199</v>
      </c>
      <c r="F723" t="s">
        <v>478</v>
      </c>
      <c r="G723" t="s">
        <v>1288</v>
      </c>
      <c r="H723" t="s">
        <v>1829</v>
      </c>
      <c r="I723" t="s">
        <v>2088</v>
      </c>
      <c r="J723" t="s">
        <v>2205</v>
      </c>
      <c r="K723">
        <v>11233</v>
      </c>
      <c r="N723" t="s">
        <v>2233</v>
      </c>
      <c r="O723" t="s">
        <v>2704</v>
      </c>
      <c r="P723" t="s">
        <v>2930</v>
      </c>
      <c r="R723">
        <v>1</v>
      </c>
      <c r="S723">
        <v>0</v>
      </c>
      <c r="T723">
        <v>264.21</v>
      </c>
      <c r="W723">
        <v>33000</v>
      </c>
      <c r="X723" t="s">
        <v>3624</v>
      </c>
      <c r="Y723">
        <v>0</v>
      </c>
      <c r="AA723" t="s">
        <v>70</v>
      </c>
      <c r="AC723" t="s">
        <v>3942</v>
      </c>
      <c r="AD723" t="s">
        <v>3847</v>
      </c>
      <c r="AF723" t="s">
        <v>4059</v>
      </c>
      <c r="AH723" t="s">
        <v>4078</v>
      </c>
      <c r="AJ723" t="s">
        <v>3942</v>
      </c>
      <c r="AL723" t="s">
        <v>4070</v>
      </c>
      <c r="AM723" t="s">
        <v>2230</v>
      </c>
      <c r="AO723">
        <v>913</v>
      </c>
      <c r="AQ723">
        <v>359</v>
      </c>
      <c r="AS723" t="s">
        <v>4113</v>
      </c>
      <c r="AT723" t="s">
        <v>4127</v>
      </c>
      <c r="AW723">
        <v>20</v>
      </c>
      <c r="AY723" t="s">
        <v>4140</v>
      </c>
      <c r="BA723" t="s">
        <v>4149</v>
      </c>
      <c r="BB723" t="s">
        <v>4154</v>
      </c>
      <c r="BC723" t="s">
        <v>4128</v>
      </c>
      <c r="BF723" t="s">
        <v>4281</v>
      </c>
      <c r="BG723" t="s">
        <v>4538</v>
      </c>
      <c r="BM723" t="s">
        <v>4627</v>
      </c>
    </row>
    <row r="724" spans="1:65">
      <c r="A724" s="1">
        <f>HYPERLINK("https://lsnyc.legalserver.org/matter/dynamic-profile/view/1897535","19-1897535")</f>
        <v>0</v>
      </c>
      <c r="B724" t="s">
        <v>86</v>
      </c>
      <c r="C724" t="s">
        <v>93</v>
      </c>
      <c r="D724" t="s">
        <v>226</v>
      </c>
      <c r="F724" t="s">
        <v>857</v>
      </c>
      <c r="G724" t="s">
        <v>1388</v>
      </c>
      <c r="H724" t="s">
        <v>1633</v>
      </c>
      <c r="I724" t="s">
        <v>2089</v>
      </c>
      <c r="J724" t="s">
        <v>2205</v>
      </c>
      <c r="K724">
        <v>11233</v>
      </c>
      <c r="N724" t="s">
        <v>2233</v>
      </c>
      <c r="O724" t="s">
        <v>2705</v>
      </c>
      <c r="P724" t="s">
        <v>2930</v>
      </c>
      <c r="R724">
        <v>1</v>
      </c>
      <c r="S724">
        <v>0</v>
      </c>
      <c r="T724">
        <v>264.21</v>
      </c>
      <c r="W724">
        <v>33000</v>
      </c>
      <c r="X724" t="s">
        <v>3645</v>
      </c>
      <c r="Y724">
        <v>0</v>
      </c>
      <c r="AA724" t="s">
        <v>90</v>
      </c>
      <c r="AC724" t="s">
        <v>3942</v>
      </c>
      <c r="AD724" t="s">
        <v>4035</v>
      </c>
      <c r="AF724" t="s">
        <v>4061</v>
      </c>
      <c r="AH724" t="s">
        <v>3510</v>
      </c>
      <c r="AJ724" t="s">
        <v>3942</v>
      </c>
      <c r="AL724" t="s">
        <v>4088</v>
      </c>
      <c r="AM724" t="s">
        <v>2230</v>
      </c>
      <c r="AN724" t="s">
        <v>4107</v>
      </c>
      <c r="AO724">
        <v>0</v>
      </c>
      <c r="AQ724">
        <v>359</v>
      </c>
      <c r="AS724" t="s">
        <v>4113</v>
      </c>
      <c r="AT724" t="s">
        <v>4127</v>
      </c>
      <c r="AW724">
        <v>40</v>
      </c>
      <c r="AY724" t="s">
        <v>4140</v>
      </c>
      <c r="BA724" t="s">
        <v>4149</v>
      </c>
      <c r="BB724" t="s">
        <v>4154</v>
      </c>
      <c r="BF724" t="s">
        <v>4281</v>
      </c>
      <c r="BM724" t="s">
        <v>4627</v>
      </c>
    </row>
    <row r="725" spans="1:65">
      <c r="A725" s="1">
        <f>HYPERLINK("https://lsnyc.legalserver.org/matter/dynamic-profile/view/1902042","19-1902042")</f>
        <v>0</v>
      </c>
      <c r="B725" t="s">
        <v>86</v>
      </c>
      <c r="C725" t="s">
        <v>93</v>
      </c>
      <c r="D725" t="s">
        <v>240</v>
      </c>
      <c r="F725" t="s">
        <v>858</v>
      </c>
      <c r="G725" t="s">
        <v>1389</v>
      </c>
      <c r="H725" t="s">
        <v>1829</v>
      </c>
      <c r="I725" t="s">
        <v>2090</v>
      </c>
      <c r="J725" t="s">
        <v>2205</v>
      </c>
      <c r="K725">
        <v>11233</v>
      </c>
      <c r="N725" t="s">
        <v>2233</v>
      </c>
      <c r="O725" t="s">
        <v>2706</v>
      </c>
      <c r="P725" t="s">
        <v>2930</v>
      </c>
      <c r="R725">
        <v>2</v>
      </c>
      <c r="S725">
        <v>0</v>
      </c>
      <c r="T725">
        <v>55.28</v>
      </c>
      <c r="W725">
        <v>9348</v>
      </c>
      <c r="X725" t="s">
        <v>3624</v>
      </c>
      <c r="Y725">
        <v>0</v>
      </c>
      <c r="AA725" t="s">
        <v>70</v>
      </c>
      <c r="AC725" t="s">
        <v>3942</v>
      </c>
      <c r="AD725" t="s">
        <v>3847</v>
      </c>
      <c r="AF725" t="s">
        <v>4059</v>
      </c>
      <c r="AH725" t="s">
        <v>4078</v>
      </c>
      <c r="AJ725" t="s">
        <v>3942</v>
      </c>
      <c r="AL725" t="s">
        <v>4070</v>
      </c>
      <c r="AM725" t="s">
        <v>2230</v>
      </c>
      <c r="AO725">
        <v>879</v>
      </c>
      <c r="AQ725">
        <v>359</v>
      </c>
      <c r="AS725" t="s">
        <v>4113</v>
      </c>
      <c r="AT725" t="s">
        <v>4127</v>
      </c>
      <c r="AW725">
        <v>40</v>
      </c>
      <c r="AY725" t="s">
        <v>4140</v>
      </c>
      <c r="BA725" t="s">
        <v>4149</v>
      </c>
      <c r="BB725" t="s">
        <v>4154</v>
      </c>
      <c r="BC725" t="s">
        <v>4128</v>
      </c>
      <c r="BF725" t="s">
        <v>4281</v>
      </c>
      <c r="BG725" t="s">
        <v>4538</v>
      </c>
      <c r="BM725" t="s">
        <v>4627</v>
      </c>
    </row>
    <row r="726" spans="1:65">
      <c r="A726" s="1">
        <f>HYPERLINK("https://lsnyc.legalserver.org/matter/dynamic-profile/view/1890575","19-1890575")</f>
        <v>0</v>
      </c>
      <c r="B726" t="s">
        <v>86</v>
      </c>
      <c r="C726" t="s">
        <v>93</v>
      </c>
      <c r="D726" t="s">
        <v>414</v>
      </c>
      <c r="F726" t="s">
        <v>859</v>
      </c>
      <c r="G726" t="s">
        <v>1390</v>
      </c>
      <c r="H726" t="s">
        <v>1633</v>
      </c>
      <c r="I726" t="s">
        <v>2091</v>
      </c>
      <c r="J726" t="s">
        <v>2205</v>
      </c>
      <c r="K726">
        <v>11233</v>
      </c>
      <c r="N726" t="s">
        <v>2233</v>
      </c>
      <c r="O726" t="s">
        <v>2707</v>
      </c>
      <c r="P726" t="s">
        <v>2930</v>
      </c>
      <c r="R726">
        <v>1</v>
      </c>
      <c r="S726">
        <v>0</v>
      </c>
      <c r="T726">
        <v>440.35</v>
      </c>
      <c r="W726">
        <v>55000</v>
      </c>
      <c r="X726" t="s">
        <v>3624</v>
      </c>
      <c r="Y726">
        <v>0</v>
      </c>
      <c r="AA726" t="s">
        <v>70</v>
      </c>
      <c r="AC726" t="s">
        <v>3942</v>
      </c>
      <c r="AD726" t="s">
        <v>3847</v>
      </c>
      <c r="AF726" t="s">
        <v>4059</v>
      </c>
      <c r="AH726" t="s">
        <v>4078</v>
      </c>
      <c r="AJ726" t="s">
        <v>3942</v>
      </c>
      <c r="AL726" t="s">
        <v>4070</v>
      </c>
      <c r="AM726" t="s">
        <v>2230</v>
      </c>
      <c r="AO726">
        <v>1094.88</v>
      </c>
      <c r="AQ726">
        <v>359</v>
      </c>
      <c r="AS726" t="s">
        <v>4113</v>
      </c>
      <c r="AU726" t="s">
        <v>4128</v>
      </c>
      <c r="AW726">
        <v>40</v>
      </c>
      <c r="AY726" t="s">
        <v>4140</v>
      </c>
      <c r="BA726" t="s">
        <v>4149</v>
      </c>
      <c r="BB726" t="s">
        <v>4154</v>
      </c>
      <c r="BF726" t="s">
        <v>4281</v>
      </c>
      <c r="BG726" t="s">
        <v>4538</v>
      </c>
      <c r="BM726" t="s">
        <v>4627</v>
      </c>
    </row>
    <row r="727" spans="1:65">
      <c r="A727" s="1">
        <f>HYPERLINK("https://lsnyc.legalserver.org/matter/dynamic-profile/view/1897528","19-1897528")</f>
        <v>0</v>
      </c>
      <c r="B727" t="s">
        <v>86</v>
      </c>
      <c r="C727" t="s">
        <v>93</v>
      </c>
      <c r="D727" t="s">
        <v>226</v>
      </c>
      <c r="F727" t="s">
        <v>486</v>
      </c>
      <c r="G727" t="s">
        <v>1250</v>
      </c>
      <c r="H727" t="s">
        <v>1633</v>
      </c>
      <c r="I727" t="s">
        <v>2092</v>
      </c>
      <c r="J727" t="s">
        <v>2205</v>
      </c>
      <c r="K727">
        <v>11233</v>
      </c>
      <c r="N727" t="s">
        <v>2233</v>
      </c>
      <c r="O727" t="s">
        <v>2708</v>
      </c>
      <c r="P727" t="s">
        <v>2930</v>
      </c>
      <c r="R727">
        <v>1</v>
      </c>
      <c r="S727">
        <v>0</v>
      </c>
      <c r="T727">
        <v>0</v>
      </c>
      <c r="W727">
        <v>0</v>
      </c>
      <c r="X727" t="s">
        <v>3646</v>
      </c>
      <c r="Y727">
        <v>0</v>
      </c>
      <c r="AA727" t="s">
        <v>90</v>
      </c>
      <c r="AC727" t="s">
        <v>3942</v>
      </c>
      <c r="AD727" t="s">
        <v>3847</v>
      </c>
      <c r="AF727" t="s">
        <v>4059</v>
      </c>
      <c r="AH727" t="s">
        <v>4078</v>
      </c>
      <c r="AJ727" t="s">
        <v>3942</v>
      </c>
      <c r="AL727" t="s">
        <v>4088</v>
      </c>
      <c r="AM727" t="s">
        <v>2230</v>
      </c>
      <c r="AO727">
        <v>976.08</v>
      </c>
      <c r="AQ727">
        <v>359</v>
      </c>
      <c r="AS727" t="s">
        <v>4113</v>
      </c>
      <c r="AT727" t="s">
        <v>4127</v>
      </c>
      <c r="AV727" t="s">
        <v>4137</v>
      </c>
      <c r="AW727">
        <v>0</v>
      </c>
      <c r="AY727" t="s">
        <v>4140</v>
      </c>
      <c r="BA727" t="s">
        <v>4149</v>
      </c>
      <c r="BB727" t="s">
        <v>4154</v>
      </c>
      <c r="BF727" t="s">
        <v>4281</v>
      </c>
      <c r="BG727" t="s">
        <v>4538</v>
      </c>
      <c r="BM727" t="s">
        <v>4627</v>
      </c>
    </row>
    <row r="728" spans="1:65">
      <c r="A728" s="1">
        <f>HYPERLINK("https://lsnyc.legalserver.org/matter/dynamic-profile/view/1891590","19-1891590")</f>
        <v>0</v>
      </c>
      <c r="B728" t="s">
        <v>86</v>
      </c>
      <c r="C728" t="s">
        <v>93</v>
      </c>
      <c r="D728" t="s">
        <v>410</v>
      </c>
      <c r="F728" t="s">
        <v>859</v>
      </c>
      <c r="G728" t="s">
        <v>1390</v>
      </c>
      <c r="H728" t="s">
        <v>1633</v>
      </c>
      <c r="I728" t="s">
        <v>2091</v>
      </c>
      <c r="J728" t="s">
        <v>2205</v>
      </c>
      <c r="K728">
        <v>11233</v>
      </c>
      <c r="N728" t="s">
        <v>2233</v>
      </c>
      <c r="O728" t="s">
        <v>2707</v>
      </c>
      <c r="P728" t="s">
        <v>2930</v>
      </c>
      <c r="R728">
        <v>1</v>
      </c>
      <c r="S728">
        <v>0</v>
      </c>
      <c r="T728">
        <v>440.35</v>
      </c>
      <c r="W728">
        <v>55000</v>
      </c>
      <c r="X728" t="s">
        <v>3647</v>
      </c>
      <c r="Y728">
        <v>0</v>
      </c>
      <c r="AA728" t="s">
        <v>70</v>
      </c>
      <c r="AC728" t="s">
        <v>3942</v>
      </c>
      <c r="AD728" t="s">
        <v>4035</v>
      </c>
      <c r="AF728" t="s">
        <v>4061</v>
      </c>
      <c r="AH728" t="s">
        <v>3510</v>
      </c>
      <c r="AJ728" t="s">
        <v>3942</v>
      </c>
      <c r="AL728" t="s">
        <v>4070</v>
      </c>
      <c r="AM728" t="s">
        <v>2230</v>
      </c>
      <c r="AO728">
        <v>1094.88</v>
      </c>
      <c r="AQ728">
        <v>359</v>
      </c>
      <c r="AS728" t="s">
        <v>4113</v>
      </c>
      <c r="AU728" t="s">
        <v>4128</v>
      </c>
      <c r="AW728">
        <v>40</v>
      </c>
      <c r="AY728" t="s">
        <v>4140</v>
      </c>
      <c r="BA728" t="s">
        <v>4149</v>
      </c>
      <c r="BB728" t="s">
        <v>4154</v>
      </c>
      <c r="BF728" t="s">
        <v>4281</v>
      </c>
      <c r="BM728" t="s">
        <v>4627</v>
      </c>
    </row>
    <row r="729" spans="1:65">
      <c r="A729" s="1">
        <f>HYPERLINK("https://lsnyc.legalserver.org/matter/dynamic-profile/view/1901993","19-1901993")</f>
        <v>0</v>
      </c>
      <c r="B729" t="s">
        <v>86</v>
      </c>
      <c r="C729" t="s">
        <v>93</v>
      </c>
      <c r="D729" t="s">
        <v>240</v>
      </c>
      <c r="F729" t="s">
        <v>860</v>
      </c>
      <c r="G729" t="s">
        <v>1391</v>
      </c>
      <c r="H729" t="s">
        <v>1577</v>
      </c>
      <c r="I729" t="s">
        <v>2093</v>
      </c>
      <c r="J729" t="s">
        <v>2205</v>
      </c>
      <c r="K729">
        <v>11233</v>
      </c>
      <c r="N729" t="s">
        <v>2233</v>
      </c>
      <c r="O729" t="s">
        <v>2709</v>
      </c>
      <c r="P729" t="s">
        <v>2930</v>
      </c>
      <c r="R729">
        <v>1</v>
      </c>
      <c r="S729">
        <v>0</v>
      </c>
      <c r="T729">
        <v>0</v>
      </c>
      <c r="W729">
        <v>0</v>
      </c>
      <c r="X729" t="s">
        <v>3624</v>
      </c>
      <c r="Y729">
        <v>0</v>
      </c>
      <c r="AA729" t="s">
        <v>70</v>
      </c>
      <c r="AC729" t="s">
        <v>3942</v>
      </c>
      <c r="AD729" t="s">
        <v>3847</v>
      </c>
      <c r="AF729" t="s">
        <v>4059</v>
      </c>
      <c r="AH729" t="s">
        <v>4078</v>
      </c>
      <c r="AJ729" t="s">
        <v>3942</v>
      </c>
      <c r="AL729" t="s">
        <v>4070</v>
      </c>
      <c r="AM729" t="s">
        <v>2230</v>
      </c>
      <c r="AO729">
        <v>840</v>
      </c>
      <c r="AQ729">
        <v>359</v>
      </c>
      <c r="AS729" t="s">
        <v>4113</v>
      </c>
      <c r="AT729" t="s">
        <v>4127</v>
      </c>
      <c r="AW729">
        <v>9</v>
      </c>
      <c r="AY729" t="s">
        <v>4140</v>
      </c>
      <c r="BA729" t="s">
        <v>4149</v>
      </c>
      <c r="BB729" t="s">
        <v>4154</v>
      </c>
      <c r="BC729" t="s">
        <v>4128</v>
      </c>
      <c r="BF729" t="s">
        <v>4281</v>
      </c>
      <c r="BG729" t="s">
        <v>4539</v>
      </c>
      <c r="BM729" t="s">
        <v>4627</v>
      </c>
    </row>
    <row r="730" spans="1:65">
      <c r="A730" s="1">
        <f>HYPERLINK("https://lsnyc.legalserver.org/matter/dynamic-profile/view/1890587","19-1890587")</f>
        <v>0</v>
      </c>
      <c r="B730" t="s">
        <v>86</v>
      </c>
      <c r="C730" t="s">
        <v>93</v>
      </c>
      <c r="D730" t="s">
        <v>414</v>
      </c>
      <c r="F730" t="s">
        <v>861</v>
      </c>
      <c r="G730" t="s">
        <v>1392</v>
      </c>
      <c r="H730" t="s">
        <v>1633</v>
      </c>
      <c r="I730" t="s">
        <v>2094</v>
      </c>
      <c r="J730" t="s">
        <v>2205</v>
      </c>
      <c r="K730">
        <v>11233</v>
      </c>
      <c r="N730" t="s">
        <v>2233</v>
      </c>
      <c r="O730" t="s">
        <v>2710</v>
      </c>
      <c r="P730" t="s">
        <v>2930</v>
      </c>
      <c r="R730">
        <v>2</v>
      </c>
      <c r="S730">
        <v>2</v>
      </c>
      <c r="T730">
        <v>446.6</v>
      </c>
      <c r="W730">
        <v>115000</v>
      </c>
      <c r="X730" t="s">
        <v>3648</v>
      </c>
      <c r="Y730">
        <v>0</v>
      </c>
      <c r="AA730" t="s">
        <v>90</v>
      </c>
      <c r="AC730" t="s">
        <v>3942</v>
      </c>
      <c r="AD730" t="s">
        <v>3847</v>
      </c>
      <c r="AF730" t="s">
        <v>4059</v>
      </c>
      <c r="AH730" t="s">
        <v>4078</v>
      </c>
      <c r="AJ730" t="s">
        <v>3942</v>
      </c>
      <c r="AL730" t="s">
        <v>4088</v>
      </c>
      <c r="AM730" t="s">
        <v>2230</v>
      </c>
      <c r="AO730">
        <v>1077</v>
      </c>
      <c r="AQ730">
        <v>359</v>
      </c>
      <c r="AS730" t="s">
        <v>4113</v>
      </c>
      <c r="AU730" t="s">
        <v>4128</v>
      </c>
      <c r="AW730">
        <v>12</v>
      </c>
      <c r="AY730" t="s">
        <v>4140</v>
      </c>
      <c r="BA730" t="s">
        <v>4149</v>
      </c>
      <c r="BB730" t="s">
        <v>4154</v>
      </c>
      <c r="BF730" t="s">
        <v>4281</v>
      </c>
      <c r="BG730" t="s">
        <v>4538</v>
      </c>
      <c r="BM730" t="s">
        <v>4627</v>
      </c>
    </row>
    <row r="731" spans="1:65">
      <c r="A731" s="1">
        <f>HYPERLINK("https://lsnyc.legalserver.org/matter/dynamic-profile/view/1902045","19-1902045")</f>
        <v>0</v>
      </c>
      <c r="B731" t="s">
        <v>86</v>
      </c>
      <c r="C731" t="s">
        <v>93</v>
      </c>
      <c r="D731" t="s">
        <v>240</v>
      </c>
      <c r="F731" t="s">
        <v>858</v>
      </c>
      <c r="G731" t="s">
        <v>1389</v>
      </c>
      <c r="H731" t="s">
        <v>1829</v>
      </c>
      <c r="I731" t="s">
        <v>2090</v>
      </c>
      <c r="J731" t="s">
        <v>2205</v>
      </c>
      <c r="K731">
        <v>11233</v>
      </c>
      <c r="N731" t="s">
        <v>2233</v>
      </c>
      <c r="O731" t="s">
        <v>2706</v>
      </c>
      <c r="P731" t="s">
        <v>2930</v>
      </c>
      <c r="R731">
        <v>2</v>
      </c>
      <c r="S731">
        <v>0</v>
      </c>
      <c r="T731">
        <v>55.28</v>
      </c>
      <c r="W731">
        <v>9348</v>
      </c>
      <c r="X731" t="s">
        <v>3649</v>
      </c>
      <c r="Y731">
        <v>0</v>
      </c>
      <c r="AA731" t="s">
        <v>70</v>
      </c>
      <c r="AC731" t="s">
        <v>3942</v>
      </c>
      <c r="AD731" t="s">
        <v>4035</v>
      </c>
      <c r="AF731" t="s">
        <v>4061</v>
      </c>
      <c r="AH731" t="s">
        <v>3510</v>
      </c>
      <c r="AJ731" t="s">
        <v>3942</v>
      </c>
      <c r="AL731" t="s">
        <v>4070</v>
      </c>
      <c r="AM731" t="s">
        <v>2230</v>
      </c>
      <c r="AO731">
        <v>879</v>
      </c>
      <c r="AQ731">
        <v>359</v>
      </c>
      <c r="AS731" t="s">
        <v>4113</v>
      </c>
      <c r="AT731" t="s">
        <v>4127</v>
      </c>
      <c r="AW731">
        <v>40</v>
      </c>
      <c r="AY731" t="s">
        <v>4140</v>
      </c>
      <c r="BA731" t="s">
        <v>4149</v>
      </c>
      <c r="BB731" t="s">
        <v>4154</v>
      </c>
      <c r="BC731" t="s">
        <v>4128</v>
      </c>
      <c r="BF731" t="s">
        <v>4281</v>
      </c>
      <c r="BG731" t="s">
        <v>4054</v>
      </c>
      <c r="BM731" t="s">
        <v>4627</v>
      </c>
    </row>
    <row r="732" spans="1:65">
      <c r="A732" s="1">
        <f>HYPERLINK("https://lsnyc.legalserver.org/matter/dynamic-profile/view/1891597","19-1891597")</f>
        <v>0</v>
      </c>
      <c r="B732" t="s">
        <v>86</v>
      </c>
      <c r="C732" t="s">
        <v>93</v>
      </c>
      <c r="D732" t="s">
        <v>410</v>
      </c>
      <c r="F732" t="s">
        <v>862</v>
      </c>
      <c r="G732" t="s">
        <v>1393</v>
      </c>
      <c r="H732" t="s">
        <v>1633</v>
      </c>
      <c r="I732" t="s">
        <v>1987</v>
      </c>
      <c r="J732" t="s">
        <v>2205</v>
      </c>
      <c r="K732">
        <v>11233</v>
      </c>
      <c r="N732" t="s">
        <v>2233</v>
      </c>
      <c r="O732" t="s">
        <v>2711</v>
      </c>
      <c r="P732" t="s">
        <v>2930</v>
      </c>
      <c r="R732">
        <v>2</v>
      </c>
      <c r="S732">
        <v>0</v>
      </c>
      <c r="T732">
        <v>437.61</v>
      </c>
      <c r="W732">
        <v>74000</v>
      </c>
      <c r="X732" t="s">
        <v>3650</v>
      </c>
      <c r="Y732">
        <v>0</v>
      </c>
      <c r="AA732" t="s">
        <v>70</v>
      </c>
      <c r="AC732" t="s">
        <v>3942</v>
      </c>
      <c r="AD732" t="s">
        <v>4035</v>
      </c>
      <c r="AF732" t="s">
        <v>4061</v>
      </c>
      <c r="AH732" t="s">
        <v>3510</v>
      </c>
      <c r="AJ732" t="s">
        <v>3942</v>
      </c>
      <c r="AL732" t="s">
        <v>4088</v>
      </c>
      <c r="AM732" t="s">
        <v>2230</v>
      </c>
      <c r="AO732">
        <v>1520</v>
      </c>
      <c r="AQ732">
        <v>359</v>
      </c>
      <c r="AS732" t="s">
        <v>4113</v>
      </c>
      <c r="AU732" t="s">
        <v>4128</v>
      </c>
      <c r="AW732">
        <v>2</v>
      </c>
      <c r="AY732" t="s">
        <v>4140</v>
      </c>
      <c r="BA732" t="s">
        <v>4149</v>
      </c>
      <c r="BB732" t="s">
        <v>4154</v>
      </c>
      <c r="BF732" t="s">
        <v>4281</v>
      </c>
      <c r="BM732" t="s">
        <v>4627</v>
      </c>
    </row>
    <row r="733" spans="1:65">
      <c r="A733" s="1">
        <f>HYPERLINK("https://lsnyc.legalserver.org/matter/dynamic-profile/view/1835050","17-1835050")</f>
        <v>0</v>
      </c>
      <c r="B733" t="s">
        <v>86</v>
      </c>
      <c r="C733" t="s">
        <v>93</v>
      </c>
      <c r="D733" t="s">
        <v>417</v>
      </c>
      <c r="F733" t="s">
        <v>625</v>
      </c>
      <c r="G733" t="s">
        <v>1082</v>
      </c>
      <c r="H733" t="s">
        <v>1830</v>
      </c>
      <c r="I733" t="s">
        <v>1945</v>
      </c>
      <c r="J733" t="s">
        <v>2205</v>
      </c>
      <c r="K733">
        <v>11207</v>
      </c>
      <c r="N733" t="s">
        <v>2233</v>
      </c>
      <c r="O733" t="s">
        <v>2712</v>
      </c>
      <c r="Q733" t="s">
        <v>3325</v>
      </c>
      <c r="R733">
        <v>2</v>
      </c>
      <c r="S733">
        <v>0</v>
      </c>
      <c r="T733">
        <v>55.86</v>
      </c>
      <c r="W733">
        <v>9072</v>
      </c>
      <c r="X733" t="s">
        <v>3473</v>
      </c>
      <c r="Y733">
        <v>10.65</v>
      </c>
      <c r="Z733" t="s">
        <v>263</v>
      </c>
      <c r="AA733" t="s">
        <v>3900</v>
      </c>
      <c r="AC733" t="s">
        <v>3942</v>
      </c>
      <c r="AD733" t="s">
        <v>417</v>
      </c>
      <c r="AF733" t="s">
        <v>4058</v>
      </c>
      <c r="AH733" t="s">
        <v>4076</v>
      </c>
      <c r="AJ733" t="s">
        <v>3942</v>
      </c>
      <c r="AL733" t="s">
        <v>4089</v>
      </c>
      <c r="AM733" t="s">
        <v>2230</v>
      </c>
      <c r="AO733">
        <v>1365</v>
      </c>
      <c r="AQ733">
        <v>6</v>
      </c>
      <c r="AS733" t="s">
        <v>4113</v>
      </c>
      <c r="AU733" t="s">
        <v>4130</v>
      </c>
      <c r="AW733">
        <v>7</v>
      </c>
      <c r="AY733" t="s">
        <v>4140</v>
      </c>
      <c r="BB733" t="s">
        <v>4154</v>
      </c>
      <c r="BD733" t="s">
        <v>4157</v>
      </c>
      <c r="BE733" t="s">
        <v>4246</v>
      </c>
      <c r="BF733" t="s">
        <v>4281</v>
      </c>
      <c r="BG733" t="s">
        <v>4540</v>
      </c>
      <c r="BM733" t="s">
        <v>4627</v>
      </c>
    </row>
    <row r="734" spans="1:65">
      <c r="A734" s="1">
        <f>HYPERLINK("https://lsnyc.legalserver.org/matter/dynamic-profile/view/1891713","19-1891713")</f>
        <v>0</v>
      </c>
      <c r="B734" t="s">
        <v>86</v>
      </c>
      <c r="C734" t="s">
        <v>93</v>
      </c>
      <c r="D734" t="s">
        <v>410</v>
      </c>
      <c r="F734" t="s">
        <v>863</v>
      </c>
      <c r="G734" t="s">
        <v>1288</v>
      </c>
      <c r="H734" t="s">
        <v>1577</v>
      </c>
      <c r="I734" t="s">
        <v>2095</v>
      </c>
      <c r="J734" t="s">
        <v>2205</v>
      </c>
      <c r="K734">
        <v>11233</v>
      </c>
      <c r="N734" t="s">
        <v>2233</v>
      </c>
      <c r="O734" t="s">
        <v>2713</v>
      </c>
      <c r="Q734" t="s">
        <v>3326</v>
      </c>
      <c r="R734">
        <v>2</v>
      </c>
      <c r="S734">
        <v>4</v>
      </c>
      <c r="T734">
        <v>57.82</v>
      </c>
      <c r="W734">
        <v>20000</v>
      </c>
      <c r="X734" t="s">
        <v>3651</v>
      </c>
      <c r="Y734">
        <v>0</v>
      </c>
      <c r="AA734" t="s">
        <v>90</v>
      </c>
      <c r="AC734" t="s">
        <v>3942</v>
      </c>
      <c r="AD734" t="s">
        <v>4035</v>
      </c>
      <c r="AF734" t="s">
        <v>4061</v>
      </c>
      <c r="AH734" t="s">
        <v>3510</v>
      </c>
      <c r="AJ734" t="s">
        <v>3942</v>
      </c>
      <c r="AK734" t="s">
        <v>4084</v>
      </c>
      <c r="AM734" t="s">
        <v>2230</v>
      </c>
      <c r="AO734">
        <v>1036</v>
      </c>
      <c r="AQ734">
        <v>359</v>
      </c>
      <c r="AS734" t="s">
        <v>4113</v>
      </c>
      <c r="AU734" t="s">
        <v>4129</v>
      </c>
      <c r="AW734">
        <v>13</v>
      </c>
      <c r="AY734" t="s">
        <v>4140</v>
      </c>
      <c r="BA734" t="s">
        <v>4149</v>
      </c>
      <c r="BB734" t="s">
        <v>4154</v>
      </c>
      <c r="BF734" t="s">
        <v>4281</v>
      </c>
      <c r="BG734" t="s">
        <v>4159</v>
      </c>
      <c r="BM734" t="s">
        <v>4627</v>
      </c>
    </row>
    <row r="735" spans="1:65">
      <c r="A735" s="1">
        <f>HYPERLINK("https://lsnyc.legalserver.org/matter/dynamic-profile/view/1914829","19-1914829")</f>
        <v>0</v>
      </c>
      <c r="B735" t="s">
        <v>86</v>
      </c>
      <c r="C735" t="s">
        <v>93</v>
      </c>
      <c r="D735" t="s">
        <v>357</v>
      </c>
      <c r="F735" t="s">
        <v>552</v>
      </c>
      <c r="G735" t="s">
        <v>1394</v>
      </c>
      <c r="H735" t="s">
        <v>1830</v>
      </c>
      <c r="I735" t="s">
        <v>1922</v>
      </c>
      <c r="J735" t="s">
        <v>2205</v>
      </c>
      <c r="K735">
        <v>11207</v>
      </c>
      <c r="N735" t="s">
        <v>2233</v>
      </c>
      <c r="O735" t="s">
        <v>2714</v>
      </c>
      <c r="P735" t="s">
        <v>2930</v>
      </c>
      <c r="R735">
        <v>1</v>
      </c>
      <c r="S735">
        <v>3</v>
      </c>
      <c r="T735">
        <v>58.36</v>
      </c>
      <c r="W735">
        <v>15026.96</v>
      </c>
      <c r="Y735">
        <v>0.8</v>
      </c>
      <c r="Z735" t="s">
        <v>457</v>
      </c>
      <c r="AA735" t="s">
        <v>86</v>
      </c>
      <c r="AC735" t="s">
        <v>3942</v>
      </c>
      <c r="AD735" t="s">
        <v>173</v>
      </c>
      <c r="AF735" t="s">
        <v>4054</v>
      </c>
      <c r="AH735" t="s">
        <v>3510</v>
      </c>
      <c r="AJ735" t="s">
        <v>3943</v>
      </c>
      <c r="AL735" t="s">
        <v>4086</v>
      </c>
      <c r="AM735" t="s">
        <v>2230</v>
      </c>
      <c r="AO735">
        <v>960</v>
      </c>
      <c r="AQ735">
        <v>6</v>
      </c>
      <c r="AS735" t="s">
        <v>4113</v>
      </c>
      <c r="AT735" t="s">
        <v>4127</v>
      </c>
      <c r="AW735">
        <v>8</v>
      </c>
      <c r="AY735" t="s">
        <v>4140</v>
      </c>
      <c r="BC735" t="s">
        <v>4155</v>
      </c>
      <c r="BF735" t="s">
        <v>4281</v>
      </c>
      <c r="BM735" t="s">
        <v>4627</v>
      </c>
    </row>
    <row r="736" spans="1:65">
      <c r="A736" s="1">
        <f>HYPERLINK("https://lsnyc.legalserver.org/matter/dynamic-profile/view/1902020","19-1902020")</f>
        <v>0</v>
      </c>
      <c r="B736" t="s">
        <v>86</v>
      </c>
      <c r="C736" t="s">
        <v>93</v>
      </c>
      <c r="D736" t="s">
        <v>240</v>
      </c>
      <c r="F736" t="s">
        <v>685</v>
      </c>
      <c r="G736" t="s">
        <v>1395</v>
      </c>
      <c r="H736" t="s">
        <v>1577</v>
      </c>
      <c r="I736" t="s">
        <v>2096</v>
      </c>
      <c r="J736" t="s">
        <v>2205</v>
      </c>
      <c r="K736">
        <v>11233</v>
      </c>
      <c r="N736" t="s">
        <v>2233</v>
      </c>
      <c r="O736" t="s">
        <v>2715</v>
      </c>
      <c r="P736" t="s">
        <v>2930</v>
      </c>
      <c r="R736">
        <v>1</v>
      </c>
      <c r="S736">
        <v>0</v>
      </c>
      <c r="T736">
        <v>0</v>
      </c>
      <c r="W736">
        <v>0</v>
      </c>
      <c r="X736" t="s">
        <v>3624</v>
      </c>
      <c r="Y736">
        <v>0</v>
      </c>
      <c r="AA736" t="s">
        <v>70</v>
      </c>
      <c r="AC736" t="s">
        <v>3942</v>
      </c>
      <c r="AD736" t="s">
        <v>3847</v>
      </c>
      <c r="AF736" t="s">
        <v>4059</v>
      </c>
      <c r="AH736" t="s">
        <v>4078</v>
      </c>
      <c r="AJ736" t="s">
        <v>3942</v>
      </c>
      <c r="AL736" t="s">
        <v>4070</v>
      </c>
      <c r="AM736" t="s">
        <v>2230</v>
      </c>
      <c r="AO736">
        <v>1126</v>
      </c>
      <c r="AQ736">
        <v>359</v>
      </c>
      <c r="AS736" t="s">
        <v>4113</v>
      </c>
      <c r="AT736" t="s">
        <v>4127</v>
      </c>
      <c r="AW736">
        <v>45</v>
      </c>
      <c r="AY736" t="s">
        <v>4140</v>
      </c>
      <c r="BA736" t="s">
        <v>4149</v>
      </c>
      <c r="BB736" t="s">
        <v>4154</v>
      </c>
      <c r="BC736" t="s">
        <v>4128</v>
      </c>
      <c r="BF736" t="s">
        <v>4281</v>
      </c>
      <c r="BG736" t="s">
        <v>4539</v>
      </c>
      <c r="BM736" t="s">
        <v>4627</v>
      </c>
    </row>
    <row r="737" spans="1:65">
      <c r="A737" s="1">
        <f>HYPERLINK("https://lsnyc.legalserver.org/matter/dynamic-profile/view/1902158","19-1902158")</f>
        <v>0</v>
      </c>
      <c r="B737" t="s">
        <v>86</v>
      </c>
      <c r="C737" t="s">
        <v>93</v>
      </c>
      <c r="D737" t="s">
        <v>216</v>
      </c>
      <c r="F737" t="s">
        <v>864</v>
      </c>
      <c r="G737" t="s">
        <v>1396</v>
      </c>
      <c r="H737" t="s">
        <v>1577</v>
      </c>
      <c r="I737" t="s">
        <v>2097</v>
      </c>
      <c r="J737" t="s">
        <v>2205</v>
      </c>
      <c r="K737">
        <v>11233</v>
      </c>
      <c r="N737" t="s">
        <v>2233</v>
      </c>
      <c r="O737" t="s">
        <v>2686</v>
      </c>
      <c r="P737" t="s">
        <v>2930</v>
      </c>
      <c r="R737">
        <v>3</v>
      </c>
      <c r="S737">
        <v>4</v>
      </c>
      <c r="T737">
        <v>17.94</v>
      </c>
      <c r="W737">
        <v>7000</v>
      </c>
      <c r="X737" t="s">
        <v>3624</v>
      </c>
      <c r="Y737">
        <v>0</v>
      </c>
      <c r="AA737" t="s">
        <v>70</v>
      </c>
      <c r="AC737" t="s">
        <v>3942</v>
      </c>
      <c r="AD737" t="s">
        <v>3847</v>
      </c>
      <c r="AF737" t="s">
        <v>4059</v>
      </c>
      <c r="AH737" t="s">
        <v>4078</v>
      </c>
      <c r="AJ737" t="s">
        <v>3942</v>
      </c>
      <c r="AL737" t="s">
        <v>4070</v>
      </c>
      <c r="AM737" t="s">
        <v>2230</v>
      </c>
      <c r="AO737">
        <v>1170</v>
      </c>
      <c r="AQ737">
        <v>359</v>
      </c>
      <c r="AS737" t="s">
        <v>4113</v>
      </c>
      <c r="AT737" t="s">
        <v>4127</v>
      </c>
      <c r="AW737">
        <v>29</v>
      </c>
      <c r="AY737" t="s">
        <v>4140</v>
      </c>
      <c r="BA737" t="s">
        <v>4149</v>
      </c>
      <c r="BB737" t="s">
        <v>4154</v>
      </c>
      <c r="BC737" t="s">
        <v>4128</v>
      </c>
      <c r="BF737" t="s">
        <v>4281</v>
      </c>
      <c r="BG737" t="s">
        <v>4539</v>
      </c>
      <c r="BM737" t="s">
        <v>4627</v>
      </c>
    </row>
    <row r="738" spans="1:65">
      <c r="A738" s="1">
        <f>HYPERLINK("https://lsnyc.legalserver.org/matter/dynamic-profile/view/1893258","19-1893258")</f>
        <v>0</v>
      </c>
      <c r="B738" t="s">
        <v>86</v>
      </c>
      <c r="C738" t="s">
        <v>93</v>
      </c>
      <c r="D738" t="s">
        <v>418</v>
      </c>
      <c r="F738" t="s">
        <v>865</v>
      </c>
      <c r="G738" t="s">
        <v>1039</v>
      </c>
      <c r="H738" t="s">
        <v>1633</v>
      </c>
      <c r="I738" t="s">
        <v>1920</v>
      </c>
      <c r="J738" t="s">
        <v>2205</v>
      </c>
      <c r="K738">
        <v>11233</v>
      </c>
      <c r="N738" t="s">
        <v>2233</v>
      </c>
      <c r="O738" t="s">
        <v>2716</v>
      </c>
      <c r="P738" t="s">
        <v>2930</v>
      </c>
      <c r="R738">
        <v>1</v>
      </c>
      <c r="S738">
        <v>0</v>
      </c>
      <c r="T738">
        <v>454.64</v>
      </c>
      <c r="W738">
        <v>56784</v>
      </c>
      <c r="X738" t="s">
        <v>3652</v>
      </c>
      <c r="Y738">
        <v>0</v>
      </c>
      <c r="AA738" t="s">
        <v>90</v>
      </c>
      <c r="AC738" t="s">
        <v>3942</v>
      </c>
      <c r="AD738" t="s">
        <v>3847</v>
      </c>
      <c r="AF738" t="s">
        <v>4059</v>
      </c>
      <c r="AH738" t="s">
        <v>4078</v>
      </c>
      <c r="AJ738" t="s">
        <v>3942</v>
      </c>
      <c r="AL738" t="s">
        <v>4070</v>
      </c>
      <c r="AM738" t="s">
        <v>2230</v>
      </c>
      <c r="AO738">
        <v>1515</v>
      </c>
      <c r="AQ738">
        <v>359</v>
      </c>
      <c r="AS738" t="s">
        <v>4113</v>
      </c>
      <c r="AU738" t="s">
        <v>4128</v>
      </c>
      <c r="AW738">
        <v>2</v>
      </c>
      <c r="AY738" t="s">
        <v>4140</v>
      </c>
      <c r="BA738" t="s">
        <v>4149</v>
      </c>
      <c r="BB738" t="s">
        <v>4154</v>
      </c>
      <c r="BE738" t="s">
        <v>4128</v>
      </c>
      <c r="BF738" t="s">
        <v>4281</v>
      </c>
      <c r="BG738" t="s">
        <v>4538</v>
      </c>
      <c r="BM738" t="s">
        <v>4627</v>
      </c>
    </row>
    <row r="739" spans="1:65">
      <c r="A739" s="1">
        <f>HYPERLINK("https://lsnyc.legalserver.org/matter/dynamic-profile/view/1893262","19-1893262")</f>
        <v>0</v>
      </c>
      <c r="B739" t="s">
        <v>86</v>
      </c>
      <c r="C739" t="s">
        <v>93</v>
      </c>
      <c r="D739" t="s">
        <v>418</v>
      </c>
      <c r="F739" t="s">
        <v>865</v>
      </c>
      <c r="G739" t="s">
        <v>1039</v>
      </c>
      <c r="H739" t="s">
        <v>1633</v>
      </c>
      <c r="I739" t="s">
        <v>1920</v>
      </c>
      <c r="J739" t="s">
        <v>2205</v>
      </c>
      <c r="K739">
        <v>11233</v>
      </c>
      <c r="N739" t="s">
        <v>2233</v>
      </c>
      <c r="O739" t="s">
        <v>2716</v>
      </c>
      <c r="P739" t="s">
        <v>2930</v>
      </c>
      <c r="R739">
        <v>1</v>
      </c>
      <c r="S739">
        <v>0</v>
      </c>
      <c r="T739">
        <v>454.64</v>
      </c>
      <c r="W739">
        <v>56784</v>
      </c>
      <c r="X739" t="s">
        <v>3653</v>
      </c>
      <c r="Y739">
        <v>0</v>
      </c>
      <c r="AA739" t="s">
        <v>90</v>
      </c>
      <c r="AC739" t="s">
        <v>3942</v>
      </c>
      <c r="AD739" t="s">
        <v>4035</v>
      </c>
      <c r="AF739" t="s">
        <v>4061</v>
      </c>
      <c r="AH739" t="s">
        <v>3510</v>
      </c>
      <c r="AJ739" t="s">
        <v>3942</v>
      </c>
      <c r="AL739" t="s">
        <v>4070</v>
      </c>
      <c r="AM739" t="s">
        <v>2230</v>
      </c>
      <c r="AO739">
        <v>1515</v>
      </c>
      <c r="AQ739">
        <v>359</v>
      </c>
      <c r="AS739" t="s">
        <v>4113</v>
      </c>
      <c r="AU739" t="s">
        <v>4128</v>
      </c>
      <c r="AW739">
        <v>2</v>
      </c>
      <c r="AY739" t="s">
        <v>4140</v>
      </c>
      <c r="BA739" t="s">
        <v>4149</v>
      </c>
      <c r="BB739" t="s">
        <v>4154</v>
      </c>
      <c r="BF739" t="s">
        <v>4281</v>
      </c>
      <c r="BG739" t="s">
        <v>4128</v>
      </c>
      <c r="BM739" t="s">
        <v>4627</v>
      </c>
    </row>
    <row r="740" spans="1:65">
      <c r="A740" s="1">
        <f>HYPERLINK("https://lsnyc.legalserver.org/matter/dynamic-profile/view/1895618","19-1895618")</f>
        <v>0</v>
      </c>
      <c r="B740" t="s">
        <v>86</v>
      </c>
      <c r="C740" t="s">
        <v>93</v>
      </c>
      <c r="D740" t="s">
        <v>175</v>
      </c>
      <c r="F740" t="s">
        <v>677</v>
      </c>
      <c r="G740" t="s">
        <v>1397</v>
      </c>
      <c r="H740" t="s">
        <v>1582</v>
      </c>
      <c r="I740">
        <v>23</v>
      </c>
      <c r="J740" t="s">
        <v>2205</v>
      </c>
      <c r="K740">
        <v>11213</v>
      </c>
      <c r="N740" t="s">
        <v>2233</v>
      </c>
      <c r="O740" t="s">
        <v>2717</v>
      </c>
      <c r="P740" t="s">
        <v>2930</v>
      </c>
      <c r="R740">
        <v>2</v>
      </c>
      <c r="S740">
        <v>0</v>
      </c>
      <c r="T740">
        <v>238.79</v>
      </c>
      <c r="U740" t="s">
        <v>453</v>
      </c>
      <c r="V740" t="s">
        <v>3458</v>
      </c>
      <c r="W740">
        <v>40380</v>
      </c>
      <c r="Y740">
        <v>55</v>
      </c>
      <c r="Z740" t="s">
        <v>173</v>
      </c>
      <c r="AA740" t="s">
        <v>70</v>
      </c>
      <c r="AC740" t="s">
        <v>3942</v>
      </c>
      <c r="AD740" t="s">
        <v>158</v>
      </c>
      <c r="AF740" t="s">
        <v>4053</v>
      </c>
      <c r="AH740" t="s">
        <v>4076</v>
      </c>
      <c r="AJ740" t="s">
        <v>3943</v>
      </c>
      <c r="AL740" t="s">
        <v>4089</v>
      </c>
      <c r="AM740" t="s">
        <v>2230</v>
      </c>
      <c r="AO740">
        <v>1513.39</v>
      </c>
      <c r="AQ740">
        <v>31</v>
      </c>
      <c r="AS740" t="s">
        <v>4113</v>
      </c>
      <c r="AU740" t="s">
        <v>4128</v>
      </c>
      <c r="AW740">
        <v>9</v>
      </c>
      <c r="AY740" t="s">
        <v>4140</v>
      </c>
      <c r="BB740" t="s">
        <v>4154</v>
      </c>
      <c r="BG740" t="s">
        <v>4541</v>
      </c>
      <c r="BM740" t="s">
        <v>4627</v>
      </c>
    </row>
    <row r="741" spans="1:65">
      <c r="A741" s="1">
        <f>HYPERLINK("https://lsnyc.legalserver.org/matter/dynamic-profile/view/1891610","19-1891610")</f>
        <v>0</v>
      </c>
      <c r="B741" t="s">
        <v>86</v>
      </c>
      <c r="C741" t="s">
        <v>93</v>
      </c>
      <c r="D741" t="s">
        <v>410</v>
      </c>
      <c r="F741" t="s">
        <v>861</v>
      </c>
      <c r="G741" t="s">
        <v>1392</v>
      </c>
      <c r="H741" t="s">
        <v>1633</v>
      </c>
      <c r="I741" t="s">
        <v>2094</v>
      </c>
      <c r="J741" t="s">
        <v>2205</v>
      </c>
      <c r="K741">
        <v>11233</v>
      </c>
      <c r="N741" t="s">
        <v>2233</v>
      </c>
      <c r="O741" t="s">
        <v>2710</v>
      </c>
      <c r="P741" t="s">
        <v>2930</v>
      </c>
      <c r="R741">
        <v>2</v>
      </c>
      <c r="S741">
        <v>2</v>
      </c>
      <c r="T741">
        <v>446.6</v>
      </c>
      <c r="W741">
        <v>115000</v>
      </c>
      <c r="X741" t="s">
        <v>3654</v>
      </c>
      <c r="Y741">
        <v>0</v>
      </c>
      <c r="AA741" t="s">
        <v>70</v>
      </c>
      <c r="AC741" t="s">
        <v>3942</v>
      </c>
      <c r="AD741" t="s">
        <v>4035</v>
      </c>
      <c r="AF741" t="s">
        <v>4061</v>
      </c>
      <c r="AH741" t="s">
        <v>3510</v>
      </c>
      <c r="AJ741" t="s">
        <v>3942</v>
      </c>
      <c r="AL741" t="s">
        <v>4088</v>
      </c>
      <c r="AM741" t="s">
        <v>2230</v>
      </c>
      <c r="AO741">
        <v>1077</v>
      </c>
      <c r="AQ741">
        <v>359</v>
      </c>
      <c r="AS741" t="s">
        <v>4113</v>
      </c>
      <c r="AU741" t="s">
        <v>4128</v>
      </c>
      <c r="AW741">
        <v>12</v>
      </c>
      <c r="AY741" t="s">
        <v>4140</v>
      </c>
      <c r="BA741" t="s">
        <v>4149</v>
      </c>
      <c r="BB741" t="s">
        <v>4154</v>
      </c>
      <c r="BF741" t="s">
        <v>4281</v>
      </c>
      <c r="BM741" t="s">
        <v>4627</v>
      </c>
    </row>
    <row r="742" spans="1:65">
      <c r="A742" s="1">
        <f>HYPERLINK("https://lsnyc.legalserver.org/matter/dynamic-profile/view/1890581","19-1890581")</f>
        <v>0</v>
      </c>
      <c r="B742" t="s">
        <v>86</v>
      </c>
      <c r="C742" t="s">
        <v>93</v>
      </c>
      <c r="D742" t="s">
        <v>414</v>
      </c>
      <c r="F742" t="s">
        <v>862</v>
      </c>
      <c r="G742" t="s">
        <v>1393</v>
      </c>
      <c r="H742" t="s">
        <v>1633</v>
      </c>
      <c r="I742" t="s">
        <v>1987</v>
      </c>
      <c r="J742" t="s">
        <v>2205</v>
      </c>
      <c r="K742">
        <v>11233</v>
      </c>
      <c r="N742" t="s">
        <v>2233</v>
      </c>
      <c r="O742" t="s">
        <v>2711</v>
      </c>
      <c r="P742" t="s">
        <v>2930</v>
      </c>
      <c r="R742">
        <v>2</v>
      </c>
      <c r="S742">
        <v>0</v>
      </c>
      <c r="T742">
        <v>437.61</v>
      </c>
      <c r="W742">
        <v>74000</v>
      </c>
      <c r="X742" t="s">
        <v>3648</v>
      </c>
      <c r="Y742">
        <v>0</v>
      </c>
      <c r="AA742" t="s">
        <v>90</v>
      </c>
      <c r="AC742" t="s">
        <v>3942</v>
      </c>
      <c r="AD742" t="s">
        <v>3847</v>
      </c>
      <c r="AF742" t="s">
        <v>4059</v>
      </c>
      <c r="AH742" t="s">
        <v>4078</v>
      </c>
      <c r="AJ742" t="s">
        <v>3942</v>
      </c>
      <c r="AL742" t="s">
        <v>4088</v>
      </c>
      <c r="AM742" t="s">
        <v>2230</v>
      </c>
      <c r="AO742">
        <v>1520</v>
      </c>
      <c r="AQ742">
        <v>359</v>
      </c>
      <c r="AS742" t="s">
        <v>4113</v>
      </c>
      <c r="AU742" t="s">
        <v>4128</v>
      </c>
      <c r="AW742">
        <v>2</v>
      </c>
      <c r="AY742" t="s">
        <v>4140</v>
      </c>
      <c r="BA742" t="s">
        <v>4149</v>
      </c>
      <c r="BB742" t="s">
        <v>4154</v>
      </c>
      <c r="BF742" t="s">
        <v>4281</v>
      </c>
      <c r="BG742" t="s">
        <v>4538</v>
      </c>
      <c r="BM742" t="s">
        <v>4627</v>
      </c>
    </row>
    <row r="743" spans="1:65">
      <c r="A743" s="1">
        <f>HYPERLINK("https://lsnyc.legalserver.org/matter/dynamic-profile/view/1891485","19-1891485")</f>
        <v>0</v>
      </c>
      <c r="B743" t="s">
        <v>86</v>
      </c>
      <c r="C743" t="s">
        <v>93</v>
      </c>
      <c r="D743" t="s">
        <v>407</v>
      </c>
      <c r="F743" t="s">
        <v>866</v>
      </c>
      <c r="G743" t="s">
        <v>1204</v>
      </c>
      <c r="H743" t="s">
        <v>1633</v>
      </c>
      <c r="I743" t="s">
        <v>1931</v>
      </c>
      <c r="J743" t="s">
        <v>2205</v>
      </c>
      <c r="K743">
        <v>11233</v>
      </c>
      <c r="N743" t="s">
        <v>2233</v>
      </c>
      <c r="O743" t="s">
        <v>2718</v>
      </c>
      <c r="P743" t="s">
        <v>2930</v>
      </c>
      <c r="R743">
        <v>2</v>
      </c>
      <c r="S743">
        <v>0</v>
      </c>
      <c r="T743">
        <v>435.02</v>
      </c>
      <c r="W743">
        <v>73562</v>
      </c>
      <c r="X743" t="s">
        <v>3655</v>
      </c>
      <c r="Y743">
        <v>0</v>
      </c>
      <c r="AA743" t="s">
        <v>70</v>
      </c>
      <c r="AC743" t="s">
        <v>3942</v>
      </c>
      <c r="AD743" t="s">
        <v>4035</v>
      </c>
      <c r="AF743" t="s">
        <v>4061</v>
      </c>
      <c r="AH743" t="s">
        <v>3510</v>
      </c>
      <c r="AJ743" t="s">
        <v>3942</v>
      </c>
      <c r="AL743" t="s">
        <v>4088</v>
      </c>
      <c r="AM743" t="s">
        <v>2230</v>
      </c>
      <c r="AO743">
        <v>1016</v>
      </c>
      <c r="AQ743">
        <v>359</v>
      </c>
      <c r="AS743" t="s">
        <v>4113</v>
      </c>
      <c r="AU743" t="s">
        <v>4128</v>
      </c>
      <c r="AW743">
        <v>30</v>
      </c>
      <c r="AY743" t="s">
        <v>4140</v>
      </c>
      <c r="BA743" t="s">
        <v>4149</v>
      </c>
      <c r="BB743" t="s">
        <v>4154</v>
      </c>
      <c r="BF743" t="s">
        <v>4281</v>
      </c>
      <c r="BM743" t="s">
        <v>4627</v>
      </c>
    </row>
    <row r="744" spans="1:65">
      <c r="A744" s="1">
        <f>HYPERLINK("https://lsnyc.legalserver.org/matter/dynamic-profile/view/1880023","18-1880023")</f>
        <v>0</v>
      </c>
      <c r="B744" t="s">
        <v>86</v>
      </c>
      <c r="C744" t="s">
        <v>93</v>
      </c>
      <c r="D744" t="s">
        <v>179</v>
      </c>
      <c r="F744" t="s">
        <v>625</v>
      </c>
      <c r="G744" t="s">
        <v>1082</v>
      </c>
      <c r="H744" t="s">
        <v>1830</v>
      </c>
      <c r="I744" t="s">
        <v>1945</v>
      </c>
      <c r="J744" t="s">
        <v>2205</v>
      </c>
      <c r="K744">
        <v>11207</v>
      </c>
      <c r="N744" t="s">
        <v>2233</v>
      </c>
      <c r="O744" t="s">
        <v>2712</v>
      </c>
      <c r="Q744" t="s">
        <v>3325</v>
      </c>
      <c r="R744">
        <v>2</v>
      </c>
      <c r="S744">
        <v>0</v>
      </c>
      <c r="T744">
        <v>55.12</v>
      </c>
      <c r="W744">
        <v>9072</v>
      </c>
      <c r="X744" t="s">
        <v>3656</v>
      </c>
      <c r="Y744">
        <v>0.5</v>
      </c>
      <c r="Z744" t="s">
        <v>282</v>
      </c>
      <c r="AA744" t="s">
        <v>90</v>
      </c>
      <c r="AC744" t="s">
        <v>3942</v>
      </c>
      <c r="AD744" t="s">
        <v>141</v>
      </c>
      <c r="AF744" t="s">
        <v>4059</v>
      </c>
      <c r="AH744" t="s">
        <v>4078</v>
      </c>
      <c r="AJ744" t="s">
        <v>3942</v>
      </c>
      <c r="AL744" t="s">
        <v>4086</v>
      </c>
      <c r="AM744" t="s">
        <v>2230</v>
      </c>
      <c r="AO744">
        <v>1365</v>
      </c>
      <c r="AQ744">
        <v>6</v>
      </c>
      <c r="AS744" t="s">
        <v>4113</v>
      </c>
      <c r="AU744" t="s">
        <v>4130</v>
      </c>
      <c r="AW744">
        <v>5</v>
      </c>
      <c r="AY744" t="s">
        <v>4140</v>
      </c>
      <c r="BA744" t="s">
        <v>4149</v>
      </c>
      <c r="BB744" t="s">
        <v>4154</v>
      </c>
      <c r="BE744" t="s">
        <v>4162</v>
      </c>
      <c r="BG744" t="s">
        <v>4542</v>
      </c>
      <c r="BM744" t="s">
        <v>4627</v>
      </c>
    </row>
    <row r="745" spans="1:65">
      <c r="A745" s="1">
        <f>HYPERLINK("https://lsnyc.legalserver.org/matter/dynamic-profile/view/1897406","19-1897406")</f>
        <v>0</v>
      </c>
      <c r="B745" t="s">
        <v>86</v>
      </c>
      <c r="C745" t="s">
        <v>93</v>
      </c>
      <c r="D745" t="s">
        <v>409</v>
      </c>
      <c r="F745" t="s">
        <v>867</v>
      </c>
      <c r="G745" t="s">
        <v>1398</v>
      </c>
      <c r="H745" t="s">
        <v>1577</v>
      </c>
      <c r="I745" t="s">
        <v>2098</v>
      </c>
      <c r="J745" t="s">
        <v>2205</v>
      </c>
      <c r="K745">
        <v>11233</v>
      </c>
      <c r="N745" t="s">
        <v>2233</v>
      </c>
      <c r="O745" t="s">
        <v>2719</v>
      </c>
      <c r="P745" t="s">
        <v>2930</v>
      </c>
      <c r="R745">
        <v>1</v>
      </c>
      <c r="S745">
        <v>0</v>
      </c>
      <c r="T745">
        <v>264.21</v>
      </c>
      <c r="W745">
        <v>33000</v>
      </c>
      <c r="X745" t="s">
        <v>3646</v>
      </c>
      <c r="Y745">
        <v>0</v>
      </c>
      <c r="AA745" t="s">
        <v>90</v>
      </c>
      <c r="AC745" t="s">
        <v>3942</v>
      </c>
      <c r="AD745" t="s">
        <v>4035</v>
      </c>
      <c r="AF745" t="s">
        <v>4061</v>
      </c>
      <c r="AH745" t="s">
        <v>3510</v>
      </c>
      <c r="AJ745" t="s">
        <v>3942</v>
      </c>
      <c r="AL745" t="s">
        <v>4088</v>
      </c>
      <c r="AM745" t="s">
        <v>2230</v>
      </c>
      <c r="AO745">
        <v>601</v>
      </c>
      <c r="AQ745">
        <v>359</v>
      </c>
      <c r="AS745" t="s">
        <v>4113</v>
      </c>
      <c r="AT745" t="s">
        <v>4127</v>
      </c>
      <c r="AW745">
        <v>7</v>
      </c>
      <c r="AY745" t="s">
        <v>4140</v>
      </c>
      <c r="BA745" t="s">
        <v>4149</v>
      </c>
      <c r="BB745" t="s">
        <v>4154</v>
      </c>
      <c r="BF745" t="s">
        <v>4281</v>
      </c>
      <c r="BM745" t="s">
        <v>4627</v>
      </c>
    </row>
    <row r="746" spans="1:65">
      <c r="A746" s="1">
        <f>HYPERLINK("https://lsnyc.legalserver.org/matter/dynamic-profile/view/1892076","19-1892076")</f>
        <v>0</v>
      </c>
      <c r="B746" t="s">
        <v>86</v>
      </c>
      <c r="C746" t="s">
        <v>93</v>
      </c>
      <c r="D746" t="s">
        <v>411</v>
      </c>
      <c r="F746" t="s">
        <v>850</v>
      </c>
      <c r="G746" t="s">
        <v>1381</v>
      </c>
      <c r="H746" t="s">
        <v>1577</v>
      </c>
      <c r="I746" t="s">
        <v>1928</v>
      </c>
      <c r="J746" t="s">
        <v>2205</v>
      </c>
      <c r="K746">
        <v>11233</v>
      </c>
      <c r="N746" t="s">
        <v>2233</v>
      </c>
      <c r="O746" t="s">
        <v>2696</v>
      </c>
      <c r="P746" t="s">
        <v>2930</v>
      </c>
      <c r="R746">
        <v>2</v>
      </c>
      <c r="S746">
        <v>1</v>
      </c>
      <c r="T746">
        <v>281.29</v>
      </c>
      <c r="W746">
        <v>60000</v>
      </c>
      <c r="X746" t="s">
        <v>3657</v>
      </c>
      <c r="Y746">
        <v>0</v>
      </c>
      <c r="AA746" t="s">
        <v>70</v>
      </c>
      <c r="AC746" t="s">
        <v>3942</v>
      </c>
      <c r="AD746" t="s">
        <v>4035</v>
      </c>
      <c r="AF746" t="s">
        <v>4061</v>
      </c>
      <c r="AH746" t="s">
        <v>3510</v>
      </c>
      <c r="AJ746" t="s">
        <v>3942</v>
      </c>
      <c r="AL746" t="s">
        <v>4070</v>
      </c>
      <c r="AM746" t="s">
        <v>2230</v>
      </c>
      <c r="AO746">
        <v>978</v>
      </c>
      <c r="AQ746">
        <v>359</v>
      </c>
      <c r="AS746" t="s">
        <v>4113</v>
      </c>
      <c r="AU746" t="s">
        <v>4128</v>
      </c>
      <c r="AW746">
        <v>3</v>
      </c>
      <c r="AY746" t="s">
        <v>4140</v>
      </c>
      <c r="BA746" t="s">
        <v>4149</v>
      </c>
      <c r="BB746" t="s">
        <v>4154</v>
      </c>
      <c r="BF746" t="s">
        <v>4281</v>
      </c>
      <c r="BM746" t="s">
        <v>4627</v>
      </c>
    </row>
    <row r="747" spans="1:65">
      <c r="A747" s="1">
        <f>HYPERLINK("https://lsnyc.legalserver.org/matter/dynamic-profile/view/1897534","19-1897534")</f>
        <v>0</v>
      </c>
      <c r="B747" t="s">
        <v>86</v>
      </c>
      <c r="C747" t="s">
        <v>93</v>
      </c>
      <c r="D747" t="s">
        <v>226</v>
      </c>
      <c r="F747" t="s">
        <v>857</v>
      </c>
      <c r="G747" t="s">
        <v>1388</v>
      </c>
      <c r="H747" t="s">
        <v>1633</v>
      </c>
      <c r="I747" t="s">
        <v>2089</v>
      </c>
      <c r="J747" t="s">
        <v>2205</v>
      </c>
      <c r="K747">
        <v>11233</v>
      </c>
      <c r="N747" t="s">
        <v>2233</v>
      </c>
      <c r="O747" t="s">
        <v>2705</v>
      </c>
      <c r="P747" t="s">
        <v>2930</v>
      </c>
      <c r="R747">
        <v>1</v>
      </c>
      <c r="S747">
        <v>0</v>
      </c>
      <c r="T747">
        <v>264.21</v>
      </c>
      <c r="W747">
        <v>33000</v>
      </c>
      <c r="X747" t="s">
        <v>3646</v>
      </c>
      <c r="Y747">
        <v>0</v>
      </c>
      <c r="AA747" t="s">
        <v>90</v>
      </c>
      <c r="AC747" t="s">
        <v>3942</v>
      </c>
      <c r="AD747" t="s">
        <v>3847</v>
      </c>
      <c r="AF747" t="s">
        <v>4059</v>
      </c>
      <c r="AH747" t="s">
        <v>4078</v>
      </c>
      <c r="AJ747" t="s">
        <v>3942</v>
      </c>
      <c r="AL747" t="s">
        <v>4088</v>
      </c>
      <c r="AM747" t="s">
        <v>2230</v>
      </c>
      <c r="AN747" t="s">
        <v>4107</v>
      </c>
      <c r="AO747">
        <v>0</v>
      </c>
      <c r="AQ747">
        <v>359</v>
      </c>
      <c r="AS747" t="s">
        <v>4113</v>
      </c>
      <c r="AT747" t="s">
        <v>4127</v>
      </c>
      <c r="AW747">
        <v>40</v>
      </c>
      <c r="AY747" t="s">
        <v>4140</v>
      </c>
      <c r="BA747" t="s">
        <v>4149</v>
      </c>
      <c r="BB747" t="s">
        <v>4154</v>
      </c>
      <c r="BF747" t="s">
        <v>4281</v>
      </c>
      <c r="BG747" t="s">
        <v>4538</v>
      </c>
      <c r="BM747" t="s">
        <v>4627</v>
      </c>
    </row>
    <row r="748" spans="1:65">
      <c r="A748" s="1">
        <f>HYPERLINK("https://lsnyc.legalserver.org/matter/dynamic-profile/view/1897404","19-1897404")</f>
        <v>0</v>
      </c>
      <c r="B748" t="s">
        <v>86</v>
      </c>
      <c r="C748" t="s">
        <v>93</v>
      </c>
      <c r="D748" t="s">
        <v>409</v>
      </c>
      <c r="F748" t="s">
        <v>867</v>
      </c>
      <c r="G748" t="s">
        <v>1398</v>
      </c>
      <c r="H748" t="s">
        <v>1577</v>
      </c>
      <c r="I748" t="s">
        <v>2098</v>
      </c>
      <c r="J748" t="s">
        <v>2205</v>
      </c>
      <c r="K748">
        <v>11233</v>
      </c>
      <c r="N748" t="s">
        <v>2233</v>
      </c>
      <c r="O748" t="s">
        <v>2719</v>
      </c>
      <c r="P748" t="s">
        <v>2930</v>
      </c>
      <c r="R748">
        <v>1</v>
      </c>
      <c r="S748">
        <v>0</v>
      </c>
      <c r="T748">
        <v>264.21</v>
      </c>
      <c r="W748">
        <v>33000</v>
      </c>
      <c r="X748" t="s">
        <v>3658</v>
      </c>
      <c r="Y748">
        <v>0</v>
      </c>
      <c r="AA748" t="s">
        <v>90</v>
      </c>
      <c r="AC748" t="s">
        <v>3942</v>
      </c>
      <c r="AD748" t="s">
        <v>3847</v>
      </c>
      <c r="AF748" t="s">
        <v>4059</v>
      </c>
      <c r="AH748" t="s">
        <v>4078</v>
      </c>
      <c r="AJ748" t="s">
        <v>3942</v>
      </c>
      <c r="AL748" t="s">
        <v>4088</v>
      </c>
      <c r="AM748" t="s">
        <v>2230</v>
      </c>
      <c r="AO748">
        <v>601</v>
      </c>
      <c r="AQ748">
        <v>359</v>
      </c>
      <c r="AS748" t="s">
        <v>4113</v>
      </c>
      <c r="AT748" t="s">
        <v>4127</v>
      </c>
      <c r="AW748">
        <v>7</v>
      </c>
      <c r="AY748" t="s">
        <v>4140</v>
      </c>
      <c r="BA748" t="s">
        <v>4149</v>
      </c>
      <c r="BB748" t="s">
        <v>4154</v>
      </c>
      <c r="BF748" t="s">
        <v>4281</v>
      </c>
      <c r="BG748" t="s">
        <v>4539</v>
      </c>
      <c r="BM748" t="s">
        <v>4627</v>
      </c>
    </row>
    <row r="749" spans="1:65">
      <c r="A749" s="1">
        <f>HYPERLINK("https://lsnyc.legalserver.org/matter/dynamic-profile/view/1897206","19-1897206")</f>
        <v>0</v>
      </c>
      <c r="B749" t="s">
        <v>86</v>
      </c>
      <c r="C749" t="s">
        <v>93</v>
      </c>
      <c r="D749" t="s">
        <v>406</v>
      </c>
      <c r="F749" t="s">
        <v>768</v>
      </c>
      <c r="G749" t="s">
        <v>1399</v>
      </c>
      <c r="H749" t="s">
        <v>1829</v>
      </c>
      <c r="I749" t="s">
        <v>1934</v>
      </c>
      <c r="J749" t="s">
        <v>2205</v>
      </c>
      <c r="K749">
        <v>11233</v>
      </c>
      <c r="N749" t="s">
        <v>2233</v>
      </c>
      <c r="O749" t="s">
        <v>2720</v>
      </c>
      <c r="P749" t="s">
        <v>2930</v>
      </c>
      <c r="R749">
        <v>1</v>
      </c>
      <c r="S749">
        <v>2</v>
      </c>
      <c r="T749">
        <v>262.54</v>
      </c>
      <c r="W749">
        <v>56000</v>
      </c>
      <c r="X749" t="s">
        <v>3659</v>
      </c>
      <c r="Y749">
        <v>0</v>
      </c>
      <c r="AA749" t="s">
        <v>70</v>
      </c>
      <c r="AC749" t="s">
        <v>3942</v>
      </c>
      <c r="AD749" t="s">
        <v>4035</v>
      </c>
      <c r="AF749" t="s">
        <v>4061</v>
      </c>
      <c r="AH749" t="s">
        <v>3510</v>
      </c>
      <c r="AJ749" t="s">
        <v>3942</v>
      </c>
      <c r="AL749" t="s">
        <v>4070</v>
      </c>
      <c r="AM749" t="s">
        <v>2230</v>
      </c>
      <c r="AO749">
        <v>651</v>
      </c>
      <c r="AQ749">
        <v>359</v>
      </c>
      <c r="AS749" t="s">
        <v>4113</v>
      </c>
      <c r="AT749" t="s">
        <v>4127</v>
      </c>
      <c r="AW749">
        <v>40</v>
      </c>
      <c r="AY749" t="s">
        <v>4141</v>
      </c>
      <c r="BA749" t="s">
        <v>4149</v>
      </c>
      <c r="BB749" t="s">
        <v>4154</v>
      </c>
      <c r="BF749" t="s">
        <v>4281</v>
      </c>
      <c r="BM749" t="s">
        <v>4627</v>
      </c>
    </row>
    <row r="750" spans="1:65">
      <c r="A750" s="1">
        <f>HYPERLINK("https://lsnyc.legalserver.org/matter/dynamic-profile/view/1897205","19-1897205")</f>
        <v>0</v>
      </c>
      <c r="B750" t="s">
        <v>86</v>
      </c>
      <c r="C750" t="s">
        <v>93</v>
      </c>
      <c r="D750" t="s">
        <v>406</v>
      </c>
      <c r="F750" t="s">
        <v>768</v>
      </c>
      <c r="G750" t="s">
        <v>1399</v>
      </c>
      <c r="H750" t="s">
        <v>1829</v>
      </c>
      <c r="I750" t="s">
        <v>1934</v>
      </c>
      <c r="J750" t="s">
        <v>2205</v>
      </c>
      <c r="K750">
        <v>11233</v>
      </c>
      <c r="N750" t="s">
        <v>2233</v>
      </c>
      <c r="O750" t="s">
        <v>2720</v>
      </c>
      <c r="P750" t="s">
        <v>2930</v>
      </c>
      <c r="R750">
        <v>1</v>
      </c>
      <c r="S750">
        <v>2</v>
      </c>
      <c r="T750">
        <v>262.54</v>
      </c>
      <c r="W750">
        <v>56000</v>
      </c>
      <c r="X750" t="s">
        <v>3660</v>
      </c>
      <c r="Y750">
        <v>0</v>
      </c>
      <c r="AA750" t="s">
        <v>70</v>
      </c>
      <c r="AC750" t="s">
        <v>3942</v>
      </c>
      <c r="AD750" t="s">
        <v>3847</v>
      </c>
      <c r="AF750" t="s">
        <v>4059</v>
      </c>
      <c r="AH750" t="s">
        <v>4078</v>
      </c>
      <c r="AJ750" t="s">
        <v>3942</v>
      </c>
      <c r="AL750" t="s">
        <v>4070</v>
      </c>
      <c r="AM750" t="s">
        <v>2230</v>
      </c>
      <c r="AO750">
        <v>651.8</v>
      </c>
      <c r="AQ750">
        <v>359</v>
      </c>
      <c r="AS750" t="s">
        <v>4113</v>
      </c>
      <c r="AT750" t="s">
        <v>4127</v>
      </c>
      <c r="AW750">
        <v>40</v>
      </c>
      <c r="AY750" t="s">
        <v>4141</v>
      </c>
      <c r="BA750" t="s">
        <v>4149</v>
      </c>
      <c r="BB750" t="s">
        <v>4154</v>
      </c>
      <c r="BF750" t="s">
        <v>4281</v>
      </c>
      <c r="BG750" t="s">
        <v>4538</v>
      </c>
      <c r="BM750" t="s">
        <v>4627</v>
      </c>
    </row>
    <row r="751" spans="1:65">
      <c r="A751" s="1">
        <f>HYPERLINK("https://lsnyc.legalserver.org/matter/dynamic-profile/view/1891464","19-1891464")</f>
        <v>0</v>
      </c>
      <c r="B751" t="s">
        <v>86</v>
      </c>
      <c r="C751" t="s">
        <v>93</v>
      </c>
      <c r="D751" t="s">
        <v>407</v>
      </c>
      <c r="F751" t="s">
        <v>589</v>
      </c>
      <c r="G751" t="s">
        <v>1387</v>
      </c>
      <c r="H751" t="s">
        <v>1633</v>
      </c>
      <c r="I751" t="s">
        <v>2087</v>
      </c>
      <c r="J751" t="s">
        <v>2205</v>
      </c>
      <c r="K751">
        <v>11233</v>
      </c>
      <c r="N751" t="s">
        <v>2233</v>
      </c>
      <c r="O751" t="s">
        <v>2703</v>
      </c>
      <c r="P751" t="s">
        <v>2930</v>
      </c>
      <c r="R751">
        <v>2</v>
      </c>
      <c r="S751">
        <v>0</v>
      </c>
      <c r="T751">
        <v>420.19</v>
      </c>
      <c r="W751">
        <v>71054</v>
      </c>
      <c r="X751" t="s">
        <v>3661</v>
      </c>
      <c r="Y751">
        <v>0</v>
      </c>
      <c r="AA751" t="s">
        <v>70</v>
      </c>
      <c r="AC751" t="s">
        <v>3942</v>
      </c>
      <c r="AD751" t="s">
        <v>3847</v>
      </c>
      <c r="AF751" t="s">
        <v>4061</v>
      </c>
      <c r="AH751" t="s">
        <v>3510</v>
      </c>
      <c r="AJ751" t="s">
        <v>3942</v>
      </c>
      <c r="AL751" t="s">
        <v>4088</v>
      </c>
      <c r="AM751" t="s">
        <v>2230</v>
      </c>
      <c r="AO751">
        <v>1027</v>
      </c>
      <c r="AQ751">
        <v>359</v>
      </c>
      <c r="AS751" t="s">
        <v>4113</v>
      </c>
      <c r="AU751" t="s">
        <v>4128</v>
      </c>
      <c r="AW751">
        <v>7</v>
      </c>
      <c r="AY751" t="s">
        <v>4140</v>
      </c>
      <c r="BA751" t="s">
        <v>4149</v>
      </c>
      <c r="BB751" t="s">
        <v>4154</v>
      </c>
      <c r="BC751" t="s">
        <v>4128</v>
      </c>
      <c r="BE751" t="s">
        <v>4128</v>
      </c>
      <c r="BF751" t="s">
        <v>4281</v>
      </c>
      <c r="BM751" t="s">
        <v>4627</v>
      </c>
    </row>
    <row r="752" spans="1:65">
      <c r="A752" s="1">
        <f>HYPERLINK("https://lsnyc.legalserver.org/matter/dynamic-profile/view/1898268","19-1898268")</f>
        <v>0</v>
      </c>
      <c r="B752" t="s">
        <v>86</v>
      </c>
      <c r="C752" t="s">
        <v>93</v>
      </c>
      <c r="D752" t="s">
        <v>241</v>
      </c>
      <c r="F752" t="s">
        <v>868</v>
      </c>
      <c r="G752" t="s">
        <v>1294</v>
      </c>
      <c r="H752" t="s">
        <v>1577</v>
      </c>
      <c r="I752" t="s">
        <v>2099</v>
      </c>
      <c r="J752" t="s">
        <v>2205</v>
      </c>
      <c r="K752">
        <v>11233</v>
      </c>
      <c r="N752" t="s">
        <v>2233</v>
      </c>
      <c r="O752" t="s">
        <v>2721</v>
      </c>
      <c r="P752" t="s">
        <v>2930</v>
      </c>
      <c r="R752">
        <v>1</v>
      </c>
      <c r="S752">
        <v>0</v>
      </c>
      <c r="T752">
        <v>720.58</v>
      </c>
      <c r="W752">
        <v>90000</v>
      </c>
      <c r="X752" t="s">
        <v>3624</v>
      </c>
      <c r="Y752">
        <v>0</v>
      </c>
      <c r="AA752" t="s">
        <v>70</v>
      </c>
      <c r="AC752" t="s">
        <v>3942</v>
      </c>
      <c r="AD752" t="s">
        <v>3847</v>
      </c>
      <c r="AF752" t="s">
        <v>4059</v>
      </c>
      <c r="AH752" t="s">
        <v>4078</v>
      </c>
      <c r="AJ752" t="s">
        <v>3942</v>
      </c>
      <c r="AK752" t="s">
        <v>4084</v>
      </c>
      <c r="AM752" t="s">
        <v>2230</v>
      </c>
      <c r="AN752" t="s">
        <v>4107</v>
      </c>
      <c r="AO752">
        <v>0</v>
      </c>
      <c r="AQ752">
        <v>359</v>
      </c>
      <c r="AS752" t="s">
        <v>4113</v>
      </c>
      <c r="AT752" t="s">
        <v>4127</v>
      </c>
      <c r="AW752">
        <v>14</v>
      </c>
      <c r="AY752" t="s">
        <v>4140</v>
      </c>
      <c r="BA752" t="s">
        <v>4149</v>
      </c>
      <c r="BB752" t="s">
        <v>4154</v>
      </c>
      <c r="BF752" t="s">
        <v>4281</v>
      </c>
      <c r="BG752" t="s">
        <v>4539</v>
      </c>
      <c r="BM752" t="s">
        <v>4627</v>
      </c>
    </row>
    <row r="753" spans="1:65">
      <c r="A753" s="1">
        <f>HYPERLINK("https://lsnyc.legalserver.org/matter/dynamic-profile/view/1897614","19-1897614")</f>
        <v>0</v>
      </c>
      <c r="B753" t="s">
        <v>86</v>
      </c>
      <c r="C753" t="s">
        <v>93</v>
      </c>
      <c r="D753" t="s">
        <v>233</v>
      </c>
      <c r="F753" t="s">
        <v>869</v>
      </c>
      <c r="G753" t="s">
        <v>1400</v>
      </c>
      <c r="H753" t="s">
        <v>1577</v>
      </c>
      <c r="I753" t="s">
        <v>2100</v>
      </c>
      <c r="J753" t="s">
        <v>2205</v>
      </c>
      <c r="K753">
        <v>11233</v>
      </c>
      <c r="N753" t="s">
        <v>2233</v>
      </c>
      <c r="O753" t="s">
        <v>2722</v>
      </c>
      <c r="P753" t="s">
        <v>2930</v>
      </c>
      <c r="R753">
        <v>1</v>
      </c>
      <c r="S753">
        <v>0</v>
      </c>
      <c r="T753">
        <v>256.2</v>
      </c>
      <c r="W753">
        <v>32000</v>
      </c>
      <c r="X753" t="s">
        <v>3662</v>
      </c>
      <c r="Y753">
        <v>0</v>
      </c>
      <c r="AA753" t="s">
        <v>90</v>
      </c>
      <c r="AC753" t="s">
        <v>3942</v>
      </c>
      <c r="AD753" t="s">
        <v>4035</v>
      </c>
      <c r="AF753" t="s">
        <v>4061</v>
      </c>
      <c r="AH753" t="s">
        <v>3510</v>
      </c>
      <c r="AJ753" t="s">
        <v>3942</v>
      </c>
      <c r="AL753" t="s">
        <v>4088</v>
      </c>
      <c r="AM753" t="s">
        <v>2230</v>
      </c>
      <c r="AO753">
        <v>865</v>
      </c>
      <c r="AQ753">
        <v>359</v>
      </c>
      <c r="AS753" t="s">
        <v>4113</v>
      </c>
      <c r="AT753" t="s">
        <v>4127</v>
      </c>
      <c r="AW753">
        <v>26</v>
      </c>
      <c r="AY753" t="s">
        <v>4140</v>
      </c>
      <c r="BA753" t="s">
        <v>4149</v>
      </c>
      <c r="BB753" t="s">
        <v>4154</v>
      </c>
      <c r="BF753" t="s">
        <v>4281</v>
      </c>
      <c r="BM753" t="s">
        <v>4627</v>
      </c>
    </row>
    <row r="754" spans="1:65">
      <c r="A754" s="1">
        <f>HYPERLINK("https://lsnyc.legalserver.org/matter/dynamic-profile/view/1897609","19-1897609")</f>
        <v>0</v>
      </c>
      <c r="B754" t="s">
        <v>86</v>
      </c>
      <c r="C754" t="s">
        <v>93</v>
      </c>
      <c r="D754" t="s">
        <v>233</v>
      </c>
      <c r="F754" t="s">
        <v>869</v>
      </c>
      <c r="G754" t="s">
        <v>1400</v>
      </c>
      <c r="H754" t="s">
        <v>1577</v>
      </c>
      <c r="I754" t="s">
        <v>2100</v>
      </c>
      <c r="J754" t="s">
        <v>2205</v>
      </c>
      <c r="K754">
        <v>11233</v>
      </c>
      <c r="N754" t="s">
        <v>2233</v>
      </c>
      <c r="O754" t="s">
        <v>2722</v>
      </c>
      <c r="P754" t="s">
        <v>2930</v>
      </c>
      <c r="R754">
        <v>1</v>
      </c>
      <c r="S754">
        <v>0</v>
      </c>
      <c r="T754">
        <v>256.2</v>
      </c>
      <c r="W754">
        <v>32000</v>
      </c>
      <c r="X754" t="s">
        <v>3646</v>
      </c>
      <c r="Y754">
        <v>0</v>
      </c>
      <c r="AA754" t="s">
        <v>90</v>
      </c>
      <c r="AC754" t="s">
        <v>3942</v>
      </c>
      <c r="AD754" t="s">
        <v>3847</v>
      </c>
      <c r="AF754" t="s">
        <v>4059</v>
      </c>
      <c r="AH754" t="s">
        <v>4078</v>
      </c>
      <c r="AJ754" t="s">
        <v>3942</v>
      </c>
      <c r="AL754" t="s">
        <v>4088</v>
      </c>
      <c r="AM754" t="s">
        <v>2230</v>
      </c>
      <c r="AO754">
        <v>865</v>
      </c>
      <c r="AQ754">
        <v>359</v>
      </c>
      <c r="AS754" t="s">
        <v>4113</v>
      </c>
      <c r="AT754" t="s">
        <v>4127</v>
      </c>
      <c r="AW754">
        <v>26</v>
      </c>
      <c r="AY754" t="s">
        <v>4140</v>
      </c>
      <c r="BA754" t="s">
        <v>4149</v>
      </c>
      <c r="BB754" t="s">
        <v>4154</v>
      </c>
      <c r="BF754" t="s">
        <v>4281</v>
      </c>
      <c r="BG754" t="s">
        <v>4539</v>
      </c>
      <c r="BM754" t="s">
        <v>4627</v>
      </c>
    </row>
    <row r="755" spans="1:65">
      <c r="A755" s="1">
        <f>HYPERLINK("https://lsnyc.legalserver.org/matter/dynamic-profile/view/1897195","19-1897195")</f>
        <v>0</v>
      </c>
      <c r="B755" t="s">
        <v>86</v>
      </c>
      <c r="C755" t="s">
        <v>93</v>
      </c>
      <c r="D755" t="s">
        <v>406</v>
      </c>
      <c r="F755" t="s">
        <v>870</v>
      </c>
      <c r="G755" t="s">
        <v>1401</v>
      </c>
      <c r="H755" t="s">
        <v>1828</v>
      </c>
      <c r="I755" t="s">
        <v>2101</v>
      </c>
      <c r="J755" t="s">
        <v>2205</v>
      </c>
      <c r="K755">
        <v>11233</v>
      </c>
      <c r="N755" t="s">
        <v>2233</v>
      </c>
      <c r="O755" t="s">
        <v>2723</v>
      </c>
      <c r="P755" t="s">
        <v>2930</v>
      </c>
      <c r="R755">
        <v>1</v>
      </c>
      <c r="S755">
        <v>0</v>
      </c>
      <c r="T755">
        <v>0</v>
      </c>
      <c r="W755">
        <v>0</v>
      </c>
      <c r="X755" t="s">
        <v>3624</v>
      </c>
      <c r="Y755">
        <v>0</v>
      </c>
      <c r="AA755" t="s">
        <v>70</v>
      </c>
      <c r="AC755" t="s">
        <v>3942</v>
      </c>
      <c r="AD755" t="s">
        <v>3847</v>
      </c>
      <c r="AF755" t="s">
        <v>4059</v>
      </c>
      <c r="AH755" t="s">
        <v>4078</v>
      </c>
      <c r="AJ755" t="s">
        <v>3942</v>
      </c>
      <c r="AL755" t="s">
        <v>4070</v>
      </c>
      <c r="AM755" t="s">
        <v>2230</v>
      </c>
      <c r="AN755" t="s">
        <v>4107</v>
      </c>
      <c r="AO755">
        <v>0</v>
      </c>
      <c r="AQ755">
        <v>359</v>
      </c>
      <c r="AS755" t="s">
        <v>4113</v>
      </c>
      <c r="AT755" t="s">
        <v>4127</v>
      </c>
      <c r="AW755">
        <v>20</v>
      </c>
      <c r="AY755" t="s">
        <v>4140</v>
      </c>
      <c r="BA755" t="s">
        <v>4149</v>
      </c>
      <c r="BB755" t="s">
        <v>4154</v>
      </c>
      <c r="BF755" t="s">
        <v>4281</v>
      </c>
      <c r="BG755" t="s">
        <v>4539</v>
      </c>
      <c r="BM755" t="s">
        <v>4627</v>
      </c>
    </row>
    <row r="756" spans="1:65">
      <c r="A756" s="1">
        <f>HYPERLINK("https://lsnyc.legalserver.org/matter/dynamic-profile/view/1898269","19-1898269")</f>
        <v>0</v>
      </c>
      <c r="B756" t="s">
        <v>86</v>
      </c>
      <c r="C756" t="s">
        <v>93</v>
      </c>
      <c r="D756" t="s">
        <v>241</v>
      </c>
      <c r="F756" t="s">
        <v>868</v>
      </c>
      <c r="G756" t="s">
        <v>1294</v>
      </c>
      <c r="H756" t="s">
        <v>1577</v>
      </c>
      <c r="I756" t="s">
        <v>2099</v>
      </c>
      <c r="J756" t="s">
        <v>2205</v>
      </c>
      <c r="K756">
        <v>11233</v>
      </c>
      <c r="N756" t="s">
        <v>2233</v>
      </c>
      <c r="O756" t="s">
        <v>2721</v>
      </c>
      <c r="P756" t="s">
        <v>2930</v>
      </c>
      <c r="R756">
        <v>1</v>
      </c>
      <c r="S756">
        <v>0</v>
      </c>
      <c r="T756">
        <v>720.58</v>
      </c>
      <c r="W756">
        <v>90000</v>
      </c>
      <c r="X756" t="s">
        <v>3663</v>
      </c>
      <c r="Y756">
        <v>0</v>
      </c>
      <c r="AA756" t="s">
        <v>70</v>
      </c>
      <c r="AC756" t="s">
        <v>3942</v>
      </c>
      <c r="AD756" t="s">
        <v>4035</v>
      </c>
      <c r="AF756" t="s">
        <v>4061</v>
      </c>
      <c r="AH756" t="s">
        <v>3510</v>
      </c>
      <c r="AJ756" t="s">
        <v>3942</v>
      </c>
      <c r="AL756" t="s">
        <v>4070</v>
      </c>
      <c r="AM756" t="s">
        <v>2230</v>
      </c>
      <c r="AN756" t="s">
        <v>4107</v>
      </c>
      <c r="AO756">
        <v>0</v>
      </c>
      <c r="AQ756">
        <v>359</v>
      </c>
      <c r="AS756" t="s">
        <v>4113</v>
      </c>
      <c r="AT756" t="s">
        <v>4127</v>
      </c>
      <c r="AW756">
        <v>14</v>
      </c>
      <c r="AY756" t="s">
        <v>4140</v>
      </c>
      <c r="BA756" t="s">
        <v>4149</v>
      </c>
      <c r="BB756" t="s">
        <v>4154</v>
      </c>
      <c r="BF756" t="s">
        <v>4281</v>
      </c>
      <c r="BM756" t="s">
        <v>4627</v>
      </c>
    </row>
    <row r="757" spans="1:65">
      <c r="A757" s="1">
        <f>HYPERLINK("https://lsnyc.legalserver.org/matter/dynamic-profile/view/1902163","19-1902163")</f>
        <v>0</v>
      </c>
      <c r="B757" t="s">
        <v>86</v>
      </c>
      <c r="C757" t="s">
        <v>93</v>
      </c>
      <c r="D757" t="s">
        <v>216</v>
      </c>
      <c r="F757" t="s">
        <v>864</v>
      </c>
      <c r="G757" t="s">
        <v>1396</v>
      </c>
      <c r="H757" t="s">
        <v>1577</v>
      </c>
      <c r="I757" t="s">
        <v>2097</v>
      </c>
      <c r="J757" t="s">
        <v>2205</v>
      </c>
      <c r="K757">
        <v>11233</v>
      </c>
      <c r="N757" t="s">
        <v>2233</v>
      </c>
      <c r="O757" t="s">
        <v>2686</v>
      </c>
      <c r="P757" t="s">
        <v>2930</v>
      </c>
      <c r="R757">
        <v>3</v>
      </c>
      <c r="S757">
        <v>4</v>
      </c>
      <c r="T757">
        <v>17.94</v>
      </c>
      <c r="W757">
        <v>7000</v>
      </c>
      <c r="X757" t="s">
        <v>3664</v>
      </c>
      <c r="Y757">
        <v>0</v>
      </c>
      <c r="AA757" t="s">
        <v>70</v>
      </c>
      <c r="AC757" t="s">
        <v>3942</v>
      </c>
      <c r="AD757" t="s">
        <v>4035</v>
      </c>
      <c r="AF757" t="s">
        <v>4061</v>
      </c>
      <c r="AH757" t="s">
        <v>3510</v>
      </c>
      <c r="AJ757" t="s">
        <v>3942</v>
      </c>
      <c r="AL757" t="s">
        <v>4070</v>
      </c>
      <c r="AM757" t="s">
        <v>2230</v>
      </c>
      <c r="AO757">
        <v>1170</v>
      </c>
      <c r="AQ757">
        <v>359</v>
      </c>
      <c r="AS757" t="s">
        <v>4113</v>
      </c>
      <c r="AT757" t="s">
        <v>4127</v>
      </c>
      <c r="AW757">
        <v>29</v>
      </c>
      <c r="AY757" t="s">
        <v>4140</v>
      </c>
      <c r="BA757" t="s">
        <v>4149</v>
      </c>
      <c r="BB757" t="s">
        <v>4154</v>
      </c>
      <c r="BC757" t="s">
        <v>4128</v>
      </c>
      <c r="BF757" t="s">
        <v>4281</v>
      </c>
      <c r="BG757" t="s">
        <v>4303</v>
      </c>
      <c r="BM757" t="s">
        <v>4627</v>
      </c>
    </row>
    <row r="758" spans="1:65">
      <c r="A758" s="1">
        <f>HYPERLINK("https://lsnyc.legalserver.org/matter/dynamic-profile/view/1913297","19-1913297")</f>
        <v>0</v>
      </c>
      <c r="B758" t="s">
        <v>86</v>
      </c>
      <c r="C758" t="s">
        <v>93</v>
      </c>
      <c r="D758" t="s">
        <v>358</v>
      </c>
      <c r="F758" t="s">
        <v>778</v>
      </c>
      <c r="G758" t="s">
        <v>1320</v>
      </c>
      <c r="H758" t="s">
        <v>1582</v>
      </c>
      <c r="I758">
        <v>44</v>
      </c>
      <c r="J758" t="s">
        <v>2205</v>
      </c>
      <c r="K758">
        <v>11213</v>
      </c>
      <c r="N758" t="s">
        <v>2233</v>
      </c>
      <c r="O758" t="s">
        <v>2606</v>
      </c>
      <c r="Q758" t="s">
        <v>3250</v>
      </c>
      <c r="R758">
        <v>1</v>
      </c>
      <c r="S758">
        <v>0</v>
      </c>
      <c r="T758">
        <v>432.35</v>
      </c>
      <c r="W758">
        <v>54000</v>
      </c>
      <c r="X758" t="s">
        <v>3665</v>
      </c>
      <c r="Y758">
        <v>0</v>
      </c>
      <c r="AA758" t="s">
        <v>90</v>
      </c>
      <c r="AC758" t="s">
        <v>3942</v>
      </c>
      <c r="AD758" t="s">
        <v>358</v>
      </c>
      <c r="AF758" t="s">
        <v>4054</v>
      </c>
      <c r="AH758" t="s">
        <v>3510</v>
      </c>
      <c r="AJ758" t="s">
        <v>3942</v>
      </c>
      <c r="AK758" t="s">
        <v>4084</v>
      </c>
      <c r="AM758" t="s">
        <v>2230</v>
      </c>
      <c r="AO758">
        <v>996.34</v>
      </c>
      <c r="AQ758">
        <v>31</v>
      </c>
      <c r="AS758" t="s">
        <v>4113</v>
      </c>
      <c r="AU758" t="s">
        <v>4128</v>
      </c>
      <c r="AW758">
        <v>15</v>
      </c>
      <c r="AY758" t="s">
        <v>4140</v>
      </c>
      <c r="BA758" t="s">
        <v>4149</v>
      </c>
      <c r="BC758" t="s">
        <v>4155</v>
      </c>
      <c r="BE758" t="s">
        <v>4159</v>
      </c>
      <c r="BF758" t="s">
        <v>4281</v>
      </c>
      <c r="BG758" t="s">
        <v>4128</v>
      </c>
      <c r="BM758" t="s">
        <v>4627</v>
      </c>
    </row>
    <row r="759" spans="1:65">
      <c r="A759" s="1">
        <f>HYPERLINK("https://lsnyc.legalserver.org/matter/dynamic-profile/view/1890550","19-1890550")</f>
        <v>0</v>
      </c>
      <c r="B759" t="s">
        <v>86</v>
      </c>
      <c r="C759" t="s">
        <v>93</v>
      </c>
      <c r="D759" t="s">
        <v>414</v>
      </c>
      <c r="F759" t="s">
        <v>866</v>
      </c>
      <c r="G759" t="s">
        <v>1204</v>
      </c>
      <c r="H759" t="s">
        <v>1633</v>
      </c>
      <c r="I759" t="s">
        <v>1931</v>
      </c>
      <c r="J759" t="s">
        <v>2205</v>
      </c>
      <c r="K759">
        <v>11233</v>
      </c>
      <c r="N759" t="s">
        <v>2233</v>
      </c>
      <c r="O759" t="s">
        <v>2718</v>
      </c>
      <c r="P759" t="s">
        <v>2930</v>
      </c>
      <c r="R759">
        <v>2</v>
      </c>
      <c r="S759">
        <v>0</v>
      </c>
      <c r="T759">
        <v>435.02</v>
      </c>
      <c r="W759">
        <v>73562</v>
      </c>
      <c r="X759" t="s">
        <v>3666</v>
      </c>
      <c r="Y759">
        <v>0</v>
      </c>
      <c r="AA759" t="s">
        <v>90</v>
      </c>
      <c r="AC759" t="s">
        <v>3942</v>
      </c>
      <c r="AD759" t="s">
        <v>3847</v>
      </c>
      <c r="AF759" t="s">
        <v>4059</v>
      </c>
      <c r="AH759" t="s">
        <v>4078</v>
      </c>
      <c r="AJ759" t="s">
        <v>3942</v>
      </c>
      <c r="AL759" t="s">
        <v>4088</v>
      </c>
      <c r="AM759" t="s">
        <v>2230</v>
      </c>
      <c r="AO759">
        <v>1016</v>
      </c>
      <c r="AQ759">
        <v>359</v>
      </c>
      <c r="AS759" t="s">
        <v>4113</v>
      </c>
      <c r="AU759" t="s">
        <v>4128</v>
      </c>
      <c r="AW759">
        <v>30</v>
      </c>
      <c r="AY759" t="s">
        <v>4140</v>
      </c>
      <c r="BA759" t="s">
        <v>4149</v>
      </c>
      <c r="BB759" t="s">
        <v>4154</v>
      </c>
      <c r="BF759" t="s">
        <v>4281</v>
      </c>
      <c r="BG759" t="s">
        <v>4538</v>
      </c>
      <c r="BM759" t="s">
        <v>4627</v>
      </c>
    </row>
    <row r="760" spans="1:65">
      <c r="A760" s="1">
        <f>HYPERLINK("https://lsnyc.legalserver.org/matter/dynamic-profile/view/1891899","19-1891899")</f>
        <v>0</v>
      </c>
      <c r="B760" t="s">
        <v>86</v>
      </c>
      <c r="C760" t="s">
        <v>93</v>
      </c>
      <c r="D760" t="s">
        <v>416</v>
      </c>
      <c r="F760" t="s">
        <v>506</v>
      </c>
      <c r="G760" t="s">
        <v>1402</v>
      </c>
      <c r="H760" t="s">
        <v>1633</v>
      </c>
      <c r="I760" t="s">
        <v>2102</v>
      </c>
      <c r="J760" t="s">
        <v>2205</v>
      </c>
      <c r="K760">
        <v>11233</v>
      </c>
      <c r="N760" t="s">
        <v>2233</v>
      </c>
      <c r="O760" t="s">
        <v>2724</v>
      </c>
      <c r="P760" t="s">
        <v>2930</v>
      </c>
      <c r="R760">
        <v>2</v>
      </c>
      <c r="S760">
        <v>0</v>
      </c>
      <c r="T760">
        <v>254.29</v>
      </c>
      <c r="W760">
        <v>43000</v>
      </c>
      <c r="X760" t="s">
        <v>3667</v>
      </c>
      <c r="Y760">
        <v>0</v>
      </c>
      <c r="AA760" t="s">
        <v>70</v>
      </c>
      <c r="AC760" t="s">
        <v>3942</v>
      </c>
      <c r="AD760" t="s">
        <v>4035</v>
      </c>
      <c r="AF760" t="s">
        <v>4061</v>
      </c>
      <c r="AH760" t="s">
        <v>3510</v>
      </c>
      <c r="AJ760" t="s">
        <v>3942</v>
      </c>
      <c r="AL760" t="s">
        <v>4070</v>
      </c>
      <c r="AM760" t="s">
        <v>2230</v>
      </c>
      <c r="AO760">
        <v>775</v>
      </c>
      <c r="AQ760">
        <v>359</v>
      </c>
      <c r="AS760" t="s">
        <v>4113</v>
      </c>
      <c r="AU760" t="s">
        <v>4128</v>
      </c>
      <c r="AW760">
        <v>10</v>
      </c>
      <c r="AY760" t="s">
        <v>4140</v>
      </c>
      <c r="BA760" t="s">
        <v>4149</v>
      </c>
      <c r="BB760" t="s">
        <v>4154</v>
      </c>
      <c r="BF760" t="s">
        <v>4281</v>
      </c>
      <c r="BM760" t="s">
        <v>4627</v>
      </c>
    </row>
    <row r="761" spans="1:65">
      <c r="A761" s="1">
        <f>HYPERLINK("https://lsnyc.legalserver.org/matter/dynamic-profile/view/1891891","19-1891891")</f>
        <v>0</v>
      </c>
      <c r="B761" t="s">
        <v>86</v>
      </c>
      <c r="C761" t="s">
        <v>93</v>
      </c>
      <c r="D761" t="s">
        <v>416</v>
      </c>
      <c r="F761" t="s">
        <v>506</v>
      </c>
      <c r="G761" t="s">
        <v>1402</v>
      </c>
      <c r="H761" t="s">
        <v>1633</v>
      </c>
      <c r="I761" t="s">
        <v>2102</v>
      </c>
      <c r="J761" t="s">
        <v>2205</v>
      </c>
      <c r="K761">
        <v>11233</v>
      </c>
      <c r="N761" t="s">
        <v>2233</v>
      </c>
      <c r="O761" t="s">
        <v>2724</v>
      </c>
      <c r="P761" t="s">
        <v>2930</v>
      </c>
      <c r="R761">
        <v>2</v>
      </c>
      <c r="S761">
        <v>0</v>
      </c>
      <c r="T761">
        <v>254.29</v>
      </c>
      <c r="W761">
        <v>43000</v>
      </c>
      <c r="X761" t="s">
        <v>3635</v>
      </c>
      <c r="Y761">
        <v>0</v>
      </c>
      <c r="AA761" t="s">
        <v>70</v>
      </c>
      <c r="AC761" t="s">
        <v>3942</v>
      </c>
      <c r="AD761" t="s">
        <v>3847</v>
      </c>
      <c r="AF761" t="s">
        <v>4059</v>
      </c>
      <c r="AH761" t="s">
        <v>4078</v>
      </c>
      <c r="AJ761" t="s">
        <v>3942</v>
      </c>
      <c r="AL761" t="s">
        <v>4070</v>
      </c>
      <c r="AM761" t="s">
        <v>2230</v>
      </c>
      <c r="AO761">
        <v>775</v>
      </c>
      <c r="AQ761">
        <v>359</v>
      </c>
      <c r="AS761" t="s">
        <v>4113</v>
      </c>
      <c r="AU761" t="s">
        <v>4128</v>
      </c>
      <c r="AW761">
        <v>10</v>
      </c>
      <c r="AY761" t="s">
        <v>4140</v>
      </c>
      <c r="BA761" t="s">
        <v>4149</v>
      </c>
      <c r="BB761" t="s">
        <v>4154</v>
      </c>
      <c r="BF761" t="s">
        <v>4281</v>
      </c>
      <c r="BG761" t="s">
        <v>4538</v>
      </c>
      <c r="BM761" t="s">
        <v>4627</v>
      </c>
    </row>
    <row r="762" spans="1:65">
      <c r="A762" s="1">
        <f>HYPERLINK("https://lsnyc.legalserver.org/matter/dynamic-profile/view/1898972","19-1898972")</f>
        <v>0</v>
      </c>
      <c r="B762" t="s">
        <v>86</v>
      </c>
      <c r="C762" t="s">
        <v>93</v>
      </c>
      <c r="D762" t="s">
        <v>199</v>
      </c>
      <c r="F762" t="s">
        <v>478</v>
      </c>
      <c r="G762" t="s">
        <v>1288</v>
      </c>
      <c r="H762" t="s">
        <v>1829</v>
      </c>
      <c r="I762" t="s">
        <v>2088</v>
      </c>
      <c r="J762" t="s">
        <v>2205</v>
      </c>
      <c r="K762">
        <v>11233</v>
      </c>
      <c r="N762" t="s">
        <v>2233</v>
      </c>
      <c r="O762" t="s">
        <v>2704</v>
      </c>
      <c r="P762" t="s">
        <v>2930</v>
      </c>
      <c r="R762">
        <v>1</v>
      </c>
      <c r="S762">
        <v>0</v>
      </c>
      <c r="T762">
        <v>264.21</v>
      </c>
      <c r="W762">
        <v>33000</v>
      </c>
      <c r="X762" t="s">
        <v>3668</v>
      </c>
      <c r="Y762">
        <v>0</v>
      </c>
      <c r="AA762" t="s">
        <v>70</v>
      </c>
      <c r="AC762" t="s">
        <v>3942</v>
      </c>
      <c r="AD762" t="s">
        <v>4035</v>
      </c>
      <c r="AF762" t="s">
        <v>4061</v>
      </c>
      <c r="AH762" t="s">
        <v>3510</v>
      </c>
      <c r="AJ762" t="s">
        <v>3942</v>
      </c>
      <c r="AL762" t="s">
        <v>4070</v>
      </c>
      <c r="AM762" t="s">
        <v>2230</v>
      </c>
      <c r="AO762">
        <v>913</v>
      </c>
      <c r="AQ762">
        <v>359</v>
      </c>
      <c r="AS762" t="s">
        <v>4113</v>
      </c>
      <c r="AT762" t="s">
        <v>4127</v>
      </c>
      <c r="AW762">
        <v>20</v>
      </c>
      <c r="AY762" t="s">
        <v>4140</v>
      </c>
      <c r="BA762" t="s">
        <v>4149</v>
      </c>
      <c r="BB762" t="s">
        <v>4154</v>
      </c>
      <c r="BC762" t="s">
        <v>4128</v>
      </c>
      <c r="BF762" t="s">
        <v>4281</v>
      </c>
      <c r="BM762" t="s">
        <v>4627</v>
      </c>
    </row>
    <row r="763" spans="1:65">
      <c r="A763" s="1">
        <f>HYPERLINK("https://lsnyc.legalserver.org/matter/dynamic-profile/view/1892770","19-1892770")</f>
        <v>0</v>
      </c>
      <c r="B763" t="s">
        <v>86</v>
      </c>
      <c r="C763" t="s">
        <v>93</v>
      </c>
      <c r="D763" t="s">
        <v>412</v>
      </c>
      <c r="F763" t="s">
        <v>849</v>
      </c>
      <c r="G763" t="s">
        <v>1379</v>
      </c>
      <c r="H763" t="s">
        <v>1828</v>
      </c>
      <c r="I763" t="s">
        <v>1998</v>
      </c>
      <c r="J763" t="s">
        <v>2205</v>
      </c>
      <c r="K763">
        <v>11233</v>
      </c>
      <c r="N763" t="s">
        <v>2233</v>
      </c>
      <c r="O763" t="s">
        <v>2694</v>
      </c>
      <c r="P763" t="s">
        <v>2930</v>
      </c>
      <c r="R763">
        <v>2</v>
      </c>
      <c r="S763">
        <v>1</v>
      </c>
      <c r="T763">
        <v>281.29</v>
      </c>
      <c r="W763">
        <v>60000</v>
      </c>
      <c r="X763" t="s">
        <v>3669</v>
      </c>
      <c r="Y763">
        <v>0</v>
      </c>
      <c r="AA763" t="s">
        <v>70</v>
      </c>
      <c r="AC763" t="s">
        <v>3942</v>
      </c>
      <c r="AD763" t="s">
        <v>4035</v>
      </c>
      <c r="AF763" t="s">
        <v>4061</v>
      </c>
      <c r="AH763" t="s">
        <v>3510</v>
      </c>
      <c r="AJ763" t="s">
        <v>3942</v>
      </c>
      <c r="AL763" t="s">
        <v>4070</v>
      </c>
      <c r="AM763" t="s">
        <v>2230</v>
      </c>
      <c r="AO763">
        <v>1200</v>
      </c>
      <c r="AQ763">
        <v>359</v>
      </c>
      <c r="AS763" t="s">
        <v>4113</v>
      </c>
      <c r="AT763" t="s">
        <v>4127</v>
      </c>
      <c r="AW763">
        <v>4</v>
      </c>
      <c r="AY763" t="s">
        <v>4140</v>
      </c>
      <c r="BA763" t="s">
        <v>4149</v>
      </c>
      <c r="BB763" t="s">
        <v>4154</v>
      </c>
      <c r="BF763" t="s">
        <v>4281</v>
      </c>
      <c r="BM763" t="s">
        <v>4627</v>
      </c>
    </row>
    <row r="764" spans="1:65">
      <c r="A764" s="1">
        <f>HYPERLINK("https://lsnyc.legalserver.org/matter/dynamic-profile/view/1892762","19-1892762")</f>
        <v>0</v>
      </c>
      <c r="B764" t="s">
        <v>86</v>
      </c>
      <c r="C764" t="s">
        <v>93</v>
      </c>
      <c r="D764" t="s">
        <v>412</v>
      </c>
      <c r="F764" t="s">
        <v>871</v>
      </c>
      <c r="G764" t="s">
        <v>1403</v>
      </c>
      <c r="H764" t="s">
        <v>1829</v>
      </c>
      <c r="I764" t="s">
        <v>2103</v>
      </c>
      <c r="J764" t="s">
        <v>2205</v>
      </c>
      <c r="K764">
        <v>11233</v>
      </c>
      <c r="N764" t="s">
        <v>2233</v>
      </c>
      <c r="O764" t="s">
        <v>2725</v>
      </c>
      <c r="P764" t="s">
        <v>2930</v>
      </c>
      <c r="R764">
        <v>2</v>
      </c>
      <c r="S764">
        <v>0</v>
      </c>
      <c r="T764">
        <v>283.86</v>
      </c>
      <c r="U764" t="s">
        <v>274</v>
      </c>
      <c r="V764" t="s">
        <v>3458</v>
      </c>
      <c r="W764">
        <v>48000</v>
      </c>
      <c r="X764" t="s">
        <v>3670</v>
      </c>
      <c r="Y764">
        <v>0</v>
      </c>
      <c r="AA764" t="s">
        <v>70</v>
      </c>
      <c r="AC764" t="s">
        <v>3942</v>
      </c>
      <c r="AD764" t="s">
        <v>4035</v>
      </c>
      <c r="AF764" t="s">
        <v>4061</v>
      </c>
      <c r="AH764" t="s">
        <v>3510</v>
      </c>
      <c r="AJ764" t="s">
        <v>3942</v>
      </c>
      <c r="AL764" t="s">
        <v>4070</v>
      </c>
      <c r="AM764" t="s">
        <v>2230</v>
      </c>
      <c r="AO764">
        <v>1825</v>
      </c>
      <c r="AQ764">
        <v>359</v>
      </c>
      <c r="AS764" t="s">
        <v>4113</v>
      </c>
      <c r="AT764" t="s">
        <v>4127</v>
      </c>
      <c r="AW764">
        <v>1</v>
      </c>
      <c r="AY764" t="s">
        <v>4140</v>
      </c>
      <c r="BA764" t="s">
        <v>4149</v>
      </c>
      <c r="BB764" t="s">
        <v>4154</v>
      </c>
      <c r="BF764" t="s">
        <v>4281</v>
      </c>
      <c r="BM764" t="s">
        <v>4627</v>
      </c>
    </row>
    <row r="765" spans="1:65">
      <c r="A765" s="1">
        <f>HYPERLINK("https://lsnyc.legalserver.org/matter/dynamic-profile/view/1898838","19-1898838")</f>
        <v>0</v>
      </c>
      <c r="B765" t="s">
        <v>86</v>
      </c>
      <c r="C765" t="s">
        <v>93</v>
      </c>
      <c r="D765" t="s">
        <v>195</v>
      </c>
      <c r="F765" t="s">
        <v>867</v>
      </c>
      <c r="G765" t="s">
        <v>1091</v>
      </c>
      <c r="H765" t="s">
        <v>1831</v>
      </c>
      <c r="I765" t="s">
        <v>2104</v>
      </c>
      <c r="J765" t="s">
        <v>2205</v>
      </c>
      <c r="K765">
        <v>11233</v>
      </c>
      <c r="N765" t="s">
        <v>2233</v>
      </c>
      <c r="O765" t="s">
        <v>2726</v>
      </c>
      <c r="P765" t="s">
        <v>2930</v>
      </c>
      <c r="R765">
        <v>1</v>
      </c>
      <c r="S765">
        <v>0</v>
      </c>
      <c r="T765">
        <v>283.43</v>
      </c>
      <c r="W765">
        <v>35400</v>
      </c>
      <c r="X765" t="s">
        <v>3671</v>
      </c>
      <c r="Y765">
        <v>0</v>
      </c>
      <c r="AA765" t="s">
        <v>70</v>
      </c>
      <c r="AC765" t="s">
        <v>3942</v>
      </c>
      <c r="AD765" t="s">
        <v>3847</v>
      </c>
      <c r="AF765" t="s">
        <v>4059</v>
      </c>
      <c r="AH765" t="s">
        <v>4078</v>
      </c>
      <c r="AJ765" t="s">
        <v>3942</v>
      </c>
      <c r="AL765" t="s">
        <v>4070</v>
      </c>
      <c r="AM765" t="s">
        <v>2230</v>
      </c>
      <c r="AN765" t="s">
        <v>4107</v>
      </c>
      <c r="AO765">
        <v>0</v>
      </c>
      <c r="AQ765">
        <v>359</v>
      </c>
      <c r="AS765" t="s">
        <v>4113</v>
      </c>
      <c r="AT765" t="s">
        <v>4127</v>
      </c>
      <c r="AW765">
        <v>21</v>
      </c>
      <c r="AY765" t="s">
        <v>4140</v>
      </c>
      <c r="BA765" t="s">
        <v>4149</v>
      </c>
      <c r="BB765" t="s">
        <v>4154</v>
      </c>
      <c r="BC765" t="s">
        <v>4128</v>
      </c>
      <c r="BF765" t="s">
        <v>4281</v>
      </c>
      <c r="BG765" t="s">
        <v>4538</v>
      </c>
      <c r="BM765" t="s">
        <v>4627</v>
      </c>
    </row>
    <row r="766" spans="1:65">
      <c r="A766" s="1">
        <f>HYPERLINK("https://lsnyc.legalserver.org/matter/dynamic-profile/view/1898982","19-1898982")</f>
        <v>0</v>
      </c>
      <c r="B766" t="s">
        <v>86</v>
      </c>
      <c r="C766" t="s">
        <v>93</v>
      </c>
      <c r="D766" t="s">
        <v>199</v>
      </c>
      <c r="F766" t="s">
        <v>872</v>
      </c>
      <c r="G766" t="s">
        <v>1021</v>
      </c>
      <c r="H766" t="s">
        <v>1577</v>
      </c>
      <c r="I766" t="s">
        <v>2105</v>
      </c>
      <c r="J766" t="s">
        <v>2205</v>
      </c>
      <c r="K766">
        <v>11233</v>
      </c>
      <c r="N766" t="s">
        <v>2233</v>
      </c>
      <c r="O766" t="s">
        <v>2727</v>
      </c>
      <c r="P766" t="s">
        <v>2930</v>
      </c>
      <c r="R766">
        <v>1</v>
      </c>
      <c r="S766">
        <v>0</v>
      </c>
      <c r="T766">
        <v>360.29</v>
      </c>
      <c r="W766">
        <v>45000</v>
      </c>
      <c r="X766" t="s">
        <v>3672</v>
      </c>
      <c r="Y766">
        <v>0</v>
      </c>
      <c r="AA766" t="s">
        <v>70</v>
      </c>
      <c r="AC766" t="s">
        <v>3942</v>
      </c>
      <c r="AD766" t="s">
        <v>3847</v>
      </c>
      <c r="AF766" t="s">
        <v>4059</v>
      </c>
      <c r="AH766" t="s">
        <v>4078</v>
      </c>
      <c r="AJ766" t="s">
        <v>3942</v>
      </c>
      <c r="AL766" t="s">
        <v>4070</v>
      </c>
      <c r="AM766" t="s">
        <v>2230</v>
      </c>
      <c r="AO766">
        <v>1162</v>
      </c>
      <c r="AQ766">
        <v>359</v>
      </c>
      <c r="AS766" t="s">
        <v>4113</v>
      </c>
      <c r="AT766" t="s">
        <v>4127</v>
      </c>
      <c r="AW766">
        <v>55</v>
      </c>
      <c r="AY766" t="s">
        <v>4140</v>
      </c>
      <c r="BA766" t="s">
        <v>4149</v>
      </c>
      <c r="BB766" t="s">
        <v>4154</v>
      </c>
      <c r="BC766" t="s">
        <v>4128</v>
      </c>
      <c r="BF766" t="s">
        <v>4281</v>
      </c>
      <c r="BG766" t="s">
        <v>4539</v>
      </c>
      <c r="BM766" t="s">
        <v>4627</v>
      </c>
    </row>
    <row r="767" spans="1:65">
      <c r="A767" s="1">
        <f>HYPERLINK("https://lsnyc.legalserver.org/matter/dynamic-profile/view/1886541","18-1886541")</f>
        <v>0</v>
      </c>
      <c r="B767" t="s">
        <v>86</v>
      </c>
      <c r="C767" t="s">
        <v>93</v>
      </c>
      <c r="D767" t="s">
        <v>107</v>
      </c>
      <c r="F767" t="s">
        <v>843</v>
      </c>
      <c r="G767" t="s">
        <v>1404</v>
      </c>
      <c r="H767" t="s">
        <v>1633</v>
      </c>
      <c r="I767" t="s">
        <v>1990</v>
      </c>
      <c r="J767" t="s">
        <v>2205</v>
      </c>
      <c r="K767">
        <v>11233</v>
      </c>
      <c r="N767" t="s">
        <v>2233</v>
      </c>
      <c r="O767" t="s">
        <v>2728</v>
      </c>
      <c r="Q767" t="s">
        <v>3327</v>
      </c>
      <c r="R767">
        <v>2</v>
      </c>
      <c r="S767">
        <v>0</v>
      </c>
      <c r="T767">
        <v>692.59</v>
      </c>
      <c r="W767">
        <v>114000</v>
      </c>
      <c r="Y767">
        <v>0</v>
      </c>
      <c r="AA767" t="s">
        <v>70</v>
      </c>
      <c r="AC767" t="s">
        <v>3942</v>
      </c>
      <c r="AD767" t="s">
        <v>4037</v>
      </c>
      <c r="AF767" t="s">
        <v>4059</v>
      </c>
      <c r="AH767" t="s">
        <v>4078</v>
      </c>
      <c r="AJ767" t="s">
        <v>3942</v>
      </c>
      <c r="AL767" t="s">
        <v>4094</v>
      </c>
      <c r="AM767" t="s">
        <v>2230</v>
      </c>
      <c r="AO767">
        <v>1133</v>
      </c>
      <c r="AQ767">
        <v>764</v>
      </c>
      <c r="AS767" t="s">
        <v>4113</v>
      </c>
      <c r="AU767" t="s">
        <v>4128</v>
      </c>
      <c r="AW767">
        <v>36</v>
      </c>
      <c r="AY767" t="s">
        <v>4140</v>
      </c>
      <c r="BA767" t="s">
        <v>4149</v>
      </c>
      <c r="BB767" t="s">
        <v>4154</v>
      </c>
      <c r="BF767" t="s">
        <v>4281</v>
      </c>
      <c r="BG767" t="s">
        <v>4538</v>
      </c>
      <c r="BM767" t="s">
        <v>4627</v>
      </c>
    </row>
    <row r="768" spans="1:65">
      <c r="A768" s="1">
        <f>HYPERLINK("https://lsnyc.legalserver.org/matter/dynamic-profile/view/1913294","19-1913294")</f>
        <v>0</v>
      </c>
      <c r="B768" t="s">
        <v>86</v>
      </c>
      <c r="C768" t="s">
        <v>93</v>
      </c>
      <c r="D768" t="s">
        <v>358</v>
      </c>
      <c r="F768" t="s">
        <v>508</v>
      </c>
      <c r="G768" t="s">
        <v>1043</v>
      </c>
      <c r="H768" t="s">
        <v>1582</v>
      </c>
      <c r="I768">
        <v>27</v>
      </c>
      <c r="J768" t="s">
        <v>2205</v>
      </c>
      <c r="K768">
        <v>11213</v>
      </c>
      <c r="N768" t="s">
        <v>2233</v>
      </c>
      <c r="O768" t="s">
        <v>2273</v>
      </c>
      <c r="Q768" t="s">
        <v>2958</v>
      </c>
      <c r="R768">
        <v>2</v>
      </c>
      <c r="S768">
        <v>0</v>
      </c>
      <c r="T768">
        <v>359.55</v>
      </c>
      <c r="W768">
        <v>60800</v>
      </c>
      <c r="X768" t="s">
        <v>3673</v>
      </c>
      <c r="Y768">
        <v>77.59999999999999</v>
      </c>
      <c r="Z768" t="s">
        <v>457</v>
      </c>
      <c r="AA768" t="s">
        <v>90</v>
      </c>
      <c r="AC768" t="s">
        <v>3942</v>
      </c>
      <c r="AD768" t="s">
        <v>3958</v>
      </c>
      <c r="AF768" t="s">
        <v>4062</v>
      </c>
      <c r="AH768" t="s">
        <v>4076</v>
      </c>
      <c r="AJ768" t="s">
        <v>3942</v>
      </c>
      <c r="AL768" t="s">
        <v>4087</v>
      </c>
      <c r="AM768" t="s">
        <v>2230</v>
      </c>
      <c r="AO768">
        <v>861.2</v>
      </c>
      <c r="AQ768">
        <v>31</v>
      </c>
      <c r="AS768" t="s">
        <v>4113</v>
      </c>
      <c r="AU768" t="s">
        <v>4128</v>
      </c>
      <c r="AW768">
        <v>34</v>
      </c>
      <c r="AY768" t="s">
        <v>4140</v>
      </c>
      <c r="BA768" t="s">
        <v>4149</v>
      </c>
      <c r="BC768" t="s">
        <v>4155</v>
      </c>
      <c r="BE768" t="s">
        <v>4128</v>
      </c>
      <c r="BF768" t="s">
        <v>4281</v>
      </c>
      <c r="BM768" t="s">
        <v>4627</v>
      </c>
    </row>
    <row r="769" spans="1:65">
      <c r="A769" s="1">
        <f>HYPERLINK("https://lsnyc.legalserver.org/matter/dynamic-profile/view/1898953","19-1898953")</f>
        <v>0</v>
      </c>
      <c r="B769" t="s">
        <v>86</v>
      </c>
      <c r="C769" t="s">
        <v>93</v>
      </c>
      <c r="D769" t="s">
        <v>199</v>
      </c>
      <c r="F769" t="s">
        <v>873</v>
      </c>
      <c r="G769" t="s">
        <v>1405</v>
      </c>
      <c r="H769" t="s">
        <v>1829</v>
      </c>
      <c r="I769" t="s">
        <v>2106</v>
      </c>
      <c r="J769" t="s">
        <v>2205</v>
      </c>
      <c r="K769">
        <v>11233</v>
      </c>
      <c r="N769" t="s">
        <v>2233</v>
      </c>
      <c r="O769" t="s">
        <v>2729</v>
      </c>
      <c r="P769" t="s">
        <v>2930</v>
      </c>
      <c r="R769">
        <v>1</v>
      </c>
      <c r="S769">
        <v>1</v>
      </c>
      <c r="T769">
        <v>354.82</v>
      </c>
      <c r="W769">
        <v>60000</v>
      </c>
      <c r="X769" t="s">
        <v>3674</v>
      </c>
      <c r="Y769">
        <v>0</v>
      </c>
      <c r="AA769" t="s">
        <v>70</v>
      </c>
      <c r="AC769" t="s">
        <v>3942</v>
      </c>
      <c r="AD769" t="s">
        <v>4035</v>
      </c>
      <c r="AF769" t="s">
        <v>4061</v>
      </c>
      <c r="AH769" t="s">
        <v>3510</v>
      </c>
      <c r="AJ769" t="s">
        <v>3942</v>
      </c>
      <c r="AL769" t="s">
        <v>4070</v>
      </c>
      <c r="AM769" t="s">
        <v>2230</v>
      </c>
      <c r="AO769">
        <v>888.58</v>
      </c>
      <c r="AQ769">
        <v>359</v>
      </c>
      <c r="AS769" t="s">
        <v>4113</v>
      </c>
      <c r="AT769" t="s">
        <v>4127</v>
      </c>
      <c r="AW769">
        <v>11</v>
      </c>
      <c r="AY769" t="s">
        <v>4140</v>
      </c>
      <c r="BA769" t="s">
        <v>4149</v>
      </c>
      <c r="BB769" t="s">
        <v>4154</v>
      </c>
      <c r="BC769" t="s">
        <v>4128</v>
      </c>
      <c r="BF769" t="s">
        <v>4281</v>
      </c>
      <c r="BM769" t="s">
        <v>4627</v>
      </c>
    </row>
    <row r="770" spans="1:65">
      <c r="A770" s="1">
        <f>HYPERLINK("https://lsnyc.legalserver.org/matter/dynamic-profile/view/1898847","19-1898847")</f>
        <v>0</v>
      </c>
      <c r="B770" t="s">
        <v>86</v>
      </c>
      <c r="C770" t="s">
        <v>93</v>
      </c>
      <c r="D770" t="s">
        <v>195</v>
      </c>
      <c r="F770" t="s">
        <v>874</v>
      </c>
      <c r="G770" t="s">
        <v>1406</v>
      </c>
      <c r="H770" t="s">
        <v>1577</v>
      </c>
      <c r="I770" t="s">
        <v>2107</v>
      </c>
      <c r="J770" t="s">
        <v>2205</v>
      </c>
      <c r="K770">
        <v>11233</v>
      </c>
      <c r="N770" t="s">
        <v>2233</v>
      </c>
      <c r="O770" t="s">
        <v>2730</v>
      </c>
      <c r="P770" t="s">
        <v>2930</v>
      </c>
      <c r="R770">
        <v>1</v>
      </c>
      <c r="S770">
        <v>1</v>
      </c>
      <c r="T770">
        <v>354.82</v>
      </c>
      <c r="W770">
        <v>60000</v>
      </c>
      <c r="X770" t="s">
        <v>3675</v>
      </c>
      <c r="Y770">
        <v>0</v>
      </c>
      <c r="AA770" t="s">
        <v>70</v>
      </c>
      <c r="AC770" t="s">
        <v>3942</v>
      </c>
      <c r="AD770" t="s">
        <v>4035</v>
      </c>
      <c r="AF770" t="s">
        <v>4061</v>
      </c>
      <c r="AH770" t="s">
        <v>3510</v>
      </c>
      <c r="AJ770" t="s">
        <v>3942</v>
      </c>
      <c r="AL770" t="s">
        <v>4070</v>
      </c>
      <c r="AM770" t="s">
        <v>2230</v>
      </c>
      <c r="AN770" t="s">
        <v>4107</v>
      </c>
      <c r="AO770">
        <v>0</v>
      </c>
      <c r="AQ770">
        <v>359</v>
      </c>
      <c r="AS770" t="s">
        <v>4113</v>
      </c>
      <c r="AT770" t="s">
        <v>4127</v>
      </c>
      <c r="AW770">
        <v>6</v>
      </c>
      <c r="AY770" t="s">
        <v>4140</v>
      </c>
      <c r="BA770" t="s">
        <v>4149</v>
      </c>
      <c r="BB770" t="s">
        <v>4154</v>
      </c>
      <c r="BF770" t="s">
        <v>4281</v>
      </c>
      <c r="BM770" t="s">
        <v>4627</v>
      </c>
    </row>
    <row r="771" spans="1:65">
      <c r="A771" s="1">
        <f>HYPERLINK("https://lsnyc.legalserver.org/matter/dynamic-profile/view/1898951","19-1898951")</f>
        <v>0</v>
      </c>
      <c r="B771" t="s">
        <v>86</v>
      </c>
      <c r="C771" t="s">
        <v>93</v>
      </c>
      <c r="D771" t="s">
        <v>199</v>
      </c>
      <c r="F771" t="s">
        <v>873</v>
      </c>
      <c r="G771" t="s">
        <v>1405</v>
      </c>
      <c r="H771" t="s">
        <v>1829</v>
      </c>
      <c r="I771" t="s">
        <v>2106</v>
      </c>
      <c r="J771" t="s">
        <v>2205</v>
      </c>
      <c r="K771">
        <v>11233</v>
      </c>
      <c r="N771" t="s">
        <v>2233</v>
      </c>
      <c r="O771" t="s">
        <v>2729</v>
      </c>
      <c r="P771" t="s">
        <v>2930</v>
      </c>
      <c r="R771">
        <v>1</v>
      </c>
      <c r="S771">
        <v>1</v>
      </c>
      <c r="T771">
        <v>354.82</v>
      </c>
      <c r="W771">
        <v>60000</v>
      </c>
      <c r="X771" t="s">
        <v>3624</v>
      </c>
      <c r="Y771">
        <v>0</v>
      </c>
      <c r="AA771" t="s">
        <v>70</v>
      </c>
      <c r="AC771" t="s">
        <v>3942</v>
      </c>
      <c r="AD771" t="s">
        <v>3847</v>
      </c>
      <c r="AF771" t="s">
        <v>4059</v>
      </c>
      <c r="AH771" t="s">
        <v>4078</v>
      </c>
      <c r="AJ771" t="s">
        <v>3942</v>
      </c>
      <c r="AL771" t="s">
        <v>4070</v>
      </c>
      <c r="AM771" t="s">
        <v>2230</v>
      </c>
      <c r="AO771">
        <v>888.58</v>
      </c>
      <c r="AQ771">
        <v>359</v>
      </c>
      <c r="AS771" t="s">
        <v>4113</v>
      </c>
      <c r="AT771" t="s">
        <v>4127</v>
      </c>
      <c r="AW771">
        <v>11</v>
      </c>
      <c r="AY771" t="s">
        <v>4140</v>
      </c>
      <c r="BA771" t="s">
        <v>4149</v>
      </c>
      <c r="BB771" t="s">
        <v>4154</v>
      </c>
      <c r="BC771" t="s">
        <v>4128</v>
      </c>
      <c r="BF771" t="s">
        <v>4281</v>
      </c>
      <c r="BG771" t="s">
        <v>4538</v>
      </c>
      <c r="BM771" t="s">
        <v>4627</v>
      </c>
    </row>
    <row r="772" spans="1:65">
      <c r="A772" s="1">
        <f>HYPERLINK("https://lsnyc.legalserver.org/matter/dynamic-profile/view/1898845","19-1898845")</f>
        <v>0</v>
      </c>
      <c r="B772" t="s">
        <v>86</v>
      </c>
      <c r="C772" t="s">
        <v>93</v>
      </c>
      <c r="D772" t="s">
        <v>195</v>
      </c>
      <c r="F772" t="s">
        <v>874</v>
      </c>
      <c r="G772" t="s">
        <v>1406</v>
      </c>
      <c r="H772" t="s">
        <v>1577</v>
      </c>
      <c r="I772" t="s">
        <v>2107</v>
      </c>
      <c r="J772" t="s">
        <v>2205</v>
      </c>
      <c r="K772">
        <v>11233</v>
      </c>
      <c r="N772" t="s">
        <v>2233</v>
      </c>
      <c r="O772" t="s">
        <v>2730</v>
      </c>
      <c r="P772" t="s">
        <v>2930</v>
      </c>
      <c r="R772">
        <v>1</v>
      </c>
      <c r="S772">
        <v>1</v>
      </c>
      <c r="T772">
        <v>354.82</v>
      </c>
      <c r="W772">
        <v>60000</v>
      </c>
      <c r="X772" t="s">
        <v>3624</v>
      </c>
      <c r="Y772">
        <v>0</v>
      </c>
      <c r="AA772" t="s">
        <v>70</v>
      </c>
      <c r="AC772" t="s">
        <v>3942</v>
      </c>
      <c r="AD772" t="s">
        <v>3847</v>
      </c>
      <c r="AF772" t="s">
        <v>4059</v>
      </c>
      <c r="AH772" t="s">
        <v>4078</v>
      </c>
      <c r="AJ772" t="s">
        <v>3942</v>
      </c>
      <c r="AL772" t="s">
        <v>4070</v>
      </c>
      <c r="AM772" t="s">
        <v>2230</v>
      </c>
      <c r="AN772" t="s">
        <v>4107</v>
      </c>
      <c r="AO772">
        <v>0</v>
      </c>
      <c r="AQ772">
        <v>359</v>
      </c>
      <c r="AS772" t="s">
        <v>4113</v>
      </c>
      <c r="AT772" t="s">
        <v>4127</v>
      </c>
      <c r="AW772">
        <v>6</v>
      </c>
      <c r="AY772" t="s">
        <v>4140</v>
      </c>
      <c r="BA772" t="s">
        <v>4149</v>
      </c>
      <c r="BB772" t="s">
        <v>4154</v>
      </c>
      <c r="BF772" t="s">
        <v>4281</v>
      </c>
      <c r="BG772" t="s">
        <v>4539</v>
      </c>
      <c r="BM772" t="s">
        <v>4627</v>
      </c>
    </row>
    <row r="773" spans="1:65">
      <c r="A773" s="1">
        <f>HYPERLINK("https://lsnyc.legalserver.org/matter/dynamic-profile/view/1890543","19-1890543")</f>
        <v>0</v>
      </c>
      <c r="B773" t="s">
        <v>86</v>
      </c>
      <c r="C773" t="s">
        <v>93</v>
      </c>
      <c r="D773" t="s">
        <v>414</v>
      </c>
      <c r="F773" t="s">
        <v>875</v>
      </c>
      <c r="G773" t="s">
        <v>1204</v>
      </c>
      <c r="H773" t="s">
        <v>1633</v>
      </c>
      <c r="I773" t="s">
        <v>1948</v>
      </c>
      <c r="J773" t="s">
        <v>2205</v>
      </c>
      <c r="K773">
        <v>11233</v>
      </c>
      <c r="N773" t="s">
        <v>2233</v>
      </c>
      <c r="O773" t="s">
        <v>2731</v>
      </c>
      <c r="P773" t="s">
        <v>2930</v>
      </c>
      <c r="R773">
        <v>2</v>
      </c>
      <c r="S773">
        <v>0</v>
      </c>
      <c r="T773">
        <v>40.21</v>
      </c>
      <c r="W773">
        <v>6800</v>
      </c>
      <c r="X773" t="s">
        <v>3676</v>
      </c>
      <c r="Y773">
        <v>0</v>
      </c>
      <c r="AA773" t="s">
        <v>90</v>
      </c>
      <c r="AC773" t="s">
        <v>3942</v>
      </c>
      <c r="AD773" t="s">
        <v>3847</v>
      </c>
      <c r="AF773" t="s">
        <v>4059</v>
      </c>
      <c r="AH773" t="s">
        <v>4078</v>
      </c>
      <c r="AJ773" t="s">
        <v>3942</v>
      </c>
      <c r="AL773" t="s">
        <v>4088</v>
      </c>
      <c r="AM773" t="s">
        <v>2230</v>
      </c>
      <c r="AO773">
        <v>300</v>
      </c>
      <c r="AQ773">
        <v>359</v>
      </c>
      <c r="AS773" t="s">
        <v>4113</v>
      </c>
      <c r="AU773" t="s">
        <v>4129</v>
      </c>
      <c r="AW773">
        <v>50</v>
      </c>
      <c r="AY773" t="s">
        <v>4140</v>
      </c>
      <c r="BA773" t="s">
        <v>4149</v>
      </c>
      <c r="BB773" t="s">
        <v>4154</v>
      </c>
      <c r="BF773" t="s">
        <v>4281</v>
      </c>
      <c r="BG773" t="s">
        <v>4538</v>
      </c>
      <c r="BM773" t="s">
        <v>4627</v>
      </c>
    </row>
    <row r="774" spans="1:65">
      <c r="A774" s="1">
        <f>HYPERLINK("https://lsnyc.legalserver.org/matter/dynamic-profile/view/1891944","19-1891944")</f>
        <v>0</v>
      </c>
      <c r="B774" t="s">
        <v>86</v>
      </c>
      <c r="C774" t="s">
        <v>93</v>
      </c>
      <c r="D774" t="s">
        <v>416</v>
      </c>
      <c r="F774" t="s">
        <v>876</v>
      </c>
      <c r="G774" t="s">
        <v>1139</v>
      </c>
      <c r="H774" t="s">
        <v>1633</v>
      </c>
      <c r="I774" t="s">
        <v>1968</v>
      </c>
      <c r="J774" t="s">
        <v>2205</v>
      </c>
      <c r="K774">
        <v>11233</v>
      </c>
      <c r="N774" t="s">
        <v>2233</v>
      </c>
      <c r="O774" t="s">
        <v>2732</v>
      </c>
      <c r="P774" t="s">
        <v>2930</v>
      </c>
      <c r="R774">
        <v>2</v>
      </c>
      <c r="S774">
        <v>0</v>
      </c>
      <c r="T774">
        <v>384.39</v>
      </c>
      <c r="U774" t="s">
        <v>274</v>
      </c>
      <c r="V774" t="s">
        <v>3458</v>
      </c>
      <c r="W774">
        <v>65000</v>
      </c>
      <c r="X774" t="s">
        <v>3677</v>
      </c>
      <c r="Y774">
        <v>0</v>
      </c>
      <c r="AA774" t="s">
        <v>70</v>
      </c>
      <c r="AC774" t="s">
        <v>3942</v>
      </c>
      <c r="AD774" t="s">
        <v>4035</v>
      </c>
      <c r="AF774" t="s">
        <v>4061</v>
      </c>
      <c r="AH774" t="s">
        <v>3510</v>
      </c>
      <c r="AJ774" t="s">
        <v>3942</v>
      </c>
      <c r="AL774" t="s">
        <v>4070</v>
      </c>
      <c r="AM774" t="s">
        <v>2230</v>
      </c>
      <c r="AO774">
        <v>1489</v>
      </c>
      <c r="AQ774">
        <v>359</v>
      </c>
      <c r="AS774" t="s">
        <v>4113</v>
      </c>
      <c r="AU774" t="s">
        <v>4128</v>
      </c>
      <c r="AW774">
        <v>4</v>
      </c>
      <c r="AY774" t="s">
        <v>4140</v>
      </c>
      <c r="BA774" t="s">
        <v>4149</v>
      </c>
      <c r="BB774" t="s">
        <v>4154</v>
      </c>
      <c r="BF774" t="s">
        <v>4281</v>
      </c>
      <c r="BM774" t="s">
        <v>4627</v>
      </c>
    </row>
    <row r="775" spans="1:65">
      <c r="A775" s="1">
        <f>HYPERLINK("https://lsnyc.legalserver.org/matter/dynamic-profile/view/1891478","19-1891478")</f>
        <v>0</v>
      </c>
      <c r="B775" t="s">
        <v>86</v>
      </c>
      <c r="C775" t="s">
        <v>93</v>
      </c>
      <c r="D775" t="s">
        <v>407</v>
      </c>
      <c r="F775" t="s">
        <v>875</v>
      </c>
      <c r="G775" t="s">
        <v>1204</v>
      </c>
      <c r="H775" t="s">
        <v>1633</v>
      </c>
      <c r="I775" t="s">
        <v>1948</v>
      </c>
      <c r="J775" t="s">
        <v>2205</v>
      </c>
      <c r="K775">
        <v>11233</v>
      </c>
      <c r="N775" t="s">
        <v>2233</v>
      </c>
      <c r="O775" t="s">
        <v>2731</v>
      </c>
      <c r="P775" t="s">
        <v>2930</v>
      </c>
      <c r="R775">
        <v>2</v>
      </c>
      <c r="S775">
        <v>0</v>
      </c>
      <c r="T775">
        <v>40.21</v>
      </c>
      <c r="W775">
        <v>6800</v>
      </c>
      <c r="X775" t="s">
        <v>3678</v>
      </c>
      <c r="Y775">
        <v>0</v>
      </c>
      <c r="AA775" t="s">
        <v>70</v>
      </c>
      <c r="AC775" t="s">
        <v>3942</v>
      </c>
      <c r="AD775" t="s">
        <v>4035</v>
      </c>
      <c r="AF775" t="s">
        <v>4061</v>
      </c>
      <c r="AH775" t="s">
        <v>3510</v>
      </c>
      <c r="AJ775" t="s">
        <v>3942</v>
      </c>
      <c r="AL775" t="s">
        <v>4088</v>
      </c>
      <c r="AM775" t="s">
        <v>2230</v>
      </c>
      <c r="AO775">
        <v>300</v>
      </c>
      <c r="AQ775">
        <v>359</v>
      </c>
      <c r="AS775" t="s">
        <v>4113</v>
      </c>
      <c r="AU775" t="s">
        <v>4129</v>
      </c>
      <c r="AW775">
        <v>50</v>
      </c>
      <c r="AY775" t="s">
        <v>4140</v>
      </c>
      <c r="BA775" t="s">
        <v>4149</v>
      </c>
      <c r="BB775" t="s">
        <v>4154</v>
      </c>
      <c r="BF775" t="s">
        <v>4281</v>
      </c>
      <c r="BM775" t="s">
        <v>4627</v>
      </c>
    </row>
    <row r="776" spans="1:65">
      <c r="A776" s="1">
        <f>HYPERLINK("https://lsnyc.legalserver.org/matter/dynamic-profile/view/1897341","19-1897341")</f>
        <v>0</v>
      </c>
      <c r="B776" t="s">
        <v>86</v>
      </c>
      <c r="C776" t="s">
        <v>93</v>
      </c>
      <c r="D776" t="s">
        <v>409</v>
      </c>
      <c r="F776" t="s">
        <v>877</v>
      </c>
      <c r="G776" t="s">
        <v>1407</v>
      </c>
      <c r="H776" t="s">
        <v>1633</v>
      </c>
      <c r="I776" t="s">
        <v>2108</v>
      </c>
      <c r="J776" t="s">
        <v>2205</v>
      </c>
      <c r="K776">
        <v>11233</v>
      </c>
      <c r="N776" t="s">
        <v>2233</v>
      </c>
      <c r="O776" t="s">
        <v>2733</v>
      </c>
      <c r="P776" t="s">
        <v>2930</v>
      </c>
      <c r="R776">
        <v>2</v>
      </c>
      <c r="S776">
        <v>0</v>
      </c>
      <c r="T776">
        <v>384.39</v>
      </c>
      <c r="W776">
        <v>65000</v>
      </c>
      <c r="X776" t="s">
        <v>3679</v>
      </c>
      <c r="Y776">
        <v>0</v>
      </c>
      <c r="AA776" t="s">
        <v>90</v>
      </c>
      <c r="AC776" t="s">
        <v>3942</v>
      </c>
      <c r="AD776" t="s">
        <v>4035</v>
      </c>
      <c r="AF776" t="s">
        <v>4061</v>
      </c>
      <c r="AH776" t="s">
        <v>3510</v>
      </c>
      <c r="AJ776" t="s">
        <v>3942</v>
      </c>
      <c r="AL776" t="s">
        <v>4088</v>
      </c>
      <c r="AM776" t="s">
        <v>2230</v>
      </c>
      <c r="AO776">
        <v>1000</v>
      </c>
      <c r="AQ776">
        <v>359</v>
      </c>
      <c r="AS776" t="s">
        <v>4113</v>
      </c>
      <c r="AT776" t="s">
        <v>4127</v>
      </c>
      <c r="AW776">
        <v>50</v>
      </c>
      <c r="AY776" t="s">
        <v>4140</v>
      </c>
      <c r="BA776" t="s">
        <v>4149</v>
      </c>
      <c r="BB776" t="s">
        <v>4154</v>
      </c>
      <c r="BF776" t="s">
        <v>4281</v>
      </c>
      <c r="BM776" t="s">
        <v>4627</v>
      </c>
    </row>
    <row r="777" spans="1:65">
      <c r="A777" s="1">
        <f>HYPERLINK("https://lsnyc.legalserver.org/matter/dynamic-profile/view/1886163","18-1886163")</f>
        <v>0</v>
      </c>
      <c r="B777" t="s">
        <v>86</v>
      </c>
      <c r="C777" t="s">
        <v>93</v>
      </c>
      <c r="D777" t="s">
        <v>419</v>
      </c>
      <c r="F777" t="s">
        <v>878</v>
      </c>
      <c r="G777" t="s">
        <v>1408</v>
      </c>
      <c r="H777" t="s">
        <v>1577</v>
      </c>
      <c r="I777" t="s">
        <v>1996</v>
      </c>
      <c r="J777" t="s">
        <v>2205</v>
      </c>
      <c r="K777">
        <v>11233</v>
      </c>
      <c r="N777" t="s">
        <v>2233</v>
      </c>
      <c r="O777" t="s">
        <v>2734</v>
      </c>
      <c r="Q777" t="s">
        <v>3328</v>
      </c>
      <c r="R777">
        <v>1</v>
      </c>
      <c r="S777">
        <v>0</v>
      </c>
      <c r="T777">
        <v>345.96</v>
      </c>
      <c r="W777">
        <v>42000</v>
      </c>
      <c r="Y777">
        <v>0</v>
      </c>
      <c r="AA777" t="s">
        <v>90</v>
      </c>
      <c r="AC777" t="s">
        <v>3942</v>
      </c>
      <c r="AD777" t="s">
        <v>211</v>
      </c>
      <c r="AF777" t="s">
        <v>4059</v>
      </c>
      <c r="AH777" t="s">
        <v>4078</v>
      </c>
      <c r="AJ777" t="s">
        <v>3942</v>
      </c>
      <c r="AK777" t="s">
        <v>4084</v>
      </c>
      <c r="AM777" t="s">
        <v>2230</v>
      </c>
      <c r="AO777">
        <v>583.25</v>
      </c>
      <c r="AQ777">
        <v>764</v>
      </c>
      <c r="AS777" t="s">
        <v>4113</v>
      </c>
      <c r="AU777" t="s">
        <v>4128</v>
      </c>
      <c r="AV777" t="s">
        <v>4137</v>
      </c>
      <c r="AW777">
        <v>0</v>
      </c>
      <c r="AY777" t="s">
        <v>4140</v>
      </c>
      <c r="BA777" t="s">
        <v>4149</v>
      </c>
      <c r="BB777" t="s">
        <v>4154</v>
      </c>
      <c r="BE777" t="s">
        <v>4128</v>
      </c>
      <c r="BF777" t="s">
        <v>4281</v>
      </c>
      <c r="BG777" t="s">
        <v>4539</v>
      </c>
      <c r="BM777" t="s">
        <v>4627</v>
      </c>
    </row>
    <row r="778" spans="1:65">
      <c r="A778" s="1">
        <f>HYPERLINK("https://lsnyc.legalserver.org/matter/dynamic-profile/view/1892854","19-1892854")</f>
        <v>0</v>
      </c>
      <c r="B778" t="s">
        <v>86</v>
      </c>
      <c r="C778" t="s">
        <v>93</v>
      </c>
      <c r="D778" t="s">
        <v>413</v>
      </c>
      <c r="F778" t="s">
        <v>879</v>
      </c>
      <c r="G778" t="s">
        <v>1091</v>
      </c>
      <c r="H778" t="s">
        <v>1829</v>
      </c>
      <c r="I778" t="s">
        <v>2109</v>
      </c>
      <c r="J778" t="s">
        <v>2205</v>
      </c>
      <c r="K778">
        <v>11233</v>
      </c>
      <c r="N778" t="s">
        <v>2233</v>
      </c>
      <c r="O778" t="s">
        <v>2452</v>
      </c>
      <c r="P778" t="s">
        <v>2930</v>
      </c>
      <c r="R778">
        <v>1</v>
      </c>
      <c r="S778">
        <v>0</v>
      </c>
      <c r="T778">
        <v>344.28</v>
      </c>
      <c r="U778" t="s">
        <v>274</v>
      </c>
      <c r="V778" t="s">
        <v>3458</v>
      </c>
      <c r="W778">
        <v>43000</v>
      </c>
      <c r="X778" t="s">
        <v>3680</v>
      </c>
      <c r="Y778">
        <v>0</v>
      </c>
      <c r="AA778" t="s">
        <v>70</v>
      </c>
      <c r="AC778" t="s">
        <v>3942</v>
      </c>
      <c r="AD778" t="s">
        <v>4035</v>
      </c>
      <c r="AF778" t="s">
        <v>4061</v>
      </c>
      <c r="AH778" t="s">
        <v>3510</v>
      </c>
      <c r="AJ778" t="s">
        <v>3942</v>
      </c>
      <c r="AL778" t="s">
        <v>4070</v>
      </c>
      <c r="AM778" t="s">
        <v>2230</v>
      </c>
      <c r="AO778">
        <v>833</v>
      </c>
      <c r="AP778" t="s">
        <v>4108</v>
      </c>
      <c r="AQ778" t="s">
        <v>4110</v>
      </c>
      <c r="AS778" t="s">
        <v>4113</v>
      </c>
      <c r="AT778" t="s">
        <v>4127</v>
      </c>
      <c r="AW778">
        <v>1</v>
      </c>
      <c r="AY778" t="s">
        <v>4140</v>
      </c>
      <c r="BA778" t="s">
        <v>4149</v>
      </c>
      <c r="BB778" t="s">
        <v>4154</v>
      </c>
      <c r="BF778" t="s">
        <v>4281</v>
      </c>
      <c r="BM778" t="s">
        <v>4627</v>
      </c>
    </row>
    <row r="779" spans="1:65">
      <c r="A779" s="1">
        <f>HYPERLINK("https://lsnyc.legalserver.org/matter/dynamic-profile/view/1892850","19-1892850")</f>
        <v>0</v>
      </c>
      <c r="B779" t="s">
        <v>86</v>
      </c>
      <c r="C779" t="s">
        <v>93</v>
      </c>
      <c r="D779" t="s">
        <v>413</v>
      </c>
      <c r="F779" t="s">
        <v>879</v>
      </c>
      <c r="G779" t="s">
        <v>1091</v>
      </c>
      <c r="H779" t="s">
        <v>1829</v>
      </c>
      <c r="I779" t="s">
        <v>2109</v>
      </c>
      <c r="J779" t="s">
        <v>2205</v>
      </c>
      <c r="K779">
        <v>11233</v>
      </c>
      <c r="N779" t="s">
        <v>2233</v>
      </c>
      <c r="O779" t="s">
        <v>2452</v>
      </c>
      <c r="P779" t="s">
        <v>2930</v>
      </c>
      <c r="R779">
        <v>1</v>
      </c>
      <c r="S779">
        <v>0</v>
      </c>
      <c r="T779">
        <v>344.28</v>
      </c>
      <c r="U779" t="s">
        <v>274</v>
      </c>
      <c r="V779" t="s">
        <v>3458</v>
      </c>
      <c r="W779">
        <v>43000</v>
      </c>
      <c r="X779" t="s">
        <v>3624</v>
      </c>
      <c r="Y779">
        <v>0</v>
      </c>
      <c r="AA779" t="s">
        <v>70</v>
      </c>
      <c r="AC779" t="s">
        <v>3942</v>
      </c>
      <c r="AD779" t="s">
        <v>3847</v>
      </c>
      <c r="AF779" t="s">
        <v>4059</v>
      </c>
      <c r="AH779" t="s">
        <v>4078</v>
      </c>
      <c r="AJ779" t="s">
        <v>3942</v>
      </c>
      <c r="AL779" t="s">
        <v>4070</v>
      </c>
      <c r="AM779" t="s">
        <v>2230</v>
      </c>
      <c r="AO779">
        <v>833</v>
      </c>
      <c r="AQ779">
        <v>359</v>
      </c>
      <c r="AS779" t="s">
        <v>4113</v>
      </c>
      <c r="AT779" t="s">
        <v>4127</v>
      </c>
      <c r="AW779">
        <v>1</v>
      </c>
      <c r="AY779" t="s">
        <v>4140</v>
      </c>
      <c r="BA779" t="s">
        <v>4149</v>
      </c>
      <c r="BB779" t="s">
        <v>4154</v>
      </c>
      <c r="BF779" t="s">
        <v>4281</v>
      </c>
      <c r="BG779" t="s">
        <v>4538</v>
      </c>
      <c r="BM779" t="s">
        <v>4627</v>
      </c>
    </row>
    <row r="780" spans="1:65">
      <c r="A780" s="1">
        <f>HYPERLINK("https://lsnyc.legalserver.org/matter/dynamic-profile/view/1891710","19-1891710")</f>
        <v>0</v>
      </c>
      <c r="B780" t="s">
        <v>86</v>
      </c>
      <c r="C780" t="s">
        <v>93</v>
      </c>
      <c r="D780" t="s">
        <v>410</v>
      </c>
      <c r="F780" t="s">
        <v>878</v>
      </c>
      <c r="G780" t="s">
        <v>1408</v>
      </c>
      <c r="H780" t="s">
        <v>1577</v>
      </c>
      <c r="I780" t="s">
        <v>1996</v>
      </c>
      <c r="J780" t="s">
        <v>2205</v>
      </c>
      <c r="K780">
        <v>11233</v>
      </c>
      <c r="N780" t="s">
        <v>2233</v>
      </c>
      <c r="O780" t="s">
        <v>2734</v>
      </c>
      <c r="Q780" t="s">
        <v>3328</v>
      </c>
      <c r="R780">
        <v>1</v>
      </c>
      <c r="S780">
        <v>0</v>
      </c>
      <c r="T780">
        <v>336.27</v>
      </c>
      <c r="W780">
        <v>42000</v>
      </c>
      <c r="X780" t="s">
        <v>3681</v>
      </c>
      <c r="Y780">
        <v>0</v>
      </c>
      <c r="AA780" t="s">
        <v>90</v>
      </c>
      <c r="AC780" t="s">
        <v>3942</v>
      </c>
      <c r="AD780" t="s">
        <v>4035</v>
      </c>
      <c r="AF780" t="s">
        <v>4061</v>
      </c>
      <c r="AH780" t="s">
        <v>3510</v>
      </c>
      <c r="AJ780" t="s">
        <v>3942</v>
      </c>
      <c r="AK780" t="s">
        <v>4084</v>
      </c>
      <c r="AM780" t="s">
        <v>2230</v>
      </c>
      <c r="AO780">
        <v>583.25</v>
      </c>
      <c r="AQ780">
        <v>359</v>
      </c>
      <c r="AS780" t="s">
        <v>4113</v>
      </c>
      <c r="AU780" t="s">
        <v>4128</v>
      </c>
      <c r="AV780" t="s">
        <v>4137</v>
      </c>
      <c r="AW780">
        <v>0</v>
      </c>
      <c r="AY780" t="s">
        <v>4140</v>
      </c>
      <c r="BA780" t="s">
        <v>4149</v>
      </c>
      <c r="BB780" t="s">
        <v>4154</v>
      </c>
      <c r="BF780" t="s">
        <v>4281</v>
      </c>
      <c r="BG780" t="s">
        <v>4128</v>
      </c>
      <c r="BM780" t="s">
        <v>4627</v>
      </c>
    </row>
    <row r="781" spans="1:65">
      <c r="A781" s="1">
        <f>HYPERLINK("https://lsnyc.legalserver.org/matter/dynamic-profile/view/1898983","19-1898983")</f>
        <v>0</v>
      </c>
      <c r="B781" t="s">
        <v>86</v>
      </c>
      <c r="C781" t="s">
        <v>93</v>
      </c>
      <c r="D781" t="s">
        <v>199</v>
      </c>
      <c r="F781" t="s">
        <v>872</v>
      </c>
      <c r="G781" t="s">
        <v>1021</v>
      </c>
      <c r="H781" t="s">
        <v>1577</v>
      </c>
      <c r="I781" t="s">
        <v>2105</v>
      </c>
      <c r="J781" t="s">
        <v>2205</v>
      </c>
      <c r="K781">
        <v>11233</v>
      </c>
      <c r="N781" t="s">
        <v>2233</v>
      </c>
      <c r="O781" t="s">
        <v>2727</v>
      </c>
      <c r="P781" t="s">
        <v>2930</v>
      </c>
      <c r="R781">
        <v>1</v>
      </c>
      <c r="S781">
        <v>0</v>
      </c>
      <c r="T781">
        <v>360.29</v>
      </c>
      <c r="W781">
        <v>45000</v>
      </c>
      <c r="X781" t="s">
        <v>3682</v>
      </c>
      <c r="Y781">
        <v>0</v>
      </c>
      <c r="AA781" t="s">
        <v>70</v>
      </c>
      <c r="AC781" t="s">
        <v>3942</v>
      </c>
      <c r="AD781" t="s">
        <v>4035</v>
      </c>
      <c r="AF781" t="s">
        <v>4061</v>
      </c>
      <c r="AH781" t="s">
        <v>3510</v>
      </c>
      <c r="AJ781" t="s">
        <v>3942</v>
      </c>
      <c r="AL781" t="s">
        <v>4070</v>
      </c>
      <c r="AM781" t="s">
        <v>2230</v>
      </c>
      <c r="AO781">
        <v>1162</v>
      </c>
      <c r="AQ781">
        <v>359</v>
      </c>
      <c r="AS781" t="s">
        <v>4113</v>
      </c>
      <c r="AT781" t="s">
        <v>4127</v>
      </c>
      <c r="AW781">
        <v>55</v>
      </c>
      <c r="AY781" t="s">
        <v>4140</v>
      </c>
      <c r="BA781" t="s">
        <v>4149</v>
      </c>
      <c r="BB781" t="s">
        <v>4154</v>
      </c>
      <c r="BC781" t="s">
        <v>4128</v>
      </c>
      <c r="BF781" t="s">
        <v>4281</v>
      </c>
      <c r="BM781" t="s">
        <v>4627</v>
      </c>
    </row>
    <row r="782" spans="1:65">
      <c r="A782" s="1">
        <f>HYPERLINK("https://lsnyc.legalserver.org/matter/dynamic-profile/view/1891616","19-1891616")</f>
        <v>0</v>
      </c>
      <c r="B782" t="s">
        <v>86</v>
      </c>
      <c r="C782" t="s">
        <v>93</v>
      </c>
      <c r="D782" t="s">
        <v>410</v>
      </c>
      <c r="F782" t="s">
        <v>880</v>
      </c>
      <c r="G782" t="s">
        <v>1409</v>
      </c>
      <c r="H782" t="s">
        <v>1633</v>
      </c>
      <c r="I782" t="s">
        <v>2110</v>
      </c>
      <c r="J782" t="s">
        <v>2205</v>
      </c>
      <c r="K782">
        <v>11233</v>
      </c>
      <c r="N782" t="s">
        <v>2233</v>
      </c>
      <c r="O782" t="s">
        <v>2735</v>
      </c>
      <c r="P782" t="s">
        <v>2930</v>
      </c>
      <c r="R782">
        <v>2</v>
      </c>
      <c r="S782">
        <v>0</v>
      </c>
      <c r="T782">
        <v>384.39</v>
      </c>
      <c r="U782" t="s">
        <v>274</v>
      </c>
      <c r="V782" t="s">
        <v>3458</v>
      </c>
      <c r="W782">
        <v>65000</v>
      </c>
      <c r="X782" t="s">
        <v>3683</v>
      </c>
      <c r="Y782">
        <v>0</v>
      </c>
      <c r="AA782" t="s">
        <v>70</v>
      </c>
      <c r="AC782" t="s">
        <v>3942</v>
      </c>
      <c r="AD782" t="s">
        <v>4035</v>
      </c>
      <c r="AF782" t="s">
        <v>4061</v>
      </c>
      <c r="AH782" t="s">
        <v>3510</v>
      </c>
      <c r="AJ782" t="s">
        <v>3942</v>
      </c>
      <c r="AL782" t="s">
        <v>4070</v>
      </c>
      <c r="AM782" t="s">
        <v>2230</v>
      </c>
      <c r="AO782">
        <v>1534.37</v>
      </c>
      <c r="AQ782">
        <v>359</v>
      </c>
      <c r="AS782" t="s">
        <v>4113</v>
      </c>
      <c r="AU782" t="s">
        <v>4128</v>
      </c>
      <c r="AW782">
        <v>3</v>
      </c>
      <c r="AY782" t="s">
        <v>4140</v>
      </c>
      <c r="BA782" t="s">
        <v>4149</v>
      </c>
      <c r="BB782" t="s">
        <v>4154</v>
      </c>
      <c r="BF782" t="s">
        <v>4281</v>
      </c>
      <c r="BM782" t="s">
        <v>4627</v>
      </c>
    </row>
    <row r="783" spans="1:65">
      <c r="A783" s="1">
        <f>HYPERLINK("https://lsnyc.legalserver.org/matter/dynamic-profile/view/1896627","19-1896627")</f>
        <v>0</v>
      </c>
      <c r="B783" t="s">
        <v>86</v>
      </c>
      <c r="C783" t="s">
        <v>93</v>
      </c>
      <c r="D783" t="s">
        <v>258</v>
      </c>
      <c r="F783" t="s">
        <v>549</v>
      </c>
      <c r="G783" t="s">
        <v>1068</v>
      </c>
      <c r="H783" t="s">
        <v>1633</v>
      </c>
      <c r="I783" t="s">
        <v>2111</v>
      </c>
      <c r="J783" t="s">
        <v>2205</v>
      </c>
      <c r="K783">
        <v>11233</v>
      </c>
      <c r="N783" t="s">
        <v>2233</v>
      </c>
      <c r="O783" t="s">
        <v>2736</v>
      </c>
      <c r="P783" t="s">
        <v>2930</v>
      </c>
      <c r="R783">
        <v>2</v>
      </c>
      <c r="S783">
        <v>0</v>
      </c>
      <c r="T783">
        <v>37.21</v>
      </c>
      <c r="W783">
        <v>6292</v>
      </c>
      <c r="X783" t="s">
        <v>3684</v>
      </c>
      <c r="Y783">
        <v>0</v>
      </c>
      <c r="AA783" t="s">
        <v>70</v>
      </c>
      <c r="AC783" t="s">
        <v>3942</v>
      </c>
      <c r="AD783" t="s">
        <v>247</v>
      </c>
      <c r="AF783" t="s">
        <v>4061</v>
      </c>
      <c r="AH783" t="s">
        <v>3510</v>
      </c>
      <c r="AJ783" t="s">
        <v>3942</v>
      </c>
      <c r="AK783" t="s">
        <v>4084</v>
      </c>
      <c r="AM783" t="s">
        <v>2230</v>
      </c>
      <c r="AO783">
        <v>1056</v>
      </c>
      <c r="AQ783">
        <v>359</v>
      </c>
      <c r="AS783" t="s">
        <v>4113</v>
      </c>
      <c r="AU783" t="s">
        <v>4128</v>
      </c>
      <c r="AW783">
        <v>9</v>
      </c>
      <c r="AY783" t="s">
        <v>4140</v>
      </c>
      <c r="BA783" t="s">
        <v>4149</v>
      </c>
      <c r="BC783" t="s">
        <v>4155</v>
      </c>
      <c r="BF783" t="s">
        <v>4281</v>
      </c>
      <c r="BM783" t="s">
        <v>4627</v>
      </c>
    </row>
    <row r="784" spans="1:65">
      <c r="A784" s="1">
        <f>HYPERLINK("https://lsnyc.legalserver.org/matter/dynamic-profile/view/1892094","19-1892094")</f>
        <v>0</v>
      </c>
      <c r="B784" t="s">
        <v>86</v>
      </c>
      <c r="C784" t="s">
        <v>93</v>
      </c>
      <c r="D784" t="s">
        <v>411</v>
      </c>
      <c r="F784" t="s">
        <v>847</v>
      </c>
      <c r="G784" t="s">
        <v>1021</v>
      </c>
      <c r="H784" t="s">
        <v>1577</v>
      </c>
      <c r="I784" t="s">
        <v>2079</v>
      </c>
      <c r="J784" t="s">
        <v>2205</v>
      </c>
      <c r="K784">
        <v>11233</v>
      </c>
      <c r="N784" t="s">
        <v>2233</v>
      </c>
      <c r="O784" t="s">
        <v>2692</v>
      </c>
      <c r="P784" t="s">
        <v>2930</v>
      </c>
      <c r="R784">
        <v>3</v>
      </c>
      <c r="S784">
        <v>0</v>
      </c>
      <c r="T784">
        <v>365.68</v>
      </c>
      <c r="W784">
        <v>78000</v>
      </c>
      <c r="X784" t="s">
        <v>3635</v>
      </c>
      <c r="Y784">
        <v>0</v>
      </c>
      <c r="AA784" t="s">
        <v>70</v>
      </c>
      <c r="AC784" t="s">
        <v>3942</v>
      </c>
      <c r="AD784" t="s">
        <v>3847</v>
      </c>
      <c r="AF784" t="s">
        <v>4059</v>
      </c>
      <c r="AH784" t="s">
        <v>4078</v>
      </c>
      <c r="AJ784" t="s">
        <v>3942</v>
      </c>
      <c r="AL784" t="s">
        <v>4070</v>
      </c>
      <c r="AM784" t="s">
        <v>2230</v>
      </c>
      <c r="AO784">
        <v>1037</v>
      </c>
      <c r="AQ784">
        <v>359</v>
      </c>
      <c r="AS784" t="s">
        <v>4113</v>
      </c>
      <c r="AT784" t="s">
        <v>4127</v>
      </c>
      <c r="AW784">
        <v>49</v>
      </c>
      <c r="AY784" t="s">
        <v>4140</v>
      </c>
      <c r="BA784" t="s">
        <v>4149</v>
      </c>
      <c r="BB784" t="s">
        <v>4154</v>
      </c>
      <c r="BF784" t="s">
        <v>4281</v>
      </c>
      <c r="BG784" t="s">
        <v>4539</v>
      </c>
      <c r="BM784" t="s">
        <v>4627</v>
      </c>
    </row>
    <row r="785" spans="1:65">
      <c r="A785" s="1">
        <f>HYPERLINK("https://lsnyc.legalserver.org/matter/dynamic-profile/view/1890628","19-1890628")</f>
        <v>0</v>
      </c>
      <c r="B785" t="s">
        <v>86</v>
      </c>
      <c r="C785" t="s">
        <v>93</v>
      </c>
      <c r="D785" t="s">
        <v>414</v>
      </c>
      <c r="F785" t="s">
        <v>880</v>
      </c>
      <c r="G785" t="s">
        <v>1409</v>
      </c>
      <c r="H785" t="s">
        <v>1633</v>
      </c>
      <c r="I785" t="s">
        <v>2110</v>
      </c>
      <c r="J785" t="s">
        <v>2205</v>
      </c>
      <c r="K785">
        <v>11233</v>
      </c>
      <c r="N785" t="s">
        <v>2233</v>
      </c>
      <c r="O785" t="s">
        <v>2735</v>
      </c>
      <c r="P785" t="s">
        <v>2930</v>
      </c>
      <c r="R785">
        <v>2</v>
      </c>
      <c r="S785">
        <v>0</v>
      </c>
      <c r="T785">
        <v>384.39</v>
      </c>
      <c r="U785" t="s">
        <v>274</v>
      </c>
      <c r="V785" t="s">
        <v>3458</v>
      </c>
      <c r="W785">
        <v>65000</v>
      </c>
      <c r="X785" t="s">
        <v>3635</v>
      </c>
      <c r="Y785">
        <v>0</v>
      </c>
      <c r="AA785" t="s">
        <v>70</v>
      </c>
      <c r="AC785" t="s">
        <v>3942</v>
      </c>
      <c r="AD785" t="s">
        <v>3847</v>
      </c>
      <c r="AF785" t="s">
        <v>4059</v>
      </c>
      <c r="AH785" t="s">
        <v>4078</v>
      </c>
      <c r="AJ785" t="s">
        <v>3942</v>
      </c>
      <c r="AL785" t="s">
        <v>4070</v>
      </c>
      <c r="AM785" t="s">
        <v>2230</v>
      </c>
      <c r="AO785">
        <v>1534.37</v>
      </c>
      <c r="AQ785">
        <v>359</v>
      </c>
      <c r="AS785" t="s">
        <v>4113</v>
      </c>
      <c r="AU785" t="s">
        <v>4128</v>
      </c>
      <c r="AW785">
        <v>3</v>
      </c>
      <c r="AY785" t="s">
        <v>4140</v>
      </c>
      <c r="BA785" t="s">
        <v>4149</v>
      </c>
      <c r="BB785" t="s">
        <v>4154</v>
      </c>
      <c r="BF785" t="s">
        <v>4281</v>
      </c>
      <c r="BG785" t="s">
        <v>4538</v>
      </c>
      <c r="BM785" t="s">
        <v>4627</v>
      </c>
    </row>
    <row r="786" spans="1:65">
      <c r="A786" s="1">
        <f>HYPERLINK("https://lsnyc.legalserver.org/matter/dynamic-profile/view/1891940","19-1891940")</f>
        <v>0</v>
      </c>
      <c r="B786" t="s">
        <v>86</v>
      </c>
      <c r="C786" t="s">
        <v>93</v>
      </c>
      <c r="D786" t="s">
        <v>416</v>
      </c>
      <c r="F786" t="s">
        <v>876</v>
      </c>
      <c r="G786" t="s">
        <v>1139</v>
      </c>
      <c r="H786" t="s">
        <v>1633</v>
      </c>
      <c r="I786" t="s">
        <v>1968</v>
      </c>
      <c r="J786" t="s">
        <v>2205</v>
      </c>
      <c r="K786">
        <v>11233</v>
      </c>
      <c r="N786" t="s">
        <v>2233</v>
      </c>
      <c r="O786" t="s">
        <v>2732</v>
      </c>
      <c r="P786" t="s">
        <v>2930</v>
      </c>
      <c r="R786">
        <v>2</v>
      </c>
      <c r="S786">
        <v>0</v>
      </c>
      <c r="T786">
        <v>384.39</v>
      </c>
      <c r="U786" t="s">
        <v>274</v>
      </c>
      <c r="V786" t="s">
        <v>3458</v>
      </c>
      <c r="W786">
        <v>65000</v>
      </c>
      <c r="X786" t="s">
        <v>3635</v>
      </c>
      <c r="Y786">
        <v>0</v>
      </c>
      <c r="AA786" t="s">
        <v>70</v>
      </c>
      <c r="AC786" t="s">
        <v>3942</v>
      </c>
      <c r="AD786" t="s">
        <v>3847</v>
      </c>
      <c r="AF786" t="s">
        <v>4059</v>
      </c>
      <c r="AH786" t="s">
        <v>4078</v>
      </c>
      <c r="AJ786" t="s">
        <v>3942</v>
      </c>
      <c r="AL786" t="s">
        <v>4070</v>
      </c>
      <c r="AM786" t="s">
        <v>2230</v>
      </c>
      <c r="AO786">
        <v>1489</v>
      </c>
      <c r="AQ786">
        <v>359</v>
      </c>
      <c r="AS786" t="s">
        <v>4113</v>
      </c>
      <c r="AU786" t="s">
        <v>4128</v>
      </c>
      <c r="AW786">
        <v>4</v>
      </c>
      <c r="AY786" t="s">
        <v>4140</v>
      </c>
      <c r="BA786" t="s">
        <v>4149</v>
      </c>
      <c r="BB786" t="s">
        <v>4154</v>
      </c>
      <c r="BF786" t="s">
        <v>4281</v>
      </c>
      <c r="BG786" t="s">
        <v>4538</v>
      </c>
      <c r="BM786" t="s">
        <v>4627</v>
      </c>
    </row>
    <row r="787" spans="1:65">
      <c r="A787" s="1">
        <f>HYPERLINK("https://lsnyc.legalserver.org/matter/dynamic-profile/view/1891563","19-1891563")</f>
        <v>0</v>
      </c>
      <c r="B787" t="s">
        <v>86</v>
      </c>
      <c r="C787" t="s">
        <v>93</v>
      </c>
      <c r="D787" t="s">
        <v>407</v>
      </c>
      <c r="F787" t="s">
        <v>840</v>
      </c>
      <c r="G787" t="s">
        <v>1374</v>
      </c>
      <c r="H787" t="s">
        <v>1633</v>
      </c>
      <c r="I787" t="s">
        <v>2075</v>
      </c>
      <c r="J787" t="s">
        <v>2205</v>
      </c>
      <c r="K787">
        <v>11233</v>
      </c>
      <c r="N787" t="s">
        <v>2233</v>
      </c>
      <c r="O787" t="s">
        <v>2686</v>
      </c>
      <c r="P787" t="s">
        <v>2930</v>
      </c>
      <c r="R787">
        <v>6</v>
      </c>
      <c r="S787">
        <v>0</v>
      </c>
      <c r="T787">
        <v>383.06</v>
      </c>
      <c r="W787">
        <v>132500</v>
      </c>
      <c r="X787" t="s">
        <v>3685</v>
      </c>
      <c r="Y787">
        <v>0</v>
      </c>
      <c r="AA787" t="s">
        <v>90</v>
      </c>
      <c r="AC787" t="s">
        <v>3942</v>
      </c>
      <c r="AD787" t="s">
        <v>3847</v>
      </c>
      <c r="AF787" t="s">
        <v>4059</v>
      </c>
      <c r="AH787" t="s">
        <v>4078</v>
      </c>
      <c r="AJ787" t="s">
        <v>3942</v>
      </c>
      <c r="AK787" t="s">
        <v>4084</v>
      </c>
      <c r="AM787" t="s">
        <v>2230</v>
      </c>
      <c r="AO787">
        <v>1157</v>
      </c>
      <c r="AQ787">
        <v>359</v>
      </c>
      <c r="AS787" t="s">
        <v>4113</v>
      </c>
      <c r="AU787" t="s">
        <v>4128</v>
      </c>
      <c r="AW787">
        <v>39</v>
      </c>
      <c r="AY787" t="s">
        <v>4140</v>
      </c>
      <c r="BA787" t="s">
        <v>4149</v>
      </c>
      <c r="BB787" t="s">
        <v>4154</v>
      </c>
      <c r="BC787" t="s">
        <v>4128</v>
      </c>
      <c r="BE787" t="s">
        <v>4128</v>
      </c>
      <c r="BF787" t="s">
        <v>4281</v>
      </c>
      <c r="BG787" t="s">
        <v>4538</v>
      </c>
      <c r="BM787" t="s">
        <v>4627</v>
      </c>
    </row>
    <row r="788" spans="1:65">
      <c r="A788" s="1">
        <f>HYPERLINK("https://lsnyc.legalserver.org/matter/dynamic-profile/view/1852111","17-1852111")</f>
        <v>0</v>
      </c>
      <c r="B788" t="s">
        <v>86</v>
      </c>
      <c r="C788" t="s">
        <v>93</v>
      </c>
      <c r="D788" t="s">
        <v>420</v>
      </c>
      <c r="F788" t="s">
        <v>537</v>
      </c>
      <c r="G788" t="s">
        <v>1410</v>
      </c>
      <c r="H788" t="s">
        <v>1832</v>
      </c>
      <c r="I788" t="s">
        <v>1938</v>
      </c>
      <c r="J788" t="s">
        <v>2205</v>
      </c>
      <c r="K788">
        <v>11215</v>
      </c>
      <c r="N788" t="s">
        <v>2233</v>
      </c>
      <c r="O788" t="s">
        <v>2737</v>
      </c>
      <c r="Q788" t="s">
        <v>3329</v>
      </c>
      <c r="R788">
        <v>3</v>
      </c>
      <c r="S788">
        <v>2</v>
      </c>
      <c r="T788">
        <v>35.09</v>
      </c>
      <c r="W788">
        <v>10100</v>
      </c>
      <c r="Y788">
        <v>207.9</v>
      </c>
      <c r="Z788" t="s">
        <v>156</v>
      </c>
      <c r="AA788" t="s">
        <v>90</v>
      </c>
      <c r="AC788" t="s">
        <v>3942</v>
      </c>
      <c r="AD788" t="s">
        <v>345</v>
      </c>
      <c r="AF788" t="s">
        <v>4050</v>
      </c>
      <c r="AH788" t="s">
        <v>4076</v>
      </c>
      <c r="AJ788" t="s">
        <v>3942</v>
      </c>
      <c r="AL788" t="s">
        <v>4090</v>
      </c>
      <c r="AM788" t="s">
        <v>2230</v>
      </c>
      <c r="AO788">
        <v>165</v>
      </c>
      <c r="AQ788">
        <v>7</v>
      </c>
      <c r="AS788" t="s">
        <v>4115</v>
      </c>
      <c r="AU788" t="s">
        <v>4128</v>
      </c>
      <c r="AW788">
        <v>22</v>
      </c>
      <c r="AY788" t="s">
        <v>4140</v>
      </c>
      <c r="BB788" t="s">
        <v>4154</v>
      </c>
      <c r="BG788" t="s">
        <v>4543</v>
      </c>
      <c r="BM788" t="s">
        <v>4627</v>
      </c>
    </row>
    <row r="789" spans="1:65">
      <c r="A789" s="1">
        <f>HYPERLINK("https://lsnyc.legalserver.org/matter/dynamic-profile/view/1897337","19-1897337")</f>
        <v>0</v>
      </c>
      <c r="B789" t="s">
        <v>86</v>
      </c>
      <c r="C789" t="s">
        <v>93</v>
      </c>
      <c r="D789" t="s">
        <v>409</v>
      </c>
      <c r="F789" t="s">
        <v>877</v>
      </c>
      <c r="G789" t="s">
        <v>1407</v>
      </c>
      <c r="H789" t="s">
        <v>1633</v>
      </c>
      <c r="I789" t="s">
        <v>2108</v>
      </c>
      <c r="J789" t="s">
        <v>2205</v>
      </c>
      <c r="K789">
        <v>11233</v>
      </c>
      <c r="N789" t="s">
        <v>2233</v>
      </c>
      <c r="O789" t="s">
        <v>2733</v>
      </c>
      <c r="P789" t="s">
        <v>2930</v>
      </c>
      <c r="R789">
        <v>2</v>
      </c>
      <c r="S789">
        <v>0</v>
      </c>
      <c r="T789">
        <v>384.39</v>
      </c>
      <c r="W789">
        <v>65000</v>
      </c>
      <c r="X789" t="s">
        <v>3646</v>
      </c>
      <c r="Y789">
        <v>0</v>
      </c>
      <c r="AA789" t="s">
        <v>90</v>
      </c>
      <c r="AC789" t="s">
        <v>3942</v>
      </c>
      <c r="AD789" t="s">
        <v>3847</v>
      </c>
      <c r="AF789" t="s">
        <v>4059</v>
      </c>
      <c r="AH789" t="s">
        <v>4078</v>
      </c>
      <c r="AJ789" t="s">
        <v>3942</v>
      </c>
      <c r="AL789" t="s">
        <v>4088</v>
      </c>
      <c r="AM789" t="s">
        <v>2230</v>
      </c>
      <c r="AO789">
        <v>100</v>
      </c>
      <c r="AQ789">
        <v>359</v>
      </c>
      <c r="AS789" t="s">
        <v>4113</v>
      </c>
      <c r="AT789" t="s">
        <v>4127</v>
      </c>
      <c r="AW789">
        <v>50</v>
      </c>
      <c r="AY789" t="s">
        <v>4140</v>
      </c>
      <c r="BA789" t="s">
        <v>4149</v>
      </c>
      <c r="BB789" t="s">
        <v>4154</v>
      </c>
      <c r="BF789" t="s">
        <v>4281</v>
      </c>
      <c r="BG789" t="s">
        <v>4538</v>
      </c>
      <c r="BM789" t="s">
        <v>4627</v>
      </c>
    </row>
    <row r="790" spans="1:65">
      <c r="A790" s="1">
        <f>HYPERLINK("https://lsnyc.legalserver.org/matter/dynamic-profile/view/1909085","19-1909085")</f>
        <v>0</v>
      </c>
      <c r="B790" t="s">
        <v>86</v>
      </c>
      <c r="C790" t="s">
        <v>93</v>
      </c>
      <c r="D790" t="s">
        <v>193</v>
      </c>
      <c r="F790" t="s">
        <v>881</v>
      </c>
      <c r="G790" t="s">
        <v>1411</v>
      </c>
      <c r="H790" t="s">
        <v>1828</v>
      </c>
      <c r="I790" t="s">
        <v>2112</v>
      </c>
      <c r="J790" t="s">
        <v>2205</v>
      </c>
      <c r="K790">
        <v>11233</v>
      </c>
      <c r="N790" t="s">
        <v>2233</v>
      </c>
      <c r="O790" t="s">
        <v>2738</v>
      </c>
      <c r="P790" t="s">
        <v>2930</v>
      </c>
      <c r="R790">
        <v>2</v>
      </c>
      <c r="S790">
        <v>0</v>
      </c>
      <c r="T790">
        <v>35.48</v>
      </c>
      <c r="W790">
        <v>6000</v>
      </c>
      <c r="X790" t="s">
        <v>3686</v>
      </c>
      <c r="Y790">
        <v>0</v>
      </c>
      <c r="AA790" t="s">
        <v>70</v>
      </c>
      <c r="AC790" t="s">
        <v>3942</v>
      </c>
      <c r="AD790" t="s">
        <v>3960</v>
      </c>
      <c r="AF790" t="s">
        <v>4059</v>
      </c>
      <c r="AH790" t="s">
        <v>4078</v>
      </c>
      <c r="AJ790" t="s">
        <v>3942</v>
      </c>
      <c r="AL790" t="s">
        <v>4070</v>
      </c>
      <c r="AM790" t="s">
        <v>2230</v>
      </c>
      <c r="AO790">
        <v>840</v>
      </c>
      <c r="AQ790">
        <v>359</v>
      </c>
      <c r="AS790" t="s">
        <v>4113</v>
      </c>
      <c r="AT790" t="s">
        <v>4127</v>
      </c>
      <c r="AW790">
        <v>20</v>
      </c>
      <c r="AY790" t="s">
        <v>4140</v>
      </c>
      <c r="BA790" t="s">
        <v>4149</v>
      </c>
      <c r="BB790" t="s">
        <v>4154</v>
      </c>
      <c r="BC790" t="s">
        <v>4128</v>
      </c>
      <c r="BG790" t="s">
        <v>4544</v>
      </c>
      <c r="BM790" t="s">
        <v>4627</v>
      </c>
    </row>
    <row r="791" spans="1:65">
      <c r="A791" s="1">
        <f>HYPERLINK("https://lsnyc.legalserver.org/matter/dynamic-profile/view/1891531","19-1891531")</f>
        <v>0</v>
      </c>
      <c r="B791" t="s">
        <v>86</v>
      </c>
      <c r="C791" t="s">
        <v>93</v>
      </c>
      <c r="D791" t="s">
        <v>407</v>
      </c>
      <c r="F791" t="s">
        <v>882</v>
      </c>
      <c r="G791" t="s">
        <v>1412</v>
      </c>
      <c r="H791" t="s">
        <v>1577</v>
      </c>
      <c r="I791" t="s">
        <v>2113</v>
      </c>
      <c r="J791" t="s">
        <v>2205</v>
      </c>
      <c r="K791">
        <v>11233</v>
      </c>
      <c r="N791" t="s">
        <v>2233</v>
      </c>
      <c r="O791" t="s">
        <v>2686</v>
      </c>
      <c r="P791" t="s">
        <v>2930</v>
      </c>
      <c r="R791">
        <v>2</v>
      </c>
      <c r="S791">
        <v>0</v>
      </c>
      <c r="T791">
        <v>696.9400000000001</v>
      </c>
      <c r="W791">
        <v>117853</v>
      </c>
      <c r="X791" t="s">
        <v>3627</v>
      </c>
      <c r="Y791">
        <v>0</v>
      </c>
      <c r="AA791" t="s">
        <v>90</v>
      </c>
      <c r="AC791" t="s">
        <v>3942</v>
      </c>
      <c r="AD791" t="s">
        <v>3847</v>
      </c>
      <c r="AF791" t="s">
        <v>4059</v>
      </c>
      <c r="AH791" t="s">
        <v>4078</v>
      </c>
      <c r="AJ791" t="s">
        <v>3942</v>
      </c>
      <c r="AK791" t="s">
        <v>4084</v>
      </c>
      <c r="AM791" t="s">
        <v>2230</v>
      </c>
      <c r="AO791">
        <v>1195</v>
      </c>
      <c r="AQ791">
        <v>359</v>
      </c>
      <c r="AS791" t="s">
        <v>4113</v>
      </c>
      <c r="AU791" t="s">
        <v>4128</v>
      </c>
      <c r="AW791">
        <v>30</v>
      </c>
      <c r="AY791" t="s">
        <v>4140</v>
      </c>
      <c r="BA791" t="s">
        <v>4149</v>
      </c>
      <c r="BB791" t="s">
        <v>4154</v>
      </c>
      <c r="BC791" t="s">
        <v>4128</v>
      </c>
      <c r="BE791" t="s">
        <v>4128</v>
      </c>
      <c r="BF791" t="s">
        <v>4281</v>
      </c>
      <c r="BG791" t="s">
        <v>4539</v>
      </c>
      <c r="BM791" t="s">
        <v>4627</v>
      </c>
    </row>
    <row r="792" spans="1:65">
      <c r="A792" s="1">
        <f>HYPERLINK("https://lsnyc.legalserver.org/matter/dynamic-profile/view/1891869","19-1891869")</f>
        <v>0</v>
      </c>
      <c r="B792" t="s">
        <v>86</v>
      </c>
      <c r="C792" t="s">
        <v>93</v>
      </c>
      <c r="D792" t="s">
        <v>421</v>
      </c>
      <c r="F792" t="s">
        <v>529</v>
      </c>
      <c r="G792" t="s">
        <v>1111</v>
      </c>
      <c r="H792" t="s">
        <v>1577</v>
      </c>
      <c r="I792" t="s">
        <v>2114</v>
      </c>
      <c r="J792" t="s">
        <v>2205</v>
      </c>
      <c r="K792">
        <v>11233</v>
      </c>
      <c r="N792" t="s">
        <v>2233</v>
      </c>
      <c r="O792" t="s">
        <v>2739</v>
      </c>
      <c r="P792" t="s">
        <v>2930</v>
      </c>
      <c r="R792">
        <v>2</v>
      </c>
      <c r="S792">
        <v>0</v>
      </c>
      <c r="T792">
        <v>329.64</v>
      </c>
      <c r="W792">
        <v>55742</v>
      </c>
      <c r="X792" t="s">
        <v>3687</v>
      </c>
      <c r="Y792">
        <v>0</v>
      </c>
      <c r="AA792" t="s">
        <v>90</v>
      </c>
      <c r="AC792" t="s">
        <v>3942</v>
      </c>
      <c r="AD792" t="s">
        <v>4035</v>
      </c>
      <c r="AF792" t="s">
        <v>4061</v>
      </c>
      <c r="AH792" t="s">
        <v>3510</v>
      </c>
      <c r="AJ792" t="s">
        <v>3942</v>
      </c>
      <c r="AK792" t="s">
        <v>4084</v>
      </c>
      <c r="AM792" t="s">
        <v>2230</v>
      </c>
      <c r="AO792">
        <v>1108.41</v>
      </c>
      <c r="AQ792">
        <v>359</v>
      </c>
      <c r="AS792" t="s">
        <v>4113</v>
      </c>
      <c r="AU792" t="s">
        <v>4128</v>
      </c>
      <c r="AW792">
        <v>38</v>
      </c>
      <c r="AY792" t="s">
        <v>4140</v>
      </c>
      <c r="BA792" t="s">
        <v>4149</v>
      </c>
      <c r="BB792" t="s">
        <v>4154</v>
      </c>
      <c r="BF792" t="s">
        <v>4281</v>
      </c>
      <c r="BG792" t="s">
        <v>4128</v>
      </c>
      <c r="BM792" t="s">
        <v>4627</v>
      </c>
    </row>
    <row r="793" spans="1:65">
      <c r="A793" s="1">
        <f>HYPERLINK("https://lsnyc.legalserver.org/matter/dynamic-profile/view/1897410","19-1897410")</f>
        <v>0</v>
      </c>
      <c r="B793" t="s">
        <v>86</v>
      </c>
      <c r="C793" t="s">
        <v>93</v>
      </c>
      <c r="D793" t="s">
        <v>409</v>
      </c>
      <c r="F793" t="s">
        <v>883</v>
      </c>
      <c r="G793" t="s">
        <v>1413</v>
      </c>
      <c r="H793" t="s">
        <v>1577</v>
      </c>
      <c r="I793" t="s">
        <v>1977</v>
      </c>
      <c r="J793" t="s">
        <v>2205</v>
      </c>
      <c r="K793">
        <v>11233</v>
      </c>
      <c r="N793" t="s">
        <v>2233</v>
      </c>
      <c r="O793" t="s">
        <v>2740</v>
      </c>
      <c r="P793" t="s">
        <v>2930</v>
      </c>
      <c r="R793">
        <v>3</v>
      </c>
      <c r="S793">
        <v>0</v>
      </c>
      <c r="T793">
        <v>375.06</v>
      </c>
      <c r="W793">
        <v>80000</v>
      </c>
      <c r="X793" t="s">
        <v>3646</v>
      </c>
      <c r="Y793">
        <v>0</v>
      </c>
      <c r="AA793" t="s">
        <v>90</v>
      </c>
      <c r="AC793" t="s">
        <v>3942</v>
      </c>
      <c r="AD793" t="s">
        <v>4035</v>
      </c>
      <c r="AF793" t="s">
        <v>4061</v>
      </c>
      <c r="AH793" t="s">
        <v>3510</v>
      </c>
      <c r="AJ793" t="s">
        <v>3942</v>
      </c>
      <c r="AL793" t="s">
        <v>4088</v>
      </c>
      <c r="AM793" t="s">
        <v>2230</v>
      </c>
      <c r="AO793">
        <v>1000</v>
      </c>
      <c r="AQ793">
        <v>359</v>
      </c>
      <c r="AS793" t="s">
        <v>4113</v>
      </c>
      <c r="AT793" t="s">
        <v>4127</v>
      </c>
      <c r="AW793">
        <v>4</v>
      </c>
      <c r="AY793" t="s">
        <v>4140</v>
      </c>
      <c r="BA793" t="s">
        <v>4149</v>
      </c>
      <c r="BB793" t="s">
        <v>4154</v>
      </c>
      <c r="BF793" t="s">
        <v>4281</v>
      </c>
      <c r="BM793" t="s">
        <v>4627</v>
      </c>
    </row>
    <row r="794" spans="1:65">
      <c r="A794" s="1">
        <f>HYPERLINK("https://lsnyc.legalserver.org/matter/dynamic-profile/view/1902001","19-1902001")</f>
        <v>0</v>
      </c>
      <c r="B794" t="s">
        <v>86</v>
      </c>
      <c r="C794" t="s">
        <v>93</v>
      </c>
      <c r="D794" t="s">
        <v>240</v>
      </c>
      <c r="F794" t="s">
        <v>884</v>
      </c>
      <c r="G794" t="s">
        <v>1414</v>
      </c>
      <c r="H794" t="s">
        <v>1633</v>
      </c>
      <c r="I794" t="s">
        <v>2115</v>
      </c>
      <c r="J794" t="s">
        <v>2205</v>
      </c>
      <c r="K794">
        <v>11233</v>
      </c>
      <c r="N794" t="s">
        <v>2233</v>
      </c>
      <c r="O794" t="s">
        <v>2741</v>
      </c>
      <c r="P794" t="s">
        <v>2930</v>
      </c>
      <c r="R794">
        <v>3</v>
      </c>
      <c r="S794">
        <v>1</v>
      </c>
      <c r="T794">
        <v>35.93</v>
      </c>
      <c r="W794">
        <v>9252</v>
      </c>
      <c r="X794" t="s">
        <v>3624</v>
      </c>
      <c r="Y794">
        <v>0</v>
      </c>
      <c r="AA794" t="s">
        <v>70</v>
      </c>
      <c r="AC794" t="s">
        <v>3942</v>
      </c>
      <c r="AD794" t="s">
        <v>3847</v>
      </c>
      <c r="AF794" t="s">
        <v>4059</v>
      </c>
      <c r="AH794" t="s">
        <v>4078</v>
      </c>
      <c r="AJ794" t="s">
        <v>3942</v>
      </c>
      <c r="AL794" t="s">
        <v>4070</v>
      </c>
      <c r="AM794" t="s">
        <v>2230</v>
      </c>
      <c r="AO794">
        <v>1350</v>
      </c>
      <c r="AQ794">
        <v>359</v>
      </c>
      <c r="AS794" t="s">
        <v>4113</v>
      </c>
      <c r="AT794" t="s">
        <v>4127</v>
      </c>
      <c r="AW794">
        <v>20</v>
      </c>
      <c r="AY794" t="s">
        <v>4140</v>
      </c>
      <c r="BB794" t="s">
        <v>4154</v>
      </c>
      <c r="BC794" t="s">
        <v>4128</v>
      </c>
      <c r="BF794" t="s">
        <v>4281</v>
      </c>
      <c r="BG794" t="s">
        <v>4538</v>
      </c>
      <c r="BM794" t="s">
        <v>4627</v>
      </c>
    </row>
    <row r="795" spans="1:65">
      <c r="A795" s="1">
        <f>HYPERLINK("https://lsnyc.legalserver.org/matter/dynamic-profile/view/1914614","19-1914614")</f>
        <v>0</v>
      </c>
      <c r="B795" t="s">
        <v>86</v>
      </c>
      <c r="C795" t="s">
        <v>93</v>
      </c>
      <c r="D795" t="s">
        <v>116</v>
      </c>
      <c r="F795" t="s">
        <v>780</v>
      </c>
      <c r="G795" t="s">
        <v>1323</v>
      </c>
      <c r="H795" t="s">
        <v>1582</v>
      </c>
      <c r="I795">
        <v>28</v>
      </c>
      <c r="J795" t="s">
        <v>2205</v>
      </c>
      <c r="K795">
        <v>11213</v>
      </c>
      <c r="N795" t="s">
        <v>2233</v>
      </c>
      <c r="O795" t="s">
        <v>2609</v>
      </c>
      <c r="Q795" t="s">
        <v>3253</v>
      </c>
      <c r="R795">
        <v>2</v>
      </c>
      <c r="S795">
        <v>0</v>
      </c>
      <c r="T795">
        <v>372.56</v>
      </c>
      <c r="V795" t="s">
        <v>3458</v>
      </c>
      <c r="W795">
        <v>63000</v>
      </c>
      <c r="X795" t="s">
        <v>3688</v>
      </c>
      <c r="Y795">
        <v>0</v>
      </c>
      <c r="AA795" t="s">
        <v>90</v>
      </c>
      <c r="AC795" t="s">
        <v>3942</v>
      </c>
      <c r="AD795" t="s">
        <v>98</v>
      </c>
      <c r="AF795" t="s">
        <v>4059</v>
      </c>
      <c r="AH795" t="s">
        <v>4078</v>
      </c>
      <c r="AJ795" t="s">
        <v>3942</v>
      </c>
      <c r="AL795" t="s">
        <v>4087</v>
      </c>
      <c r="AM795" t="s">
        <v>2230</v>
      </c>
      <c r="AO795">
        <v>1326</v>
      </c>
      <c r="AQ795">
        <v>31</v>
      </c>
      <c r="AS795" t="s">
        <v>4113</v>
      </c>
      <c r="AU795" t="s">
        <v>4128</v>
      </c>
      <c r="AW795">
        <v>2</v>
      </c>
      <c r="AY795" t="s">
        <v>4140</v>
      </c>
      <c r="BA795" t="s">
        <v>4149</v>
      </c>
      <c r="BC795" t="s">
        <v>4155</v>
      </c>
      <c r="BD795" t="s">
        <v>4157</v>
      </c>
      <c r="BE795" t="s">
        <v>4227</v>
      </c>
      <c r="BF795" t="s">
        <v>4281</v>
      </c>
      <c r="BG795" t="s">
        <v>4388</v>
      </c>
      <c r="BM795" t="s">
        <v>4627</v>
      </c>
    </row>
    <row r="796" spans="1:65">
      <c r="A796" s="1">
        <f>HYPERLINK("https://lsnyc.legalserver.org/matter/dynamic-profile/view/1914600","19-1914600")</f>
        <v>0</v>
      </c>
      <c r="B796" t="s">
        <v>86</v>
      </c>
      <c r="C796" t="s">
        <v>93</v>
      </c>
      <c r="D796" t="s">
        <v>116</v>
      </c>
      <c r="F796" t="s">
        <v>780</v>
      </c>
      <c r="G796" t="s">
        <v>1323</v>
      </c>
      <c r="H796" t="s">
        <v>1582</v>
      </c>
      <c r="I796">
        <v>28</v>
      </c>
      <c r="J796" t="s">
        <v>2205</v>
      </c>
      <c r="K796">
        <v>11213</v>
      </c>
      <c r="N796" t="s">
        <v>2233</v>
      </c>
      <c r="O796" t="s">
        <v>2609</v>
      </c>
      <c r="Q796" t="s">
        <v>3253</v>
      </c>
      <c r="R796">
        <v>2</v>
      </c>
      <c r="S796">
        <v>0</v>
      </c>
      <c r="T796">
        <v>372.56</v>
      </c>
      <c r="W796">
        <v>63000</v>
      </c>
      <c r="X796" t="s">
        <v>3688</v>
      </c>
      <c r="Y796">
        <v>0</v>
      </c>
      <c r="AA796" t="s">
        <v>90</v>
      </c>
      <c r="AC796" t="s">
        <v>3942</v>
      </c>
      <c r="AD796" t="s">
        <v>298</v>
      </c>
      <c r="AF796" t="s">
        <v>4059</v>
      </c>
      <c r="AH796" t="s">
        <v>4078</v>
      </c>
      <c r="AJ796" t="s">
        <v>3942</v>
      </c>
      <c r="AL796" t="s">
        <v>4087</v>
      </c>
      <c r="AM796" t="s">
        <v>2230</v>
      </c>
      <c r="AO796">
        <v>1326</v>
      </c>
      <c r="AQ796">
        <v>31</v>
      </c>
      <c r="AS796" t="s">
        <v>4113</v>
      </c>
      <c r="AU796" t="s">
        <v>4128</v>
      </c>
      <c r="AW796">
        <v>2</v>
      </c>
      <c r="AY796" t="s">
        <v>4140</v>
      </c>
      <c r="BA796" t="s">
        <v>4149</v>
      </c>
      <c r="BC796" t="s">
        <v>4155</v>
      </c>
      <c r="BD796" t="s">
        <v>4157</v>
      </c>
      <c r="BE796" t="s">
        <v>4227</v>
      </c>
      <c r="BF796" t="s">
        <v>4281</v>
      </c>
      <c r="BG796" t="s">
        <v>4355</v>
      </c>
      <c r="BM796" t="s">
        <v>4627</v>
      </c>
    </row>
    <row r="797" spans="1:65">
      <c r="A797" s="1">
        <f>HYPERLINK("https://lsnyc.legalserver.org/matter/dynamic-profile/view/1902003","19-1902003")</f>
        <v>0</v>
      </c>
      <c r="B797" t="s">
        <v>86</v>
      </c>
      <c r="C797" t="s">
        <v>93</v>
      </c>
      <c r="D797" t="s">
        <v>240</v>
      </c>
      <c r="F797" t="s">
        <v>884</v>
      </c>
      <c r="G797" t="s">
        <v>1414</v>
      </c>
      <c r="H797" t="s">
        <v>1633</v>
      </c>
      <c r="I797" t="s">
        <v>2115</v>
      </c>
      <c r="J797" t="s">
        <v>2205</v>
      </c>
      <c r="K797">
        <v>11233</v>
      </c>
      <c r="N797" t="s">
        <v>2233</v>
      </c>
      <c r="O797" t="s">
        <v>2741</v>
      </c>
      <c r="P797" t="s">
        <v>2930</v>
      </c>
      <c r="R797">
        <v>3</v>
      </c>
      <c r="S797">
        <v>1</v>
      </c>
      <c r="T797">
        <v>35.93</v>
      </c>
      <c r="W797">
        <v>9252</v>
      </c>
      <c r="X797" t="s">
        <v>3689</v>
      </c>
      <c r="Y797">
        <v>0</v>
      </c>
      <c r="AA797" t="s">
        <v>70</v>
      </c>
      <c r="AC797" t="s">
        <v>3942</v>
      </c>
      <c r="AD797" t="s">
        <v>4035</v>
      </c>
      <c r="AF797" t="s">
        <v>4061</v>
      </c>
      <c r="AH797" t="s">
        <v>3510</v>
      </c>
      <c r="AJ797" t="s">
        <v>3942</v>
      </c>
      <c r="AL797" t="s">
        <v>4070</v>
      </c>
      <c r="AM797" t="s">
        <v>2230</v>
      </c>
      <c r="AO797">
        <v>1350</v>
      </c>
      <c r="AQ797">
        <v>359</v>
      </c>
      <c r="AS797" t="s">
        <v>4113</v>
      </c>
      <c r="AT797" t="s">
        <v>4127</v>
      </c>
      <c r="AW797">
        <v>20</v>
      </c>
      <c r="AY797" t="s">
        <v>4140</v>
      </c>
      <c r="BB797" t="s">
        <v>4154</v>
      </c>
      <c r="BC797" t="s">
        <v>4128</v>
      </c>
      <c r="BF797" t="s">
        <v>4281</v>
      </c>
      <c r="BG797" t="s">
        <v>4054</v>
      </c>
      <c r="BM797" t="s">
        <v>4627</v>
      </c>
    </row>
    <row r="798" spans="1:65">
      <c r="A798" s="1">
        <f>HYPERLINK("https://lsnyc.legalserver.org/matter/dynamic-profile/view/1896625","19-1896625")</f>
        <v>0</v>
      </c>
      <c r="B798" t="s">
        <v>86</v>
      </c>
      <c r="C798" t="s">
        <v>93</v>
      </c>
      <c r="D798" t="s">
        <v>258</v>
      </c>
      <c r="F798" t="s">
        <v>549</v>
      </c>
      <c r="G798" t="s">
        <v>1068</v>
      </c>
      <c r="H798" t="s">
        <v>1633</v>
      </c>
      <c r="I798" t="s">
        <v>2111</v>
      </c>
      <c r="J798" t="s">
        <v>2205</v>
      </c>
      <c r="K798">
        <v>11233</v>
      </c>
      <c r="N798" t="s">
        <v>2233</v>
      </c>
      <c r="O798" t="s">
        <v>2736</v>
      </c>
      <c r="P798" t="s">
        <v>2930</v>
      </c>
      <c r="R798">
        <v>2</v>
      </c>
      <c r="S798">
        <v>0</v>
      </c>
      <c r="T798">
        <v>37.21</v>
      </c>
      <c r="W798">
        <v>6292</v>
      </c>
      <c r="X798" t="s">
        <v>3690</v>
      </c>
      <c r="Y798">
        <v>0</v>
      </c>
      <c r="AA798" t="s">
        <v>70</v>
      </c>
      <c r="AC798" t="s">
        <v>3942</v>
      </c>
      <c r="AD798" t="s">
        <v>247</v>
      </c>
      <c r="AF798" t="s">
        <v>4059</v>
      </c>
      <c r="AH798" t="s">
        <v>4078</v>
      </c>
      <c r="AI798" t="s">
        <v>4082</v>
      </c>
      <c r="AK798" t="s">
        <v>4084</v>
      </c>
      <c r="AM798" t="s">
        <v>2230</v>
      </c>
      <c r="AO798">
        <v>1056</v>
      </c>
      <c r="AQ798">
        <v>359</v>
      </c>
      <c r="AS798" t="s">
        <v>4113</v>
      </c>
      <c r="AU798" t="s">
        <v>4128</v>
      </c>
      <c r="AW798">
        <v>9</v>
      </c>
      <c r="AY798" t="s">
        <v>4140</v>
      </c>
      <c r="BA798" t="s">
        <v>4149</v>
      </c>
      <c r="BC798" t="s">
        <v>4155</v>
      </c>
      <c r="BF798" t="s">
        <v>4281</v>
      </c>
      <c r="BG798" t="s">
        <v>4538</v>
      </c>
      <c r="BM798" t="s">
        <v>4627</v>
      </c>
    </row>
    <row r="799" spans="1:65">
      <c r="A799" s="1">
        <f>HYPERLINK("https://lsnyc.legalserver.org/matter/dynamic-profile/view/1891599","19-1891599")</f>
        <v>0</v>
      </c>
      <c r="B799" t="s">
        <v>86</v>
      </c>
      <c r="C799" t="s">
        <v>93</v>
      </c>
      <c r="D799" t="s">
        <v>410</v>
      </c>
      <c r="F799" t="s">
        <v>885</v>
      </c>
      <c r="G799" t="s">
        <v>1415</v>
      </c>
      <c r="H799" t="s">
        <v>1577</v>
      </c>
      <c r="I799" t="s">
        <v>1953</v>
      </c>
      <c r="J799" t="s">
        <v>2205</v>
      </c>
      <c r="K799">
        <v>11233</v>
      </c>
      <c r="N799" t="s">
        <v>2233</v>
      </c>
      <c r="O799" t="s">
        <v>2742</v>
      </c>
      <c r="P799" t="s">
        <v>2930</v>
      </c>
      <c r="R799">
        <v>2</v>
      </c>
      <c r="S799">
        <v>0</v>
      </c>
      <c r="T799">
        <v>366.65</v>
      </c>
      <c r="W799">
        <v>62000</v>
      </c>
      <c r="X799" t="s">
        <v>3691</v>
      </c>
      <c r="Y799">
        <v>0</v>
      </c>
      <c r="AA799" t="s">
        <v>90</v>
      </c>
      <c r="AC799" t="s">
        <v>3942</v>
      </c>
      <c r="AD799" t="s">
        <v>4035</v>
      </c>
      <c r="AF799" t="s">
        <v>4061</v>
      </c>
      <c r="AH799" t="s">
        <v>3510</v>
      </c>
      <c r="AJ799" t="s">
        <v>3942</v>
      </c>
      <c r="AK799" t="s">
        <v>4084</v>
      </c>
      <c r="AM799" t="s">
        <v>2230</v>
      </c>
      <c r="AO799">
        <v>1038.66</v>
      </c>
      <c r="AQ799">
        <v>359</v>
      </c>
      <c r="AS799" t="s">
        <v>4113</v>
      </c>
      <c r="AT799" t="s">
        <v>4127</v>
      </c>
      <c r="AW799">
        <v>50</v>
      </c>
      <c r="AY799" t="s">
        <v>4140</v>
      </c>
      <c r="BA799" t="s">
        <v>4149</v>
      </c>
      <c r="BB799" t="s">
        <v>4154</v>
      </c>
      <c r="BF799" t="s">
        <v>4281</v>
      </c>
      <c r="BG799" t="s">
        <v>4128</v>
      </c>
      <c r="BM799" t="s">
        <v>4627</v>
      </c>
    </row>
    <row r="800" spans="1:65">
      <c r="A800" s="1">
        <f>HYPERLINK("https://lsnyc.legalserver.org/matter/dynamic-profile/view/1891594","19-1891594")</f>
        <v>0</v>
      </c>
      <c r="B800" t="s">
        <v>86</v>
      </c>
      <c r="C800" t="s">
        <v>93</v>
      </c>
      <c r="D800" t="s">
        <v>410</v>
      </c>
      <c r="F800" t="s">
        <v>885</v>
      </c>
      <c r="G800" t="s">
        <v>1415</v>
      </c>
      <c r="H800" t="s">
        <v>1577</v>
      </c>
      <c r="I800" t="s">
        <v>1953</v>
      </c>
      <c r="J800" t="s">
        <v>2205</v>
      </c>
      <c r="K800">
        <v>11233</v>
      </c>
      <c r="N800" t="s">
        <v>2233</v>
      </c>
      <c r="O800" t="s">
        <v>2742</v>
      </c>
      <c r="P800" t="s">
        <v>2930</v>
      </c>
      <c r="R800">
        <v>2</v>
      </c>
      <c r="S800">
        <v>0</v>
      </c>
      <c r="T800">
        <v>366.65</v>
      </c>
      <c r="W800">
        <v>62000</v>
      </c>
      <c r="X800" t="s">
        <v>3627</v>
      </c>
      <c r="Y800">
        <v>0</v>
      </c>
      <c r="AA800" t="s">
        <v>90</v>
      </c>
      <c r="AC800" t="s">
        <v>3942</v>
      </c>
      <c r="AD800" t="s">
        <v>3847</v>
      </c>
      <c r="AF800" t="s">
        <v>4059</v>
      </c>
      <c r="AH800" t="s">
        <v>4078</v>
      </c>
      <c r="AJ800" t="s">
        <v>3942</v>
      </c>
      <c r="AK800" t="s">
        <v>4084</v>
      </c>
      <c r="AM800" t="s">
        <v>2230</v>
      </c>
      <c r="AO800">
        <v>1038.66</v>
      </c>
      <c r="AQ800">
        <v>359</v>
      </c>
      <c r="AS800" t="s">
        <v>4113</v>
      </c>
      <c r="AT800" t="s">
        <v>4127</v>
      </c>
      <c r="AW800">
        <v>50</v>
      </c>
      <c r="AY800" t="s">
        <v>4140</v>
      </c>
      <c r="BA800" t="s">
        <v>4149</v>
      </c>
      <c r="BB800" t="s">
        <v>4154</v>
      </c>
      <c r="BF800" t="s">
        <v>4281</v>
      </c>
      <c r="BG800" t="s">
        <v>4539</v>
      </c>
      <c r="BM800" t="s">
        <v>4627</v>
      </c>
    </row>
    <row r="801" spans="1:65">
      <c r="A801" s="1">
        <f>HYPERLINK("https://lsnyc.legalserver.org/matter/dynamic-profile/view/1897408","19-1897408")</f>
        <v>0</v>
      </c>
      <c r="B801" t="s">
        <v>86</v>
      </c>
      <c r="C801" t="s">
        <v>93</v>
      </c>
      <c r="D801" t="s">
        <v>409</v>
      </c>
      <c r="F801" t="s">
        <v>883</v>
      </c>
      <c r="G801" t="s">
        <v>1413</v>
      </c>
      <c r="H801" t="s">
        <v>1577</v>
      </c>
      <c r="I801" t="s">
        <v>1977</v>
      </c>
      <c r="J801" t="s">
        <v>2205</v>
      </c>
      <c r="K801">
        <v>11233</v>
      </c>
      <c r="N801" t="s">
        <v>2233</v>
      </c>
      <c r="O801" t="s">
        <v>2740</v>
      </c>
      <c r="P801" t="s">
        <v>2930</v>
      </c>
      <c r="R801">
        <v>3</v>
      </c>
      <c r="S801">
        <v>0</v>
      </c>
      <c r="T801">
        <v>375.06</v>
      </c>
      <c r="W801">
        <v>80000</v>
      </c>
      <c r="X801" t="s">
        <v>3692</v>
      </c>
      <c r="Y801">
        <v>0</v>
      </c>
      <c r="AA801" t="s">
        <v>90</v>
      </c>
      <c r="AC801" t="s">
        <v>3942</v>
      </c>
      <c r="AD801" t="s">
        <v>3847</v>
      </c>
      <c r="AF801" t="s">
        <v>4059</v>
      </c>
      <c r="AH801" t="s">
        <v>4078</v>
      </c>
      <c r="AJ801" t="s">
        <v>3942</v>
      </c>
      <c r="AL801" t="s">
        <v>4088</v>
      </c>
      <c r="AM801" t="s">
        <v>2230</v>
      </c>
      <c r="AO801">
        <v>1000</v>
      </c>
      <c r="AQ801">
        <v>359</v>
      </c>
      <c r="AS801" t="s">
        <v>4113</v>
      </c>
      <c r="AT801" t="s">
        <v>4127</v>
      </c>
      <c r="AW801">
        <v>4</v>
      </c>
      <c r="AY801" t="s">
        <v>4140</v>
      </c>
      <c r="BA801" t="s">
        <v>4149</v>
      </c>
      <c r="BB801" t="s">
        <v>4154</v>
      </c>
      <c r="BF801" t="s">
        <v>4281</v>
      </c>
      <c r="BG801" t="s">
        <v>4539</v>
      </c>
      <c r="BM801" t="s">
        <v>4627</v>
      </c>
    </row>
    <row r="802" spans="1:65">
      <c r="A802" s="1">
        <f>HYPERLINK("https://lsnyc.legalserver.org/matter/dynamic-profile/view/1890567","19-1890567")</f>
        <v>0</v>
      </c>
      <c r="B802" t="s">
        <v>86</v>
      </c>
      <c r="C802" t="s">
        <v>93</v>
      </c>
      <c r="D802" t="s">
        <v>414</v>
      </c>
      <c r="F802" t="s">
        <v>529</v>
      </c>
      <c r="G802" t="s">
        <v>1111</v>
      </c>
      <c r="H802" t="s">
        <v>1577</v>
      </c>
      <c r="I802" t="s">
        <v>2114</v>
      </c>
      <c r="J802" t="s">
        <v>2205</v>
      </c>
      <c r="K802">
        <v>11233</v>
      </c>
      <c r="N802" t="s">
        <v>2233</v>
      </c>
      <c r="O802" t="s">
        <v>2739</v>
      </c>
      <c r="P802" t="s">
        <v>2930</v>
      </c>
      <c r="R802">
        <v>2</v>
      </c>
      <c r="S802">
        <v>0</v>
      </c>
      <c r="T802">
        <v>329.64</v>
      </c>
      <c r="W802">
        <v>55742</v>
      </c>
      <c r="X802" t="s">
        <v>3624</v>
      </c>
      <c r="Y802">
        <v>0</v>
      </c>
      <c r="AA802" t="s">
        <v>70</v>
      </c>
      <c r="AC802" t="s">
        <v>3942</v>
      </c>
      <c r="AD802" t="s">
        <v>3847</v>
      </c>
      <c r="AF802" t="s">
        <v>4059</v>
      </c>
      <c r="AH802" t="s">
        <v>4078</v>
      </c>
      <c r="AJ802" t="s">
        <v>3942</v>
      </c>
      <c r="AL802" t="s">
        <v>4070</v>
      </c>
      <c r="AM802" t="s">
        <v>2230</v>
      </c>
      <c r="AO802">
        <v>1108.41</v>
      </c>
      <c r="AQ802">
        <v>359</v>
      </c>
      <c r="AS802" t="s">
        <v>4113</v>
      </c>
      <c r="AU802" t="s">
        <v>4128</v>
      </c>
      <c r="AW802">
        <v>38</v>
      </c>
      <c r="AY802" t="s">
        <v>4140</v>
      </c>
      <c r="BA802" t="s">
        <v>4149</v>
      </c>
      <c r="BB802" t="s">
        <v>4154</v>
      </c>
      <c r="BF802" t="s">
        <v>4281</v>
      </c>
      <c r="BG802" t="s">
        <v>4539</v>
      </c>
      <c r="BM802" t="s">
        <v>4627</v>
      </c>
    </row>
    <row r="803" spans="1:65">
      <c r="A803" s="1">
        <f>HYPERLINK("https://lsnyc.legalserver.org/matter/dynamic-profile/view/1887156","19-1887156")</f>
        <v>0</v>
      </c>
      <c r="B803" t="s">
        <v>86</v>
      </c>
      <c r="C803" t="s">
        <v>93</v>
      </c>
      <c r="D803" t="s">
        <v>422</v>
      </c>
      <c r="F803" t="s">
        <v>515</v>
      </c>
      <c r="G803" t="s">
        <v>1416</v>
      </c>
      <c r="H803" t="s">
        <v>1577</v>
      </c>
      <c r="I803" t="s">
        <v>1995</v>
      </c>
      <c r="J803" t="s">
        <v>2205</v>
      </c>
      <c r="K803">
        <v>11233</v>
      </c>
      <c r="N803" t="s">
        <v>2233</v>
      </c>
      <c r="O803" t="s">
        <v>2686</v>
      </c>
      <c r="P803" t="s">
        <v>2930</v>
      </c>
      <c r="R803">
        <v>1</v>
      </c>
      <c r="S803">
        <v>0</v>
      </c>
      <c r="T803">
        <v>329.49</v>
      </c>
      <c r="W803">
        <v>40000</v>
      </c>
      <c r="Y803">
        <v>0</v>
      </c>
      <c r="AA803" t="s">
        <v>90</v>
      </c>
      <c r="AC803" t="s">
        <v>3942</v>
      </c>
      <c r="AD803" t="s">
        <v>3847</v>
      </c>
      <c r="AF803" t="s">
        <v>4059</v>
      </c>
      <c r="AH803" t="s">
        <v>4078</v>
      </c>
      <c r="AJ803" t="s">
        <v>3942</v>
      </c>
      <c r="AK803" t="s">
        <v>4084</v>
      </c>
      <c r="AM803" t="s">
        <v>2230</v>
      </c>
      <c r="AN803" t="s">
        <v>4107</v>
      </c>
      <c r="AO803">
        <v>0</v>
      </c>
      <c r="AP803" t="s">
        <v>4108</v>
      </c>
      <c r="AQ803" t="s">
        <v>4110</v>
      </c>
      <c r="AS803" t="s">
        <v>4113</v>
      </c>
      <c r="AU803" t="s">
        <v>4128</v>
      </c>
      <c r="AV803" t="s">
        <v>4137</v>
      </c>
      <c r="AW803">
        <v>0</v>
      </c>
      <c r="AY803" t="s">
        <v>4140</v>
      </c>
      <c r="BA803" t="s">
        <v>4149</v>
      </c>
      <c r="BB803" t="s">
        <v>4154</v>
      </c>
      <c r="BE803" t="s">
        <v>4128</v>
      </c>
      <c r="BF803" t="s">
        <v>4281</v>
      </c>
      <c r="BG803" t="s">
        <v>4539</v>
      </c>
      <c r="BM803" t="s">
        <v>4627</v>
      </c>
    </row>
    <row r="804" spans="1:65">
      <c r="A804" s="1">
        <f>HYPERLINK("https://lsnyc.legalserver.org/matter/dynamic-profile/view/1886109","18-1886109")</f>
        <v>0</v>
      </c>
      <c r="B804" t="s">
        <v>86</v>
      </c>
      <c r="C804" t="s">
        <v>93</v>
      </c>
      <c r="D804" t="s">
        <v>419</v>
      </c>
      <c r="F804" t="s">
        <v>886</v>
      </c>
      <c r="G804" t="s">
        <v>1417</v>
      </c>
      <c r="H804" t="s">
        <v>1633</v>
      </c>
      <c r="I804" t="s">
        <v>2093</v>
      </c>
      <c r="J804" t="s">
        <v>2205</v>
      </c>
      <c r="K804">
        <v>11233</v>
      </c>
      <c r="N804" t="s">
        <v>2233</v>
      </c>
      <c r="O804" t="s">
        <v>2743</v>
      </c>
      <c r="Q804" t="s">
        <v>3330</v>
      </c>
      <c r="R804">
        <v>1</v>
      </c>
      <c r="S804">
        <v>0</v>
      </c>
      <c r="T804">
        <v>329.49</v>
      </c>
      <c r="U804" t="s">
        <v>274</v>
      </c>
      <c r="V804" t="s">
        <v>3458</v>
      </c>
      <c r="W804">
        <v>40000</v>
      </c>
      <c r="Y804">
        <v>0</v>
      </c>
      <c r="AA804" t="s">
        <v>90</v>
      </c>
      <c r="AC804" t="s">
        <v>3942</v>
      </c>
      <c r="AD804" t="s">
        <v>211</v>
      </c>
      <c r="AF804" t="s">
        <v>4059</v>
      </c>
      <c r="AH804" t="s">
        <v>4078</v>
      </c>
      <c r="AJ804" t="s">
        <v>3942</v>
      </c>
      <c r="AL804" t="s">
        <v>4089</v>
      </c>
      <c r="AM804" t="s">
        <v>2230</v>
      </c>
      <c r="AO804">
        <v>628</v>
      </c>
      <c r="AQ804">
        <v>764</v>
      </c>
      <c r="AS804" t="s">
        <v>4113</v>
      </c>
      <c r="AU804" t="s">
        <v>4128</v>
      </c>
      <c r="AW804">
        <v>18</v>
      </c>
      <c r="AY804" t="s">
        <v>4140</v>
      </c>
      <c r="BA804" t="s">
        <v>4149</v>
      </c>
      <c r="BB804" t="s">
        <v>4154</v>
      </c>
      <c r="BE804" t="s">
        <v>4128</v>
      </c>
      <c r="BF804" t="s">
        <v>4281</v>
      </c>
      <c r="BG804" t="s">
        <v>4538</v>
      </c>
      <c r="BM804" t="s">
        <v>4627</v>
      </c>
    </row>
    <row r="805" spans="1:65">
      <c r="A805" s="1">
        <f>HYPERLINK("https://lsnyc.legalserver.org/matter/dynamic-profile/view/1898370","19-1898370")</f>
        <v>0</v>
      </c>
      <c r="B805" t="s">
        <v>86</v>
      </c>
      <c r="C805" t="s">
        <v>93</v>
      </c>
      <c r="D805" t="s">
        <v>320</v>
      </c>
      <c r="F805" t="s">
        <v>887</v>
      </c>
      <c r="G805" t="s">
        <v>1418</v>
      </c>
      <c r="H805" t="s">
        <v>1829</v>
      </c>
      <c r="I805" t="s">
        <v>2116</v>
      </c>
      <c r="J805" t="s">
        <v>2205</v>
      </c>
      <c r="K805">
        <v>11233</v>
      </c>
      <c r="N805" t="s">
        <v>2233</v>
      </c>
      <c r="O805" t="s">
        <v>2744</v>
      </c>
      <c r="P805" t="s">
        <v>2930</v>
      </c>
      <c r="R805">
        <v>1</v>
      </c>
      <c r="S805">
        <v>0</v>
      </c>
      <c r="T805">
        <v>392.31</v>
      </c>
      <c r="W805">
        <v>49000</v>
      </c>
      <c r="X805" t="s">
        <v>3693</v>
      </c>
      <c r="Y805">
        <v>0</v>
      </c>
      <c r="AA805" t="s">
        <v>70</v>
      </c>
      <c r="AC805" t="s">
        <v>3942</v>
      </c>
      <c r="AD805" t="s">
        <v>4035</v>
      </c>
      <c r="AF805" t="s">
        <v>4061</v>
      </c>
      <c r="AH805" t="s">
        <v>3510</v>
      </c>
      <c r="AJ805" t="s">
        <v>3942</v>
      </c>
      <c r="AL805" t="s">
        <v>4070</v>
      </c>
      <c r="AM805" t="s">
        <v>2230</v>
      </c>
      <c r="AO805">
        <v>629.15</v>
      </c>
      <c r="AQ805">
        <v>359</v>
      </c>
      <c r="AS805" t="s">
        <v>4113</v>
      </c>
      <c r="AT805" t="s">
        <v>4127</v>
      </c>
      <c r="AW805">
        <v>8</v>
      </c>
      <c r="AY805" t="s">
        <v>4140</v>
      </c>
      <c r="BA805" t="s">
        <v>4149</v>
      </c>
      <c r="BB805" t="s">
        <v>4154</v>
      </c>
      <c r="BF805" t="s">
        <v>4281</v>
      </c>
      <c r="BM805" t="s">
        <v>4627</v>
      </c>
    </row>
    <row r="806" spans="1:65">
      <c r="A806" s="1">
        <f>HYPERLINK("https://lsnyc.legalserver.org/matter/dynamic-profile/view/1891856","19-1891856")</f>
        <v>0</v>
      </c>
      <c r="B806" t="s">
        <v>86</v>
      </c>
      <c r="C806" t="s">
        <v>93</v>
      </c>
      <c r="D806" t="s">
        <v>421</v>
      </c>
      <c r="F806" t="s">
        <v>754</v>
      </c>
      <c r="G806" t="s">
        <v>1327</v>
      </c>
      <c r="H806" t="s">
        <v>1577</v>
      </c>
      <c r="I806" t="s">
        <v>1980</v>
      </c>
      <c r="J806" t="s">
        <v>2205</v>
      </c>
      <c r="K806">
        <v>11233</v>
      </c>
      <c r="N806" t="s">
        <v>2233</v>
      </c>
      <c r="O806" t="s">
        <v>2616</v>
      </c>
      <c r="P806" t="s">
        <v>2930</v>
      </c>
      <c r="R806">
        <v>2</v>
      </c>
      <c r="S806">
        <v>2</v>
      </c>
      <c r="T806">
        <v>43.01</v>
      </c>
      <c r="W806">
        <v>11076</v>
      </c>
      <c r="X806" t="s">
        <v>3694</v>
      </c>
      <c r="Y806">
        <v>0</v>
      </c>
      <c r="AA806" t="s">
        <v>90</v>
      </c>
      <c r="AC806" t="s">
        <v>3942</v>
      </c>
      <c r="AD806" t="s">
        <v>4035</v>
      </c>
      <c r="AF806" t="s">
        <v>4061</v>
      </c>
      <c r="AH806" t="s">
        <v>3510</v>
      </c>
      <c r="AJ806" t="s">
        <v>3942</v>
      </c>
      <c r="AK806" t="s">
        <v>4084</v>
      </c>
      <c r="AM806" t="s">
        <v>2230</v>
      </c>
      <c r="AO806">
        <v>923</v>
      </c>
      <c r="AQ806">
        <v>359</v>
      </c>
      <c r="AS806" t="s">
        <v>4113</v>
      </c>
      <c r="AU806" t="s">
        <v>4129</v>
      </c>
      <c r="AV806" t="s">
        <v>4137</v>
      </c>
      <c r="AW806">
        <v>0</v>
      </c>
      <c r="AY806" t="s">
        <v>4140</v>
      </c>
      <c r="BA806" t="s">
        <v>4149</v>
      </c>
      <c r="BB806" t="s">
        <v>4154</v>
      </c>
      <c r="BF806" t="s">
        <v>4281</v>
      </c>
      <c r="BG806" t="s">
        <v>4128</v>
      </c>
      <c r="BM806" t="s">
        <v>4627</v>
      </c>
    </row>
    <row r="807" spans="1:65">
      <c r="A807" s="1">
        <f>HYPERLINK("https://lsnyc.legalserver.org/matter/dynamic-profile/view/1912722","19-1912722")</f>
        <v>0</v>
      </c>
      <c r="B807" t="s">
        <v>86</v>
      </c>
      <c r="C807" t="s">
        <v>93</v>
      </c>
      <c r="D807" t="s">
        <v>423</v>
      </c>
      <c r="F807" t="s">
        <v>888</v>
      </c>
      <c r="G807" t="s">
        <v>1419</v>
      </c>
      <c r="H807" t="s">
        <v>1830</v>
      </c>
      <c r="I807" t="s">
        <v>1950</v>
      </c>
      <c r="J807" t="s">
        <v>2205</v>
      </c>
      <c r="K807">
        <v>11207</v>
      </c>
      <c r="N807" t="s">
        <v>2233</v>
      </c>
      <c r="O807" t="s">
        <v>2745</v>
      </c>
      <c r="Q807" t="s">
        <v>3331</v>
      </c>
      <c r="R807">
        <v>1</v>
      </c>
      <c r="S807">
        <v>0</v>
      </c>
      <c r="T807">
        <v>43.3</v>
      </c>
      <c r="W807">
        <v>5408</v>
      </c>
      <c r="Y807">
        <v>0.1</v>
      </c>
      <c r="Z807" t="s">
        <v>111</v>
      </c>
      <c r="AA807" t="s">
        <v>86</v>
      </c>
      <c r="AC807" t="s">
        <v>3942</v>
      </c>
      <c r="AD807" t="s">
        <v>423</v>
      </c>
      <c r="AF807" t="s">
        <v>4061</v>
      </c>
      <c r="AH807" t="s">
        <v>3510</v>
      </c>
      <c r="AJ807" t="s">
        <v>3942</v>
      </c>
      <c r="AL807" t="s">
        <v>4086</v>
      </c>
      <c r="AM807" t="s">
        <v>2230</v>
      </c>
      <c r="AO807">
        <v>640</v>
      </c>
      <c r="AQ807">
        <v>6</v>
      </c>
      <c r="AS807" t="s">
        <v>4113</v>
      </c>
      <c r="AT807" t="s">
        <v>4127</v>
      </c>
      <c r="AW807">
        <v>5</v>
      </c>
      <c r="AY807" t="s">
        <v>4140</v>
      </c>
      <c r="BC807" t="s">
        <v>4155</v>
      </c>
      <c r="BF807" t="s">
        <v>4281</v>
      </c>
      <c r="BM807" t="s">
        <v>4627</v>
      </c>
    </row>
    <row r="808" spans="1:65">
      <c r="A808" s="1">
        <f>HYPERLINK("https://lsnyc.legalserver.org/matter/dynamic-profile/view/1876938","18-1876938")</f>
        <v>0</v>
      </c>
      <c r="B808" t="s">
        <v>86</v>
      </c>
      <c r="C808" t="s">
        <v>93</v>
      </c>
      <c r="D808" t="s">
        <v>239</v>
      </c>
      <c r="F808" t="s">
        <v>780</v>
      </c>
      <c r="G808" t="s">
        <v>1323</v>
      </c>
      <c r="H808" t="s">
        <v>1582</v>
      </c>
      <c r="I808">
        <v>28</v>
      </c>
      <c r="J808" t="s">
        <v>2205</v>
      </c>
      <c r="K808">
        <v>11213</v>
      </c>
      <c r="M808" t="s">
        <v>2230</v>
      </c>
      <c r="N808" t="s">
        <v>2233</v>
      </c>
      <c r="O808" t="s">
        <v>2609</v>
      </c>
      <c r="Q808" t="s">
        <v>3253</v>
      </c>
      <c r="R808">
        <v>2</v>
      </c>
      <c r="S808">
        <v>0</v>
      </c>
      <c r="T808">
        <v>395.94</v>
      </c>
      <c r="W808">
        <v>65172</v>
      </c>
      <c r="Y808">
        <v>32</v>
      </c>
      <c r="Z808" t="s">
        <v>3844</v>
      </c>
      <c r="AA808" t="s">
        <v>92</v>
      </c>
      <c r="AC808" t="s">
        <v>3942</v>
      </c>
      <c r="AD808" t="s">
        <v>239</v>
      </c>
      <c r="AF808" t="s">
        <v>4058</v>
      </c>
      <c r="AH808" t="s">
        <v>4076</v>
      </c>
      <c r="AJ808" t="s">
        <v>3942</v>
      </c>
      <c r="AL808" t="s">
        <v>4087</v>
      </c>
      <c r="AM808" t="s">
        <v>2230</v>
      </c>
      <c r="AO808">
        <v>1326</v>
      </c>
      <c r="AQ808">
        <v>31</v>
      </c>
      <c r="AS808" t="s">
        <v>4113</v>
      </c>
      <c r="AU808" t="s">
        <v>4128</v>
      </c>
      <c r="AW808">
        <v>2</v>
      </c>
      <c r="AY808" t="s">
        <v>4140</v>
      </c>
      <c r="BC808" t="s">
        <v>4155</v>
      </c>
      <c r="BD808" t="s">
        <v>4157</v>
      </c>
      <c r="BE808" t="s">
        <v>4227</v>
      </c>
      <c r="BG808" t="s">
        <v>4301</v>
      </c>
      <c r="BM808" t="s">
        <v>4627</v>
      </c>
    </row>
    <row r="809" spans="1:65">
      <c r="A809" s="1">
        <f>HYPERLINK("https://lsnyc.legalserver.org/matter/dynamic-profile/view/1891452","19-1891452")</f>
        <v>0</v>
      </c>
      <c r="B809" t="s">
        <v>86</v>
      </c>
      <c r="C809" t="s">
        <v>93</v>
      </c>
      <c r="D809" t="s">
        <v>407</v>
      </c>
      <c r="F809" t="s">
        <v>843</v>
      </c>
      <c r="G809" t="s">
        <v>1404</v>
      </c>
      <c r="H809" t="s">
        <v>1633</v>
      </c>
      <c r="I809" t="s">
        <v>1990</v>
      </c>
      <c r="J809" t="s">
        <v>2205</v>
      </c>
      <c r="K809">
        <v>11233</v>
      </c>
      <c r="N809" t="s">
        <v>2233</v>
      </c>
      <c r="O809" t="s">
        <v>2728</v>
      </c>
      <c r="Q809" t="s">
        <v>3327</v>
      </c>
      <c r="R809">
        <v>2</v>
      </c>
      <c r="S809">
        <v>0</v>
      </c>
      <c r="T809">
        <v>674.16</v>
      </c>
      <c r="W809">
        <v>114000</v>
      </c>
      <c r="X809" t="s">
        <v>3695</v>
      </c>
      <c r="Y809">
        <v>0</v>
      </c>
      <c r="AA809" t="s">
        <v>70</v>
      </c>
      <c r="AC809" t="s">
        <v>3942</v>
      </c>
      <c r="AD809" t="s">
        <v>4035</v>
      </c>
      <c r="AF809" t="s">
        <v>4061</v>
      </c>
      <c r="AH809" t="s">
        <v>3510</v>
      </c>
      <c r="AJ809" t="s">
        <v>3942</v>
      </c>
      <c r="AL809" t="s">
        <v>4089</v>
      </c>
      <c r="AM809" t="s">
        <v>2230</v>
      </c>
      <c r="AO809">
        <v>1133</v>
      </c>
      <c r="AQ809">
        <v>764</v>
      </c>
      <c r="AS809" t="s">
        <v>4113</v>
      </c>
      <c r="AU809" t="s">
        <v>4128</v>
      </c>
      <c r="AW809">
        <v>36</v>
      </c>
      <c r="AY809" t="s">
        <v>4140</v>
      </c>
      <c r="BA809" t="s">
        <v>4149</v>
      </c>
      <c r="BB809" t="s">
        <v>4154</v>
      </c>
      <c r="BF809" t="s">
        <v>4281</v>
      </c>
      <c r="BM809" t="s">
        <v>4627</v>
      </c>
    </row>
    <row r="810" spans="1:65">
      <c r="A810" s="1">
        <f>HYPERLINK("https://lsnyc.legalserver.org/matter/dynamic-profile/view/1891560","19-1891560")</f>
        <v>0</v>
      </c>
      <c r="B810" t="s">
        <v>86</v>
      </c>
      <c r="C810" t="s">
        <v>93</v>
      </c>
      <c r="D810" t="s">
        <v>407</v>
      </c>
      <c r="F810" t="s">
        <v>608</v>
      </c>
      <c r="G810" t="s">
        <v>1420</v>
      </c>
      <c r="H810" t="s">
        <v>1633</v>
      </c>
      <c r="I810" t="s">
        <v>2117</v>
      </c>
      <c r="J810" t="s">
        <v>2205</v>
      </c>
      <c r="K810">
        <v>11233</v>
      </c>
      <c r="N810" t="s">
        <v>2233</v>
      </c>
      <c r="O810" t="s">
        <v>2746</v>
      </c>
      <c r="P810" t="s">
        <v>2930</v>
      </c>
      <c r="R810">
        <v>3</v>
      </c>
      <c r="S810">
        <v>0</v>
      </c>
      <c r="T810">
        <v>300.05</v>
      </c>
      <c r="U810" t="s">
        <v>274</v>
      </c>
      <c r="V810" t="s">
        <v>3458</v>
      </c>
      <c r="W810">
        <v>64000</v>
      </c>
      <c r="X810" t="s">
        <v>3696</v>
      </c>
      <c r="Y810">
        <v>0</v>
      </c>
      <c r="AA810" t="s">
        <v>90</v>
      </c>
      <c r="AC810" t="s">
        <v>3942</v>
      </c>
      <c r="AD810" t="s">
        <v>4035</v>
      </c>
      <c r="AF810" t="s">
        <v>4061</v>
      </c>
      <c r="AH810" t="s">
        <v>3510</v>
      </c>
      <c r="AJ810" t="s">
        <v>3942</v>
      </c>
      <c r="AK810" t="s">
        <v>4084</v>
      </c>
      <c r="AM810" t="s">
        <v>2230</v>
      </c>
      <c r="AO810">
        <v>1040</v>
      </c>
      <c r="AQ810">
        <v>359</v>
      </c>
      <c r="AS810" t="s">
        <v>4113</v>
      </c>
      <c r="AT810" t="s">
        <v>4127</v>
      </c>
      <c r="AW810">
        <v>32</v>
      </c>
      <c r="AY810" t="s">
        <v>4140</v>
      </c>
      <c r="BA810" t="s">
        <v>4149</v>
      </c>
      <c r="BB810" t="s">
        <v>4154</v>
      </c>
      <c r="BF810" t="s">
        <v>4281</v>
      </c>
      <c r="BG810" t="s">
        <v>4128</v>
      </c>
      <c r="BM810" t="s">
        <v>4627</v>
      </c>
    </row>
    <row r="811" spans="1:65">
      <c r="A811" s="1">
        <f>HYPERLINK("https://lsnyc.legalserver.org/matter/dynamic-profile/view/1897605","19-1897605")</f>
        <v>0</v>
      </c>
      <c r="B811" t="s">
        <v>86</v>
      </c>
      <c r="C811" t="s">
        <v>93</v>
      </c>
      <c r="D811" t="s">
        <v>233</v>
      </c>
      <c r="F811" t="s">
        <v>889</v>
      </c>
      <c r="G811" t="s">
        <v>1421</v>
      </c>
      <c r="H811" t="s">
        <v>1577</v>
      </c>
      <c r="I811" t="s">
        <v>2118</v>
      </c>
      <c r="J811" t="s">
        <v>2205</v>
      </c>
      <c r="K811">
        <v>11233</v>
      </c>
      <c r="N811" t="s">
        <v>2233</v>
      </c>
      <c r="O811" t="s">
        <v>2747</v>
      </c>
      <c r="P811" t="s">
        <v>2930</v>
      </c>
      <c r="R811">
        <v>1</v>
      </c>
      <c r="S811">
        <v>0</v>
      </c>
      <c r="T811">
        <v>398.72</v>
      </c>
      <c r="W811">
        <v>49800</v>
      </c>
      <c r="X811" t="s">
        <v>3646</v>
      </c>
      <c r="Y811">
        <v>0</v>
      </c>
      <c r="AA811" t="s">
        <v>90</v>
      </c>
      <c r="AC811" t="s">
        <v>3942</v>
      </c>
      <c r="AD811" t="s">
        <v>3847</v>
      </c>
      <c r="AF811" t="s">
        <v>4059</v>
      </c>
      <c r="AH811" t="s">
        <v>4078</v>
      </c>
      <c r="AJ811" t="s">
        <v>3942</v>
      </c>
      <c r="AL811" t="s">
        <v>4088</v>
      </c>
      <c r="AM811" t="s">
        <v>2230</v>
      </c>
      <c r="AO811">
        <v>824.45</v>
      </c>
      <c r="AQ811">
        <v>359</v>
      </c>
      <c r="AS811" t="s">
        <v>4113</v>
      </c>
      <c r="AT811" t="s">
        <v>4127</v>
      </c>
      <c r="AW811">
        <v>8</v>
      </c>
      <c r="AY811" t="s">
        <v>4140</v>
      </c>
      <c r="BA811" t="s">
        <v>4149</v>
      </c>
      <c r="BB811" t="s">
        <v>4154</v>
      </c>
      <c r="BF811" t="s">
        <v>4281</v>
      </c>
      <c r="BG811" t="s">
        <v>4539</v>
      </c>
      <c r="BM811" t="s">
        <v>4627</v>
      </c>
    </row>
    <row r="812" spans="1:65">
      <c r="A812" s="1">
        <f>HYPERLINK("https://lsnyc.legalserver.org/matter/dynamic-profile/view/1890532","19-1890532")</f>
        <v>0</v>
      </c>
      <c r="B812" t="s">
        <v>86</v>
      </c>
      <c r="C812" t="s">
        <v>93</v>
      </c>
      <c r="D812" t="s">
        <v>414</v>
      </c>
      <c r="F812" t="s">
        <v>754</v>
      </c>
      <c r="G812" t="s">
        <v>1327</v>
      </c>
      <c r="H812" t="s">
        <v>1577</v>
      </c>
      <c r="I812" t="s">
        <v>1980</v>
      </c>
      <c r="J812" t="s">
        <v>2205</v>
      </c>
      <c r="K812">
        <v>11233</v>
      </c>
      <c r="N812" t="s">
        <v>2233</v>
      </c>
      <c r="O812" t="s">
        <v>2616</v>
      </c>
      <c r="P812" t="s">
        <v>2930</v>
      </c>
      <c r="R812">
        <v>2</v>
      </c>
      <c r="S812">
        <v>2</v>
      </c>
      <c r="T812">
        <v>43.01</v>
      </c>
      <c r="W812">
        <v>11076</v>
      </c>
      <c r="X812" t="s">
        <v>3697</v>
      </c>
      <c r="Y812">
        <v>0</v>
      </c>
      <c r="AA812" t="s">
        <v>90</v>
      </c>
      <c r="AC812" t="s">
        <v>3942</v>
      </c>
      <c r="AD812" t="s">
        <v>3847</v>
      </c>
      <c r="AF812" t="s">
        <v>4059</v>
      </c>
      <c r="AH812" t="s">
        <v>4078</v>
      </c>
      <c r="AJ812" t="s">
        <v>3942</v>
      </c>
      <c r="AK812" t="s">
        <v>4084</v>
      </c>
      <c r="AM812" t="s">
        <v>2230</v>
      </c>
      <c r="AO812">
        <v>923</v>
      </c>
      <c r="AQ812">
        <v>359</v>
      </c>
      <c r="AS812" t="s">
        <v>4113</v>
      </c>
      <c r="AU812" t="s">
        <v>4129</v>
      </c>
      <c r="AV812" t="s">
        <v>4137</v>
      </c>
      <c r="AW812">
        <v>0</v>
      </c>
      <c r="AY812" t="s">
        <v>4140</v>
      </c>
      <c r="BA812" t="s">
        <v>4149</v>
      </c>
      <c r="BB812" t="s">
        <v>4154</v>
      </c>
      <c r="BF812" t="s">
        <v>4281</v>
      </c>
      <c r="BG812" t="s">
        <v>4539</v>
      </c>
      <c r="BM812" t="s">
        <v>4627</v>
      </c>
    </row>
    <row r="813" spans="1:65">
      <c r="A813" s="1">
        <f>HYPERLINK("https://lsnyc.legalserver.org/matter/dynamic-profile/view/1891559","19-1891559")</f>
        <v>0</v>
      </c>
      <c r="B813" t="s">
        <v>86</v>
      </c>
      <c r="C813" t="s">
        <v>93</v>
      </c>
      <c r="D813" t="s">
        <v>407</v>
      </c>
      <c r="F813" t="s">
        <v>608</v>
      </c>
      <c r="G813" t="s">
        <v>1420</v>
      </c>
      <c r="H813" t="s">
        <v>1633</v>
      </c>
      <c r="I813" t="s">
        <v>2117</v>
      </c>
      <c r="J813" t="s">
        <v>2205</v>
      </c>
      <c r="K813">
        <v>11233</v>
      </c>
      <c r="N813" t="s">
        <v>2233</v>
      </c>
      <c r="O813" t="s">
        <v>2746</v>
      </c>
      <c r="P813" t="s">
        <v>2930</v>
      </c>
      <c r="R813">
        <v>3</v>
      </c>
      <c r="S813">
        <v>0</v>
      </c>
      <c r="T813">
        <v>300.05</v>
      </c>
      <c r="U813" t="s">
        <v>274</v>
      </c>
      <c r="V813" t="s">
        <v>3458</v>
      </c>
      <c r="W813">
        <v>64000</v>
      </c>
      <c r="X813" t="s">
        <v>3627</v>
      </c>
      <c r="Y813">
        <v>0</v>
      </c>
      <c r="AA813" t="s">
        <v>90</v>
      </c>
      <c r="AC813" t="s">
        <v>3942</v>
      </c>
      <c r="AD813" t="s">
        <v>3847</v>
      </c>
      <c r="AF813" t="s">
        <v>4059</v>
      </c>
      <c r="AH813" t="s">
        <v>4078</v>
      </c>
      <c r="AJ813" t="s">
        <v>3942</v>
      </c>
      <c r="AK813" t="s">
        <v>4084</v>
      </c>
      <c r="AM813" t="s">
        <v>2230</v>
      </c>
      <c r="AO813">
        <v>1040</v>
      </c>
      <c r="AQ813">
        <v>359</v>
      </c>
      <c r="AS813" t="s">
        <v>4113</v>
      </c>
      <c r="AT813" t="s">
        <v>4127</v>
      </c>
      <c r="AW813">
        <v>32</v>
      </c>
      <c r="AY813" t="s">
        <v>4140</v>
      </c>
      <c r="BA813" t="s">
        <v>4149</v>
      </c>
      <c r="BB813" t="s">
        <v>4154</v>
      </c>
      <c r="BF813" t="s">
        <v>4281</v>
      </c>
      <c r="BG813" t="s">
        <v>4538</v>
      </c>
      <c r="BM813" t="s">
        <v>4627</v>
      </c>
    </row>
    <row r="814" spans="1:65">
      <c r="A814" s="1">
        <f>HYPERLINK("https://lsnyc.legalserver.org/matter/dynamic-profile/view/1898404","19-1898404")</f>
        <v>0</v>
      </c>
      <c r="B814" t="s">
        <v>86</v>
      </c>
      <c r="C814" t="s">
        <v>93</v>
      </c>
      <c r="D814" t="s">
        <v>320</v>
      </c>
      <c r="F814" t="s">
        <v>890</v>
      </c>
      <c r="G814" t="s">
        <v>1422</v>
      </c>
      <c r="H814" t="s">
        <v>1633</v>
      </c>
      <c r="I814" t="s">
        <v>2119</v>
      </c>
      <c r="J814" t="s">
        <v>2205</v>
      </c>
      <c r="K814">
        <v>11233</v>
      </c>
      <c r="N814" t="s">
        <v>2233</v>
      </c>
      <c r="O814" t="s">
        <v>2748</v>
      </c>
      <c r="P814" t="s">
        <v>2930</v>
      </c>
      <c r="R814">
        <v>2</v>
      </c>
      <c r="S814">
        <v>3</v>
      </c>
      <c r="T814">
        <v>298.31</v>
      </c>
      <c r="W814">
        <v>90000</v>
      </c>
      <c r="X814" t="s">
        <v>3624</v>
      </c>
      <c r="Y814">
        <v>0</v>
      </c>
      <c r="AA814" t="s">
        <v>70</v>
      </c>
      <c r="AC814" t="s">
        <v>3942</v>
      </c>
      <c r="AD814" t="s">
        <v>3847</v>
      </c>
      <c r="AF814" t="s">
        <v>4059</v>
      </c>
      <c r="AH814" t="s">
        <v>4078</v>
      </c>
      <c r="AJ814" t="s">
        <v>3942</v>
      </c>
      <c r="AL814" t="s">
        <v>4070</v>
      </c>
      <c r="AM814" t="s">
        <v>2230</v>
      </c>
      <c r="AO814">
        <v>1160</v>
      </c>
      <c r="AQ814">
        <v>359</v>
      </c>
      <c r="AS814" t="s">
        <v>4113</v>
      </c>
      <c r="AT814" t="s">
        <v>4127</v>
      </c>
      <c r="AW814">
        <v>37</v>
      </c>
      <c r="AY814" t="s">
        <v>4140</v>
      </c>
      <c r="BA814" t="s">
        <v>4149</v>
      </c>
      <c r="BB814" t="s">
        <v>4154</v>
      </c>
      <c r="BF814" t="s">
        <v>4281</v>
      </c>
      <c r="BG814" t="s">
        <v>4538</v>
      </c>
      <c r="BM814" t="s">
        <v>4627</v>
      </c>
    </row>
    <row r="815" spans="1:65">
      <c r="A815" s="1">
        <f>HYPERLINK("https://lsnyc.legalserver.org/matter/dynamic-profile/view/1897606","19-1897606")</f>
        <v>0</v>
      </c>
      <c r="B815" t="s">
        <v>86</v>
      </c>
      <c r="C815" t="s">
        <v>93</v>
      </c>
      <c r="D815" t="s">
        <v>233</v>
      </c>
      <c r="F815" t="s">
        <v>889</v>
      </c>
      <c r="G815" t="s">
        <v>1421</v>
      </c>
      <c r="H815" t="s">
        <v>1577</v>
      </c>
      <c r="I815" t="s">
        <v>2118</v>
      </c>
      <c r="J815" t="s">
        <v>2205</v>
      </c>
      <c r="K815">
        <v>11233</v>
      </c>
      <c r="N815" t="s">
        <v>2233</v>
      </c>
      <c r="O815" t="s">
        <v>2747</v>
      </c>
      <c r="P815" t="s">
        <v>2930</v>
      </c>
      <c r="R815">
        <v>1</v>
      </c>
      <c r="S815">
        <v>0</v>
      </c>
      <c r="T815">
        <v>398.72</v>
      </c>
      <c r="W815">
        <v>49800</v>
      </c>
      <c r="X815" t="s">
        <v>3698</v>
      </c>
      <c r="Y815">
        <v>0</v>
      </c>
      <c r="AA815" t="s">
        <v>90</v>
      </c>
      <c r="AC815" t="s">
        <v>3942</v>
      </c>
      <c r="AD815" t="s">
        <v>4035</v>
      </c>
      <c r="AF815" t="s">
        <v>4061</v>
      </c>
      <c r="AH815" t="s">
        <v>3510</v>
      </c>
      <c r="AJ815" t="s">
        <v>3942</v>
      </c>
      <c r="AL815" t="s">
        <v>4088</v>
      </c>
      <c r="AM815" t="s">
        <v>2230</v>
      </c>
      <c r="AO815">
        <v>829.45</v>
      </c>
      <c r="AQ815">
        <v>359</v>
      </c>
      <c r="AS815" t="s">
        <v>4113</v>
      </c>
      <c r="AT815" t="s">
        <v>4127</v>
      </c>
      <c r="AW815">
        <v>8</v>
      </c>
      <c r="AY815" t="s">
        <v>4140</v>
      </c>
      <c r="BA815" t="s">
        <v>4149</v>
      </c>
      <c r="BB815" t="s">
        <v>4154</v>
      </c>
      <c r="BF815" t="s">
        <v>4281</v>
      </c>
      <c r="BM815" t="s">
        <v>4627</v>
      </c>
    </row>
    <row r="816" spans="1:65">
      <c r="A816" s="1">
        <f>HYPERLINK("https://lsnyc.legalserver.org/matter/dynamic-profile/view/0822900","16-0822900")</f>
        <v>0</v>
      </c>
      <c r="B816" t="s">
        <v>86</v>
      </c>
      <c r="C816" t="s">
        <v>93</v>
      </c>
      <c r="D816" t="s">
        <v>424</v>
      </c>
      <c r="F816" t="s">
        <v>891</v>
      </c>
      <c r="G816" t="s">
        <v>1423</v>
      </c>
      <c r="H816" t="s">
        <v>1830</v>
      </c>
      <c r="I816" t="s">
        <v>1927</v>
      </c>
      <c r="J816" t="s">
        <v>2205</v>
      </c>
      <c r="K816">
        <v>11207</v>
      </c>
      <c r="N816" t="s">
        <v>2233</v>
      </c>
      <c r="O816" t="s">
        <v>2749</v>
      </c>
      <c r="Q816" t="s">
        <v>3332</v>
      </c>
      <c r="R816">
        <v>1</v>
      </c>
      <c r="S816">
        <v>2</v>
      </c>
      <c r="T816">
        <v>43.63</v>
      </c>
      <c r="W816">
        <v>8796</v>
      </c>
      <c r="Y816">
        <v>385.82</v>
      </c>
      <c r="Z816" t="s">
        <v>137</v>
      </c>
      <c r="AA816" t="s">
        <v>3915</v>
      </c>
      <c r="AC816" t="s">
        <v>3942</v>
      </c>
      <c r="AD816" t="s">
        <v>4038</v>
      </c>
      <c r="AF816" t="s">
        <v>4058</v>
      </c>
      <c r="AH816" t="s">
        <v>4076</v>
      </c>
      <c r="AJ816" t="s">
        <v>3942</v>
      </c>
      <c r="AL816" t="s">
        <v>4086</v>
      </c>
      <c r="AM816" t="s">
        <v>2230</v>
      </c>
      <c r="AO816">
        <v>1450</v>
      </c>
      <c r="AQ816">
        <v>6</v>
      </c>
      <c r="AS816" t="s">
        <v>4113</v>
      </c>
      <c r="AU816" t="s">
        <v>4070</v>
      </c>
      <c r="AW816">
        <v>5</v>
      </c>
      <c r="AY816" t="s">
        <v>4140</v>
      </c>
      <c r="BB816" t="s">
        <v>4154</v>
      </c>
      <c r="BE816" t="s">
        <v>4247</v>
      </c>
      <c r="BF816" t="s">
        <v>4281</v>
      </c>
      <c r="BG816" t="s">
        <v>4545</v>
      </c>
      <c r="BM816" t="s">
        <v>4627</v>
      </c>
    </row>
    <row r="817" spans="1:65">
      <c r="A817" s="1">
        <f>HYPERLINK("https://lsnyc.legalserver.org/matter/dynamic-profile/view/1891541","19-1891541")</f>
        <v>0</v>
      </c>
      <c r="B817" t="s">
        <v>86</v>
      </c>
      <c r="C817" t="s">
        <v>93</v>
      </c>
      <c r="D817" t="s">
        <v>407</v>
      </c>
      <c r="F817" t="s">
        <v>892</v>
      </c>
      <c r="G817" t="s">
        <v>1424</v>
      </c>
      <c r="H817" t="s">
        <v>1577</v>
      </c>
      <c r="I817" t="s">
        <v>2042</v>
      </c>
      <c r="J817" t="s">
        <v>2205</v>
      </c>
      <c r="K817">
        <v>11233</v>
      </c>
      <c r="N817" t="s">
        <v>2233</v>
      </c>
      <c r="O817" t="s">
        <v>2750</v>
      </c>
      <c r="P817" t="s">
        <v>2930</v>
      </c>
      <c r="R817">
        <v>2</v>
      </c>
      <c r="S817">
        <v>0</v>
      </c>
      <c r="T817">
        <v>408.04</v>
      </c>
      <c r="W817">
        <v>69000</v>
      </c>
      <c r="X817" t="s">
        <v>3627</v>
      </c>
      <c r="Y817">
        <v>0</v>
      </c>
      <c r="AA817" t="s">
        <v>90</v>
      </c>
      <c r="AC817" t="s">
        <v>3942</v>
      </c>
      <c r="AD817" t="s">
        <v>3847</v>
      </c>
      <c r="AF817" t="s">
        <v>4059</v>
      </c>
      <c r="AH817" t="s">
        <v>4078</v>
      </c>
      <c r="AJ817" t="s">
        <v>3942</v>
      </c>
      <c r="AK817" t="s">
        <v>4084</v>
      </c>
      <c r="AM817" t="s">
        <v>2230</v>
      </c>
      <c r="AO817">
        <v>1089.12</v>
      </c>
      <c r="AQ817">
        <v>359</v>
      </c>
      <c r="AS817" t="s">
        <v>4113</v>
      </c>
      <c r="AT817" t="s">
        <v>4127</v>
      </c>
      <c r="AW817">
        <v>20</v>
      </c>
      <c r="AY817" t="s">
        <v>4140</v>
      </c>
      <c r="BA817" t="s">
        <v>4149</v>
      </c>
      <c r="BB817" t="s">
        <v>4154</v>
      </c>
      <c r="BF817" t="s">
        <v>4281</v>
      </c>
      <c r="BG817" t="s">
        <v>4539</v>
      </c>
      <c r="BM817" t="s">
        <v>4627</v>
      </c>
    </row>
    <row r="818" spans="1:65">
      <c r="A818" s="1">
        <f>HYPERLINK("https://lsnyc.legalserver.org/matter/dynamic-profile/view/1891914","19-1891914")</f>
        <v>0</v>
      </c>
      <c r="B818" t="s">
        <v>86</v>
      </c>
      <c r="C818" t="s">
        <v>93</v>
      </c>
      <c r="D818" t="s">
        <v>416</v>
      </c>
      <c r="F818" t="s">
        <v>856</v>
      </c>
      <c r="G818" t="s">
        <v>1386</v>
      </c>
      <c r="H818" t="s">
        <v>1577</v>
      </c>
      <c r="I818" t="s">
        <v>2086</v>
      </c>
      <c r="J818" t="s">
        <v>2205</v>
      </c>
      <c r="K818">
        <v>11233</v>
      </c>
      <c r="N818" t="s">
        <v>2233</v>
      </c>
      <c r="O818" t="s">
        <v>2702</v>
      </c>
      <c r="P818" t="s">
        <v>2930</v>
      </c>
      <c r="R818">
        <v>2</v>
      </c>
      <c r="S818">
        <v>0</v>
      </c>
      <c r="T818">
        <v>473.09</v>
      </c>
      <c r="W818">
        <v>80000</v>
      </c>
      <c r="X818" t="s">
        <v>3635</v>
      </c>
      <c r="Y818">
        <v>0</v>
      </c>
      <c r="AA818" t="s">
        <v>70</v>
      </c>
      <c r="AC818" t="s">
        <v>3942</v>
      </c>
      <c r="AD818" t="s">
        <v>4035</v>
      </c>
      <c r="AF818" t="s">
        <v>4059</v>
      </c>
      <c r="AH818" t="s">
        <v>4078</v>
      </c>
      <c r="AJ818" t="s">
        <v>3942</v>
      </c>
      <c r="AL818" t="s">
        <v>4070</v>
      </c>
      <c r="AM818" t="s">
        <v>2230</v>
      </c>
      <c r="AO818">
        <v>1292.74</v>
      </c>
      <c r="AQ818">
        <v>359</v>
      </c>
      <c r="AS818" t="s">
        <v>4113</v>
      </c>
      <c r="AU818" t="s">
        <v>4128</v>
      </c>
      <c r="AW818">
        <v>27</v>
      </c>
      <c r="AY818" t="s">
        <v>4140</v>
      </c>
      <c r="BA818" t="s">
        <v>4149</v>
      </c>
      <c r="BB818" t="s">
        <v>4154</v>
      </c>
      <c r="BF818" t="s">
        <v>4281</v>
      </c>
      <c r="BG818" t="s">
        <v>4539</v>
      </c>
      <c r="BM818" t="s">
        <v>4627</v>
      </c>
    </row>
    <row r="819" spans="1:65">
      <c r="A819" s="1">
        <f>HYPERLINK("https://lsnyc.legalserver.org/matter/dynamic-profile/view/1892761","19-1892761")</f>
        <v>0</v>
      </c>
      <c r="B819" t="s">
        <v>86</v>
      </c>
      <c r="C819" t="s">
        <v>93</v>
      </c>
      <c r="D819" t="s">
        <v>412</v>
      </c>
      <c r="F819" t="s">
        <v>871</v>
      </c>
      <c r="G819" t="s">
        <v>1403</v>
      </c>
      <c r="H819" t="s">
        <v>1829</v>
      </c>
      <c r="I819" t="s">
        <v>2103</v>
      </c>
      <c r="J819" t="s">
        <v>2205</v>
      </c>
      <c r="K819">
        <v>11233</v>
      </c>
      <c r="N819" t="s">
        <v>2233</v>
      </c>
      <c r="O819" t="s">
        <v>2725</v>
      </c>
      <c r="P819" t="s">
        <v>2930</v>
      </c>
      <c r="R819">
        <v>2</v>
      </c>
      <c r="S819">
        <v>0</v>
      </c>
      <c r="T819">
        <v>283.86</v>
      </c>
      <c r="U819" t="s">
        <v>274</v>
      </c>
      <c r="V819" t="s">
        <v>3458</v>
      </c>
      <c r="W819">
        <v>48000</v>
      </c>
      <c r="X819" t="s">
        <v>3699</v>
      </c>
      <c r="Y819">
        <v>0</v>
      </c>
      <c r="AA819" t="s">
        <v>70</v>
      </c>
      <c r="AC819" t="s">
        <v>3942</v>
      </c>
      <c r="AD819" t="s">
        <v>3847</v>
      </c>
      <c r="AF819" t="s">
        <v>4059</v>
      </c>
      <c r="AH819" t="s">
        <v>4078</v>
      </c>
      <c r="AJ819" t="s">
        <v>3942</v>
      </c>
      <c r="AL819" t="s">
        <v>4070</v>
      </c>
      <c r="AM819" t="s">
        <v>2230</v>
      </c>
      <c r="AO819">
        <v>1825</v>
      </c>
      <c r="AQ819">
        <v>359</v>
      </c>
      <c r="AS819" t="s">
        <v>4113</v>
      </c>
      <c r="AT819" t="s">
        <v>4127</v>
      </c>
      <c r="AW819">
        <v>1</v>
      </c>
      <c r="AY819" t="s">
        <v>4140</v>
      </c>
      <c r="BA819" t="s">
        <v>4149</v>
      </c>
      <c r="BB819" t="s">
        <v>4154</v>
      </c>
      <c r="BF819" t="s">
        <v>4281</v>
      </c>
      <c r="BG819" t="s">
        <v>4538</v>
      </c>
      <c r="BM819" t="s">
        <v>4627</v>
      </c>
    </row>
    <row r="820" spans="1:65">
      <c r="A820" s="1">
        <f>HYPERLINK("https://lsnyc.legalserver.org/matter/dynamic-profile/view/1898842","19-1898842")</f>
        <v>0</v>
      </c>
      <c r="B820" t="s">
        <v>86</v>
      </c>
      <c r="C820" t="s">
        <v>93</v>
      </c>
      <c r="D820" t="s">
        <v>195</v>
      </c>
      <c r="F820" t="s">
        <v>867</v>
      </c>
      <c r="G820" t="s">
        <v>1091</v>
      </c>
      <c r="H820" t="s">
        <v>1831</v>
      </c>
      <c r="I820" t="s">
        <v>2104</v>
      </c>
      <c r="J820" t="s">
        <v>2205</v>
      </c>
      <c r="K820">
        <v>11233</v>
      </c>
      <c r="N820" t="s">
        <v>2233</v>
      </c>
      <c r="O820" t="s">
        <v>2726</v>
      </c>
      <c r="P820" t="s">
        <v>2930</v>
      </c>
      <c r="R820">
        <v>1</v>
      </c>
      <c r="S820">
        <v>0</v>
      </c>
      <c r="T820">
        <v>283.43</v>
      </c>
      <c r="W820">
        <v>35400</v>
      </c>
      <c r="X820" t="s">
        <v>3700</v>
      </c>
      <c r="Y820">
        <v>0</v>
      </c>
      <c r="AA820" t="s">
        <v>70</v>
      </c>
      <c r="AC820" t="s">
        <v>3942</v>
      </c>
      <c r="AD820" t="s">
        <v>4035</v>
      </c>
      <c r="AF820" t="s">
        <v>4061</v>
      </c>
      <c r="AH820" t="s">
        <v>3510</v>
      </c>
      <c r="AJ820" t="s">
        <v>3942</v>
      </c>
      <c r="AL820" t="s">
        <v>4070</v>
      </c>
      <c r="AM820" t="s">
        <v>2230</v>
      </c>
      <c r="AN820" t="s">
        <v>4107</v>
      </c>
      <c r="AO820">
        <v>0</v>
      </c>
      <c r="AQ820">
        <v>359</v>
      </c>
      <c r="AS820" t="s">
        <v>4113</v>
      </c>
      <c r="AU820" t="s">
        <v>4128</v>
      </c>
      <c r="AW820">
        <v>21</v>
      </c>
      <c r="AY820" t="s">
        <v>4140</v>
      </c>
      <c r="BA820" t="s">
        <v>4149</v>
      </c>
      <c r="BB820" t="s">
        <v>4154</v>
      </c>
      <c r="BC820" t="s">
        <v>4128</v>
      </c>
      <c r="BE820" t="s">
        <v>4128</v>
      </c>
      <c r="BF820" t="s">
        <v>4281</v>
      </c>
      <c r="BG820" t="s">
        <v>4128</v>
      </c>
      <c r="BM820" t="s">
        <v>4627</v>
      </c>
    </row>
    <row r="821" spans="1:65">
      <c r="A821" s="1">
        <f>HYPERLINK("https://lsnyc.legalserver.org/matter/dynamic-profile/view/1898406","19-1898406")</f>
        <v>0</v>
      </c>
      <c r="B821" t="s">
        <v>86</v>
      </c>
      <c r="C821" t="s">
        <v>93</v>
      </c>
      <c r="D821" t="s">
        <v>320</v>
      </c>
      <c r="F821" t="s">
        <v>890</v>
      </c>
      <c r="G821" t="s">
        <v>1422</v>
      </c>
      <c r="H821" t="s">
        <v>1633</v>
      </c>
      <c r="I821" t="s">
        <v>2119</v>
      </c>
      <c r="J821" t="s">
        <v>2205</v>
      </c>
      <c r="K821">
        <v>11233</v>
      </c>
      <c r="N821" t="s">
        <v>2233</v>
      </c>
      <c r="O821" t="s">
        <v>2748</v>
      </c>
      <c r="P821" t="s">
        <v>2930</v>
      </c>
      <c r="R821">
        <v>2</v>
      </c>
      <c r="S821">
        <v>3</v>
      </c>
      <c r="T821">
        <v>298.31</v>
      </c>
      <c r="W821">
        <v>90000</v>
      </c>
      <c r="X821" t="s">
        <v>3701</v>
      </c>
      <c r="Y821">
        <v>0</v>
      </c>
      <c r="AA821" t="s">
        <v>70</v>
      </c>
      <c r="AC821" t="s">
        <v>3942</v>
      </c>
      <c r="AD821" t="s">
        <v>4035</v>
      </c>
      <c r="AF821" t="s">
        <v>4061</v>
      </c>
      <c r="AH821" t="s">
        <v>3510</v>
      </c>
      <c r="AJ821" t="s">
        <v>3942</v>
      </c>
      <c r="AL821" t="s">
        <v>4070</v>
      </c>
      <c r="AM821" t="s">
        <v>2230</v>
      </c>
      <c r="AO821">
        <v>1160</v>
      </c>
      <c r="AQ821">
        <v>359</v>
      </c>
      <c r="AS821" t="s">
        <v>4113</v>
      </c>
      <c r="AT821" t="s">
        <v>4127</v>
      </c>
      <c r="AW821">
        <v>37</v>
      </c>
      <c r="AY821" t="s">
        <v>4140</v>
      </c>
      <c r="BA821" t="s">
        <v>4149</v>
      </c>
      <c r="BB821" t="s">
        <v>4154</v>
      </c>
      <c r="BF821" t="s">
        <v>4281</v>
      </c>
      <c r="BM821" t="s">
        <v>4627</v>
      </c>
    </row>
    <row r="822" spans="1:65">
      <c r="A822" s="1">
        <f>HYPERLINK("https://lsnyc.legalserver.org/matter/dynamic-profile/view/1891544","19-1891544")</f>
        <v>0</v>
      </c>
      <c r="B822" t="s">
        <v>86</v>
      </c>
      <c r="C822" t="s">
        <v>93</v>
      </c>
      <c r="D822" t="s">
        <v>407</v>
      </c>
      <c r="F822" t="s">
        <v>892</v>
      </c>
      <c r="G822" t="s">
        <v>1424</v>
      </c>
      <c r="H822" t="s">
        <v>1577</v>
      </c>
      <c r="I822" t="s">
        <v>2042</v>
      </c>
      <c r="J822" t="s">
        <v>2205</v>
      </c>
      <c r="K822">
        <v>11233</v>
      </c>
      <c r="N822" t="s">
        <v>2233</v>
      </c>
      <c r="O822" t="s">
        <v>2750</v>
      </c>
      <c r="P822" t="s">
        <v>2930</v>
      </c>
      <c r="R822">
        <v>2</v>
      </c>
      <c r="S822">
        <v>0</v>
      </c>
      <c r="T822">
        <v>408.04</v>
      </c>
      <c r="W822">
        <v>69000</v>
      </c>
      <c r="X822" t="s">
        <v>3702</v>
      </c>
      <c r="Y822">
        <v>0</v>
      </c>
      <c r="AA822" t="s">
        <v>90</v>
      </c>
      <c r="AC822" t="s">
        <v>3942</v>
      </c>
      <c r="AD822" t="s">
        <v>4035</v>
      </c>
      <c r="AF822" t="s">
        <v>4061</v>
      </c>
      <c r="AH822" t="s">
        <v>3510</v>
      </c>
      <c r="AJ822" t="s">
        <v>3942</v>
      </c>
      <c r="AK822" t="s">
        <v>4084</v>
      </c>
      <c r="AM822" t="s">
        <v>2230</v>
      </c>
      <c r="AO822">
        <v>1089.12</v>
      </c>
      <c r="AQ822">
        <v>359</v>
      </c>
      <c r="AS822" t="s">
        <v>4113</v>
      </c>
      <c r="AT822" t="s">
        <v>4127</v>
      </c>
      <c r="AW822">
        <v>20</v>
      </c>
      <c r="AY822" t="s">
        <v>4140</v>
      </c>
      <c r="BA822" t="s">
        <v>4149</v>
      </c>
      <c r="BB822" t="s">
        <v>4154</v>
      </c>
      <c r="BF822" t="s">
        <v>4281</v>
      </c>
      <c r="BM822" t="s">
        <v>4627</v>
      </c>
    </row>
    <row r="823" spans="1:65">
      <c r="A823" s="1">
        <f>HYPERLINK("https://lsnyc.legalserver.org/matter/dynamic-profile/view/1915315","19-1915315")</f>
        <v>0</v>
      </c>
      <c r="B823" t="s">
        <v>86</v>
      </c>
      <c r="C823" t="s">
        <v>93</v>
      </c>
      <c r="D823" t="s">
        <v>360</v>
      </c>
      <c r="F823" t="s">
        <v>781</v>
      </c>
      <c r="G823" t="s">
        <v>1127</v>
      </c>
      <c r="H823" t="s">
        <v>1582</v>
      </c>
      <c r="I823">
        <v>38</v>
      </c>
      <c r="J823" t="s">
        <v>2205</v>
      </c>
      <c r="K823">
        <v>11213</v>
      </c>
      <c r="N823" t="s">
        <v>2233</v>
      </c>
      <c r="O823" t="s">
        <v>2610</v>
      </c>
      <c r="P823" t="s">
        <v>2930</v>
      </c>
      <c r="R823">
        <v>2</v>
      </c>
      <c r="S823">
        <v>0</v>
      </c>
      <c r="T823">
        <v>312.24</v>
      </c>
      <c r="W823">
        <v>52800</v>
      </c>
      <c r="X823" t="s">
        <v>3605</v>
      </c>
      <c r="Y823">
        <v>0</v>
      </c>
      <c r="AA823" t="s">
        <v>90</v>
      </c>
      <c r="AC823" t="s">
        <v>3942</v>
      </c>
      <c r="AD823" t="s">
        <v>156</v>
      </c>
      <c r="AF823" t="s">
        <v>4062</v>
      </c>
      <c r="AH823" t="s">
        <v>4076</v>
      </c>
      <c r="AJ823" t="s">
        <v>3942</v>
      </c>
      <c r="AL823" t="s">
        <v>4089</v>
      </c>
      <c r="AM823" t="s">
        <v>2230</v>
      </c>
      <c r="AO823">
        <v>1161.8</v>
      </c>
      <c r="AQ823">
        <v>31</v>
      </c>
      <c r="AS823" t="s">
        <v>4113</v>
      </c>
      <c r="AU823" t="s">
        <v>4128</v>
      </c>
      <c r="AW823">
        <v>8</v>
      </c>
      <c r="AY823" t="s">
        <v>4140</v>
      </c>
      <c r="BA823" t="s">
        <v>4149</v>
      </c>
      <c r="BC823" t="s">
        <v>4155</v>
      </c>
      <c r="BE823" t="s">
        <v>4159</v>
      </c>
      <c r="BF823" t="s">
        <v>4281</v>
      </c>
      <c r="BG823" t="s">
        <v>4509</v>
      </c>
      <c r="BM823" t="s">
        <v>4627</v>
      </c>
    </row>
    <row r="824" spans="1:65">
      <c r="A824" s="1">
        <f>HYPERLINK("https://lsnyc.legalserver.org/matter/dynamic-profile/view/1898259","19-1898259")</f>
        <v>0</v>
      </c>
      <c r="B824" t="s">
        <v>86</v>
      </c>
      <c r="C824" t="s">
        <v>93</v>
      </c>
      <c r="D824" t="s">
        <v>241</v>
      </c>
      <c r="F824" t="s">
        <v>855</v>
      </c>
      <c r="G824" t="s">
        <v>1385</v>
      </c>
      <c r="H824" t="s">
        <v>1577</v>
      </c>
      <c r="I824" t="s">
        <v>2085</v>
      </c>
      <c r="J824" t="s">
        <v>2205</v>
      </c>
      <c r="K824">
        <v>11233</v>
      </c>
      <c r="N824" t="s">
        <v>2233</v>
      </c>
      <c r="O824" t="s">
        <v>2686</v>
      </c>
      <c r="P824" t="s">
        <v>2930</v>
      </c>
      <c r="R824">
        <v>1</v>
      </c>
      <c r="S824">
        <v>0</v>
      </c>
      <c r="T824">
        <v>312.25</v>
      </c>
      <c r="W824">
        <v>39000</v>
      </c>
      <c r="X824" t="s">
        <v>3634</v>
      </c>
      <c r="Y824">
        <v>0</v>
      </c>
      <c r="AA824" t="s">
        <v>70</v>
      </c>
      <c r="AC824" t="s">
        <v>3942</v>
      </c>
      <c r="AD824" t="s">
        <v>3847</v>
      </c>
      <c r="AF824" t="s">
        <v>4059</v>
      </c>
      <c r="AH824" t="s">
        <v>4078</v>
      </c>
      <c r="AJ824" t="s">
        <v>3942</v>
      </c>
      <c r="AL824" t="s">
        <v>4070</v>
      </c>
      <c r="AM824" t="s">
        <v>2230</v>
      </c>
      <c r="AO824">
        <v>1872.98</v>
      </c>
      <c r="AQ824">
        <v>359</v>
      </c>
      <c r="AS824" t="s">
        <v>4113</v>
      </c>
      <c r="AT824" t="s">
        <v>4127</v>
      </c>
      <c r="AW824">
        <v>2</v>
      </c>
      <c r="AY824" t="s">
        <v>4140</v>
      </c>
      <c r="BA824" t="s">
        <v>4149</v>
      </c>
      <c r="BB824" t="s">
        <v>4154</v>
      </c>
      <c r="BF824" t="s">
        <v>4281</v>
      </c>
      <c r="BG824" t="s">
        <v>4539</v>
      </c>
      <c r="BM824" t="s">
        <v>4627</v>
      </c>
    </row>
    <row r="825" spans="1:65">
      <c r="A825" s="1">
        <f>HYPERLINK("https://lsnyc.legalserver.org/matter/dynamic-profile/view/1888215","19-1888215")</f>
        <v>0</v>
      </c>
      <c r="B825" t="s">
        <v>86</v>
      </c>
      <c r="C825" t="s">
        <v>93</v>
      </c>
      <c r="D825" t="s">
        <v>425</v>
      </c>
      <c r="F825" t="s">
        <v>537</v>
      </c>
      <c r="G825" t="s">
        <v>1410</v>
      </c>
      <c r="H825" t="s">
        <v>1832</v>
      </c>
      <c r="I825" t="s">
        <v>1938</v>
      </c>
      <c r="J825" t="s">
        <v>2205</v>
      </c>
      <c r="K825">
        <v>11215</v>
      </c>
      <c r="N825" t="s">
        <v>2233</v>
      </c>
      <c r="O825" t="s">
        <v>2737</v>
      </c>
      <c r="Q825" t="s">
        <v>3329</v>
      </c>
      <c r="R825">
        <v>3</v>
      </c>
      <c r="S825">
        <v>2</v>
      </c>
      <c r="T825">
        <v>34.33</v>
      </c>
      <c r="W825">
        <v>10100</v>
      </c>
      <c r="Y825">
        <v>0</v>
      </c>
      <c r="AA825" t="s">
        <v>90</v>
      </c>
      <c r="AC825" t="s">
        <v>3942</v>
      </c>
      <c r="AD825" t="s">
        <v>115</v>
      </c>
      <c r="AF825" t="s">
        <v>4058</v>
      </c>
      <c r="AH825" t="s">
        <v>4076</v>
      </c>
      <c r="AJ825" t="s">
        <v>3942</v>
      </c>
      <c r="AL825" t="s">
        <v>4086</v>
      </c>
      <c r="AM825" t="s">
        <v>2230</v>
      </c>
      <c r="AO825">
        <v>165</v>
      </c>
      <c r="AQ825">
        <v>7</v>
      </c>
      <c r="AS825" t="s">
        <v>4115</v>
      </c>
      <c r="AU825" t="s">
        <v>4128</v>
      </c>
      <c r="AW825">
        <v>22</v>
      </c>
      <c r="AY825" t="s">
        <v>4140</v>
      </c>
      <c r="BA825" t="s">
        <v>4149</v>
      </c>
      <c r="BC825" t="s">
        <v>4155</v>
      </c>
      <c r="BE825" t="s">
        <v>4159</v>
      </c>
      <c r="BF825" t="s">
        <v>4281</v>
      </c>
      <c r="BG825" t="s">
        <v>4546</v>
      </c>
      <c r="BM825" t="s">
        <v>4627</v>
      </c>
    </row>
    <row r="826" spans="1:65">
      <c r="A826" s="1">
        <f>HYPERLINK("https://lsnyc.legalserver.org/matter/dynamic-profile/view/1902152","19-1902152")</f>
        <v>0</v>
      </c>
      <c r="B826" t="s">
        <v>86</v>
      </c>
      <c r="C826" t="s">
        <v>93</v>
      </c>
      <c r="D826" t="s">
        <v>216</v>
      </c>
      <c r="F826" t="s">
        <v>893</v>
      </c>
      <c r="G826" t="s">
        <v>1425</v>
      </c>
      <c r="H826" t="s">
        <v>1577</v>
      </c>
      <c r="I826" t="s">
        <v>2120</v>
      </c>
      <c r="J826" t="s">
        <v>2205</v>
      </c>
      <c r="K826">
        <v>11233</v>
      </c>
      <c r="N826" t="s">
        <v>2233</v>
      </c>
      <c r="O826" t="s">
        <v>2751</v>
      </c>
      <c r="P826" t="s">
        <v>2930</v>
      </c>
      <c r="R826">
        <v>3</v>
      </c>
      <c r="S826">
        <v>0</v>
      </c>
      <c r="T826">
        <v>328.18</v>
      </c>
      <c r="W826">
        <v>70000</v>
      </c>
      <c r="X826" t="s">
        <v>3703</v>
      </c>
      <c r="Y826">
        <v>0</v>
      </c>
      <c r="AA826" t="s">
        <v>70</v>
      </c>
      <c r="AC826" t="s">
        <v>3942</v>
      </c>
      <c r="AD826" t="s">
        <v>4035</v>
      </c>
      <c r="AF826" t="s">
        <v>4061</v>
      </c>
      <c r="AH826" t="s">
        <v>3510</v>
      </c>
      <c r="AJ826" t="s">
        <v>3942</v>
      </c>
      <c r="AL826" t="s">
        <v>4070</v>
      </c>
      <c r="AM826" t="s">
        <v>2230</v>
      </c>
      <c r="AO826">
        <v>1200</v>
      </c>
      <c r="AQ826">
        <v>359</v>
      </c>
      <c r="AS826" t="s">
        <v>4113</v>
      </c>
      <c r="AT826" t="s">
        <v>4127</v>
      </c>
      <c r="AW826">
        <v>20</v>
      </c>
      <c r="AY826" t="s">
        <v>4140</v>
      </c>
      <c r="BA826" t="s">
        <v>4149</v>
      </c>
      <c r="BB826" t="s">
        <v>4154</v>
      </c>
      <c r="BC826" t="s">
        <v>4128</v>
      </c>
      <c r="BF826" t="s">
        <v>4281</v>
      </c>
      <c r="BG826" t="s">
        <v>4054</v>
      </c>
      <c r="BM826" t="s">
        <v>4627</v>
      </c>
    </row>
    <row r="827" spans="1:65">
      <c r="A827" s="1">
        <f>HYPERLINK("https://lsnyc.legalserver.org/matter/dynamic-profile/view/1902056","19-1902056")</f>
        <v>0</v>
      </c>
      <c r="B827" t="s">
        <v>86</v>
      </c>
      <c r="C827" t="s">
        <v>93</v>
      </c>
      <c r="D827" t="s">
        <v>216</v>
      </c>
      <c r="F827" t="s">
        <v>893</v>
      </c>
      <c r="G827" t="s">
        <v>1425</v>
      </c>
      <c r="H827" t="s">
        <v>1577</v>
      </c>
      <c r="I827" t="s">
        <v>2120</v>
      </c>
      <c r="J827" t="s">
        <v>2205</v>
      </c>
      <c r="K827">
        <v>11233</v>
      </c>
      <c r="N827" t="s">
        <v>2233</v>
      </c>
      <c r="O827" t="s">
        <v>2751</v>
      </c>
      <c r="P827" t="s">
        <v>2930</v>
      </c>
      <c r="R827">
        <v>3</v>
      </c>
      <c r="S827">
        <v>0</v>
      </c>
      <c r="T827">
        <v>328.18</v>
      </c>
      <c r="W827">
        <v>70000</v>
      </c>
      <c r="X827" t="s">
        <v>3634</v>
      </c>
      <c r="Y827">
        <v>0</v>
      </c>
      <c r="AA827" t="s">
        <v>70</v>
      </c>
      <c r="AC827" t="s">
        <v>3942</v>
      </c>
      <c r="AD827" t="s">
        <v>3847</v>
      </c>
      <c r="AF827" t="s">
        <v>4059</v>
      </c>
      <c r="AH827" t="s">
        <v>4078</v>
      </c>
      <c r="AJ827" t="s">
        <v>3942</v>
      </c>
      <c r="AL827" t="s">
        <v>4070</v>
      </c>
      <c r="AM827" t="s">
        <v>2230</v>
      </c>
      <c r="AO827">
        <v>1200</v>
      </c>
      <c r="AQ827">
        <v>359</v>
      </c>
      <c r="AS827" t="s">
        <v>4113</v>
      </c>
      <c r="AT827" t="s">
        <v>4127</v>
      </c>
      <c r="AW827">
        <v>20</v>
      </c>
      <c r="AY827" t="s">
        <v>4140</v>
      </c>
      <c r="BA827" t="s">
        <v>4149</v>
      </c>
      <c r="BB827" t="s">
        <v>4154</v>
      </c>
      <c r="BC827" t="s">
        <v>4128</v>
      </c>
      <c r="BF827" t="s">
        <v>4281</v>
      </c>
      <c r="BG827" t="s">
        <v>4539</v>
      </c>
      <c r="BM827" t="s">
        <v>4627</v>
      </c>
    </row>
    <row r="828" spans="1:65">
      <c r="A828" s="1">
        <f>HYPERLINK("https://lsnyc.legalserver.org/matter/dynamic-profile/view/1891600","19-1891600")</f>
        <v>0</v>
      </c>
      <c r="B828" t="s">
        <v>86</v>
      </c>
      <c r="C828" t="s">
        <v>93</v>
      </c>
      <c r="D828" t="s">
        <v>410</v>
      </c>
      <c r="F828" t="s">
        <v>536</v>
      </c>
      <c r="G828" t="s">
        <v>1426</v>
      </c>
      <c r="H828" t="s">
        <v>1633</v>
      </c>
      <c r="I828" t="s">
        <v>2121</v>
      </c>
      <c r="J828" t="s">
        <v>2205</v>
      </c>
      <c r="K828">
        <v>11233</v>
      </c>
      <c r="N828" t="s">
        <v>2233</v>
      </c>
      <c r="O828" t="s">
        <v>2752</v>
      </c>
      <c r="P828" t="s">
        <v>2930</v>
      </c>
      <c r="R828">
        <v>2</v>
      </c>
      <c r="S828">
        <v>0</v>
      </c>
      <c r="T828">
        <v>325.25</v>
      </c>
      <c r="W828">
        <v>55000</v>
      </c>
      <c r="X828" t="s">
        <v>3704</v>
      </c>
      <c r="Y828">
        <v>0</v>
      </c>
      <c r="AA828" t="s">
        <v>70</v>
      </c>
      <c r="AC828" t="s">
        <v>3942</v>
      </c>
      <c r="AD828" t="s">
        <v>4035</v>
      </c>
      <c r="AF828" t="s">
        <v>4061</v>
      </c>
      <c r="AH828" t="s">
        <v>3510</v>
      </c>
      <c r="AJ828" t="s">
        <v>3942</v>
      </c>
      <c r="AL828" t="s">
        <v>4070</v>
      </c>
      <c r="AM828" t="s">
        <v>2230</v>
      </c>
      <c r="AO828">
        <v>1189.1</v>
      </c>
      <c r="AQ828">
        <v>359</v>
      </c>
      <c r="AS828" t="s">
        <v>4113</v>
      </c>
      <c r="AU828" t="s">
        <v>4128</v>
      </c>
      <c r="AW828">
        <v>44</v>
      </c>
      <c r="AY828" t="s">
        <v>4140</v>
      </c>
      <c r="BA828" t="s">
        <v>4149</v>
      </c>
      <c r="BB828" t="s">
        <v>4154</v>
      </c>
      <c r="BF828" t="s">
        <v>4281</v>
      </c>
      <c r="BM828" t="s">
        <v>4627</v>
      </c>
    </row>
    <row r="829" spans="1:65">
      <c r="A829" s="1">
        <f>HYPERLINK("https://lsnyc.legalserver.org/matter/dynamic-profile/view/1890584","19-1890584")</f>
        <v>0</v>
      </c>
      <c r="B829" t="s">
        <v>86</v>
      </c>
      <c r="C829" t="s">
        <v>93</v>
      </c>
      <c r="D829" t="s">
        <v>414</v>
      </c>
      <c r="F829" t="s">
        <v>536</v>
      </c>
      <c r="G829" t="s">
        <v>1426</v>
      </c>
      <c r="H829" t="s">
        <v>1633</v>
      </c>
      <c r="I829" t="s">
        <v>2121</v>
      </c>
      <c r="J829" t="s">
        <v>2205</v>
      </c>
      <c r="K829">
        <v>11233</v>
      </c>
      <c r="N829" t="s">
        <v>2233</v>
      </c>
      <c r="O829" t="s">
        <v>2752</v>
      </c>
      <c r="P829" t="s">
        <v>2930</v>
      </c>
      <c r="R829">
        <v>2</v>
      </c>
      <c r="S829">
        <v>0</v>
      </c>
      <c r="T829">
        <v>325.25</v>
      </c>
      <c r="W829">
        <v>55000</v>
      </c>
      <c r="X829" t="s">
        <v>3624</v>
      </c>
      <c r="Y829">
        <v>0</v>
      </c>
      <c r="AA829" t="s">
        <v>70</v>
      </c>
      <c r="AC829" t="s">
        <v>3942</v>
      </c>
      <c r="AD829" t="s">
        <v>3847</v>
      </c>
      <c r="AF829" t="s">
        <v>4059</v>
      </c>
      <c r="AH829" t="s">
        <v>4078</v>
      </c>
      <c r="AJ829" t="s">
        <v>3942</v>
      </c>
      <c r="AL829" t="s">
        <v>4070</v>
      </c>
      <c r="AM829" t="s">
        <v>2230</v>
      </c>
      <c r="AO829">
        <v>1189.18</v>
      </c>
      <c r="AQ829">
        <v>359</v>
      </c>
      <c r="AS829" t="s">
        <v>4113</v>
      </c>
      <c r="AU829" t="s">
        <v>4128</v>
      </c>
      <c r="AW829">
        <v>44</v>
      </c>
      <c r="AY829" t="s">
        <v>4140</v>
      </c>
      <c r="BA829" t="s">
        <v>4149</v>
      </c>
      <c r="BB829" t="s">
        <v>4154</v>
      </c>
      <c r="BF829" t="s">
        <v>4281</v>
      </c>
      <c r="BG829" t="s">
        <v>4538</v>
      </c>
      <c r="BM829" t="s">
        <v>4627</v>
      </c>
    </row>
    <row r="830" spans="1:65">
      <c r="A830" s="1">
        <f>HYPERLINK("https://lsnyc.legalserver.org/matter/dynamic-profile/view/1897393","19-1897393")</f>
        <v>0</v>
      </c>
      <c r="B830" t="s">
        <v>86</v>
      </c>
      <c r="C830" t="s">
        <v>93</v>
      </c>
      <c r="D830" t="s">
        <v>409</v>
      </c>
      <c r="F830" t="s">
        <v>894</v>
      </c>
      <c r="G830" t="s">
        <v>1427</v>
      </c>
      <c r="H830" t="s">
        <v>1633</v>
      </c>
      <c r="I830" t="s">
        <v>2122</v>
      </c>
      <c r="J830" t="s">
        <v>2205</v>
      </c>
      <c r="K830">
        <v>11233</v>
      </c>
      <c r="N830" t="s">
        <v>2233</v>
      </c>
      <c r="O830" t="s">
        <v>2753</v>
      </c>
      <c r="P830" t="s">
        <v>2930</v>
      </c>
      <c r="R830">
        <v>1</v>
      </c>
      <c r="S830">
        <v>0</v>
      </c>
      <c r="T830">
        <v>320.26</v>
      </c>
      <c r="W830">
        <v>40000</v>
      </c>
      <c r="X830" t="s">
        <v>3646</v>
      </c>
      <c r="Y830">
        <v>0</v>
      </c>
      <c r="AA830" t="s">
        <v>90</v>
      </c>
      <c r="AC830" t="s">
        <v>3942</v>
      </c>
      <c r="AD830" t="s">
        <v>4035</v>
      </c>
      <c r="AF830" t="s">
        <v>4061</v>
      </c>
      <c r="AH830" t="s">
        <v>3510</v>
      </c>
      <c r="AJ830" t="s">
        <v>3942</v>
      </c>
      <c r="AL830" t="s">
        <v>4088</v>
      </c>
      <c r="AM830" t="s">
        <v>2230</v>
      </c>
      <c r="AO830">
        <v>1162</v>
      </c>
      <c r="AQ830">
        <v>359</v>
      </c>
      <c r="AS830" t="s">
        <v>4113</v>
      </c>
      <c r="AT830" t="s">
        <v>4127</v>
      </c>
      <c r="AW830">
        <v>30</v>
      </c>
      <c r="AY830" t="s">
        <v>4140</v>
      </c>
      <c r="BA830" t="s">
        <v>4149</v>
      </c>
      <c r="BB830" t="s">
        <v>4154</v>
      </c>
      <c r="BF830" t="s">
        <v>4281</v>
      </c>
      <c r="BM830" t="s">
        <v>4627</v>
      </c>
    </row>
    <row r="831" spans="1:65">
      <c r="A831" s="1">
        <f>HYPERLINK("https://lsnyc.legalserver.org/matter/dynamic-profile/view/1892643","19-1892643")</f>
        <v>0</v>
      </c>
      <c r="B831" t="s">
        <v>86</v>
      </c>
      <c r="C831" t="s">
        <v>93</v>
      </c>
      <c r="D831" t="s">
        <v>412</v>
      </c>
      <c r="F831" t="s">
        <v>703</v>
      </c>
      <c r="G831" t="s">
        <v>1066</v>
      </c>
      <c r="H831" t="s">
        <v>1828</v>
      </c>
      <c r="I831" t="s">
        <v>2123</v>
      </c>
      <c r="J831" t="s">
        <v>2205</v>
      </c>
      <c r="K831">
        <v>11233</v>
      </c>
      <c r="N831" t="s">
        <v>2233</v>
      </c>
      <c r="O831" t="s">
        <v>2754</v>
      </c>
      <c r="P831" t="s">
        <v>2930</v>
      </c>
      <c r="R831">
        <v>1</v>
      </c>
      <c r="S831">
        <v>0</v>
      </c>
      <c r="T831">
        <v>320.26</v>
      </c>
      <c r="W831">
        <v>40000</v>
      </c>
      <c r="X831" t="s">
        <v>3705</v>
      </c>
      <c r="Y831">
        <v>0</v>
      </c>
      <c r="AA831" t="s">
        <v>70</v>
      </c>
      <c r="AC831" t="s">
        <v>3942</v>
      </c>
      <c r="AD831" t="s">
        <v>4035</v>
      </c>
      <c r="AF831" t="s">
        <v>4061</v>
      </c>
      <c r="AH831" t="s">
        <v>3510</v>
      </c>
      <c r="AJ831" t="s">
        <v>3942</v>
      </c>
      <c r="AL831" t="s">
        <v>4070</v>
      </c>
      <c r="AM831" t="s">
        <v>2230</v>
      </c>
      <c r="AO831">
        <v>812</v>
      </c>
      <c r="AQ831">
        <v>359</v>
      </c>
      <c r="AS831" t="s">
        <v>4113</v>
      </c>
      <c r="AT831" t="s">
        <v>4127</v>
      </c>
      <c r="AW831">
        <v>18</v>
      </c>
      <c r="AY831" t="s">
        <v>4140</v>
      </c>
      <c r="BA831" t="s">
        <v>4149</v>
      </c>
      <c r="BB831" t="s">
        <v>4154</v>
      </c>
      <c r="BF831" t="s">
        <v>4281</v>
      </c>
      <c r="BM831" t="s">
        <v>4627</v>
      </c>
    </row>
    <row r="832" spans="1:65">
      <c r="A832" s="1">
        <f>HYPERLINK("https://lsnyc.legalserver.org/matter/dynamic-profile/view/0822906","16-0822906")</f>
        <v>0</v>
      </c>
      <c r="B832" t="s">
        <v>86</v>
      </c>
      <c r="C832" t="s">
        <v>93</v>
      </c>
      <c r="D832" t="s">
        <v>424</v>
      </c>
      <c r="F832" t="s">
        <v>552</v>
      </c>
      <c r="G832" t="s">
        <v>1394</v>
      </c>
      <c r="H832" t="s">
        <v>1830</v>
      </c>
      <c r="I832" t="s">
        <v>1922</v>
      </c>
      <c r="J832" t="s">
        <v>2205</v>
      </c>
      <c r="K832">
        <v>11207</v>
      </c>
      <c r="N832" t="s">
        <v>2233</v>
      </c>
      <c r="O832" t="s">
        <v>2714</v>
      </c>
      <c r="P832" t="s">
        <v>2930</v>
      </c>
      <c r="R832">
        <v>1</v>
      </c>
      <c r="S832">
        <v>3</v>
      </c>
      <c r="T832">
        <v>42.8</v>
      </c>
      <c r="W832">
        <v>10400</v>
      </c>
      <c r="Y832">
        <v>1.45</v>
      </c>
      <c r="Z832" t="s">
        <v>3876</v>
      </c>
      <c r="AA832" t="s">
        <v>3915</v>
      </c>
      <c r="AC832" t="s">
        <v>3942</v>
      </c>
      <c r="AD832" t="s">
        <v>3990</v>
      </c>
      <c r="AF832" t="s">
        <v>4058</v>
      </c>
      <c r="AH832" t="s">
        <v>4076</v>
      </c>
      <c r="AJ832" t="s">
        <v>3942</v>
      </c>
      <c r="AL832" t="s">
        <v>4086</v>
      </c>
      <c r="AM832" t="s">
        <v>2230</v>
      </c>
      <c r="AO832">
        <v>1200</v>
      </c>
      <c r="AQ832">
        <v>6</v>
      </c>
      <c r="AS832" t="s">
        <v>4113</v>
      </c>
      <c r="AU832" t="s">
        <v>4128</v>
      </c>
      <c r="AW832">
        <v>7</v>
      </c>
      <c r="AY832" t="s">
        <v>4140</v>
      </c>
      <c r="BC832" t="s">
        <v>4155</v>
      </c>
      <c r="BE832" t="s">
        <v>4162</v>
      </c>
      <c r="BF832" t="s">
        <v>4281</v>
      </c>
      <c r="BG832" t="s">
        <v>4540</v>
      </c>
      <c r="BM832" t="s">
        <v>4627</v>
      </c>
    </row>
    <row r="833" spans="1:65">
      <c r="A833" s="1">
        <f>HYPERLINK("https://lsnyc.legalserver.org/matter/dynamic-profile/view/1891556","19-1891556")</f>
        <v>0</v>
      </c>
      <c r="B833" t="s">
        <v>86</v>
      </c>
      <c r="C833" t="s">
        <v>93</v>
      </c>
      <c r="D833" t="s">
        <v>407</v>
      </c>
      <c r="F833" t="s">
        <v>515</v>
      </c>
      <c r="G833" t="s">
        <v>1416</v>
      </c>
      <c r="H833" t="s">
        <v>1577</v>
      </c>
      <c r="I833" t="s">
        <v>1995</v>
      </c>
      <c r="J833" t="s">
        <v>2205</v>
      </c>
      <c r="K833">
        <v>11233</v>
      </c>
      <c r="N833" t="s">
        <v>2233</v>
      </c>
      <c r="O833" t="s">
        <v>2755</v>
      </c>
      <c r="P833" t="s">
        <v>2930</v>
      </c>
      <c r="R833">
        <v>1</v>
      </c>
      <c r="S833">
        <v>0</v>
      </c>
      <c r="T833">
        <v>320.26</v>
      </c>
      <c r="W833">
        <v>40000</v>
      </c>
      <c r="X833" t="s">
        <v>3706</v>
      </c>
      <c r="Y833">
        <v>0</v>
      </c>
      <c r="AA833" t="s">
        <v>90</v>
      </c>
      <c r="AC833" t="s">
        <v>3942</v>
      </c>
      <c r="AD833" t="s">
        <v>4035</v>
      </c>
      <c r="AF833" t="s">
        <v>4061</v>
      </c>
      <c r="AH833" t="s">
        <v>3510</v>
      </c>
      <c r="AJ833" t="s">
        <v>3942</v>
      </c>
      <c r="AK833" t="s">
        <v>4084</v>
      </c>
      <c r="AM833" t="s">
        <v>2230</v>
      </c>
      <c r="AO833">
        <v>1000</v>
      </c>
      <c r="AQ833">
        <v>359</v>
      </c>
      <c r="AS833" t="s">
        <v>4113</v>
      </c>
      <c r="AT833" t="s">
        <v>4127</v>
      </c>
      <c r="AW833">
        <v>50</v>
      </c>
      <c r="AY833" t="s">
        <v>4140</v>
      </c>
      <c r="BA833" t="s">
        <v>4149</v>
      </c>
      <c r="BB833" t="s">
        <v>4154</v>
      </c>
      <c r="BF833" t="s">
        <v>4281</v>
      </c>
      <c r="BG833" t="s">
        <v>4159</v>
      </c>
      <c r="BM833" t="s">
        <v>4627</v>
      </c>
    </row>
    <row r="834" spans="1:65">
      <c r="A834" s="1">
        <f>HYPERLINK("https://lsnyc.legalserver.org/matter/dynamic-profile/view/1897392","19-1897392")</f>
        <v>0</v>
      </c>
      <c r="B834" t="s">
        <v>86</v>
      </c>
      <c r="C834" t="s">
        <v>93</v>
      </c>
      <c r="D834" t="s">
        <v>409</v>
      </c>
      <c r="F834" t="s">
        <v>894</v>
      </c>
      <c r="G834" t="s">
        <v>1427</v>
      </c>
      <c r="H834" t="s">
        <v>1633</v>
      </c>
      <c r="I834" t="s">
        <v>2122</v>
      </c>
      <c r="J834" t="s">
        <v>2205</v>
      </c>
      <c r="K834">
        <v>11233</v>
      </c>
      <c r="N834" t="s">
        <v>2233</v>
      </c>
      <c r="O834" t="s">
        <v>2753</v>
      </c>
      <c r="P834" t="s">
        <v>2930</v>
      </c>
      <c r="R834">
        <v>1</v>
      </c>
      <c r="S834">
        <v>0</v>
      </c>
      <c r="T834">
        <v>320.26</v>
      </c>
      <c r="W834">
        <v>40000</v>
      </c>
      <c r="X834" t="s">
        <v>3707</v>
      </c>
      <c r="Y834">
        <v>0</v>
      </c>
      <c r="AA834" t="s">
        <v>90</v>
      </c>
      <c r="AC834" t="s">
        <v>3942</v>
      </c>
      <c r="AD834" t="s">
        <v>3847</v>
      </c>
      <c r="AF834" t="s">
        <v>4059</v>
      </c>
      <c r="AH834" t="s">
        <v>4078</v>
      </c>
      <c r="AJ834" t="s">
        <v>3942</v>
      </c>
      <c r="AL834" t="s">
        <v>4088</v>
      </c>
      <c r="AM834" t="s">
        <v>2230</v>
      </c>
      <c r="AO834">
        <v>1162</v>
      </c>
      <c r="AQ834">
        <v>359</v>
      </c>
      <c r="AS834" t="s">
        <v>4113</v>
      </c>
      <c r="AT834" t="s">
        <v>4127</v>
      </c>
      <c r="AW834">
        <v>30</v>
      </c>
      <c r="AY834" t="s">
        <v>4140</v>
      </c>
      <c r="BA834" t="s">
        <v>4149</v>
      </c>
      <c r="BB834" t="s">
        <v>4154</v>
      </c>
      <c r="BF834" t="s">
        <v>4281</v>
      </c>
      <c r="BG834" t="s">
        <v>4538</v>
      </c>
      <c r="BM834" t="s">
        <v>4627</v>
      </c>
    </row>
    <row r="835" spans="1:65">
      <c r="A835" s="1">
        <f>HYPERLINK("https://lsnyc.legalserver.org/matter/dynamic-profile/view/1892641","19-1892641")</f>
        <v>0</v>
      </c>
      <c r="B835" t="s">
        <v>86</v>
      </c>
      <c r="C835" t="s">
        <v>93</v>
      </c>
      <c r="D835" t="s">
        <v>412</v>
      </c>
      <c r="F835" t="s">
        <v>703</v>
      </c>
      <c r="G835" t="s">
        <v>1066</v>
      </c>
      <c r="H835" t="s">
        <v>1828</v>
      </c>
      <c r="I835" t="s">
        <v>2123</v>
      </c>
      <c r="J835" t="s">
        <v>2205</v>
      </c>
      <c r="K835">
        <v>11233</v>
      </c>
      <c r="N835" t="s">
        <v>2233</v>
      </c>
      <c r="O835" t="s">
        <v>2754</v>
      </c>
      <c r="P835" t="s">
        <v>2930</v>
      </c>
      <c r="R835">
        <v>1</v>
      </c>
      <c r="S835">
        <v>0</v>
      </c>
      <c r="T835">
        <v>320.26</v>
      </c>
      <c r="W835">
        <v>40000</v>
      </c>
      <c r="X835" t="s">
        <v>3635</v>
      </c>
      <c r="Y835">
        <v>0</v>
      </c>
      <c r="AA835" t="s">
        <v>70</v>
      </c>
      <c r="AC835" t="s">
        <v>3942</v>
      </c>
      <c r="AD835" t="s">
        <v>3847</v>
      </c>
      <c r="AF835" t="s">
        <v>4059</v>
      </c>
      <c r="AH835" t="s">
        <v>4078</v>
      </c>
      <c r="AJ835" t="s">
        <v>3942</v>
      </c>
      <c r="AL835" t="s">
        <v>4070</v>
      </c>
      <c r="AM835" t="s">
        <v>2230</v>
      </c>
      <c r="AO835">
        <v>812</v>
      </c>
      <c r="AQ835">
        <v>359</v>
      </c>
      <c r="AS835" t="s">
        <v>4113</v>
      </c>
      <c r="AT835" t="s">
        <v>4127</v>
      </c>
      <c r="AW835">
        <v>18</v>
      </c>
      <c r="AY835" t="s">
        <v>4140</v>
      </c>
      <c r="BA835" t="s">
        <v>4149</v>
      </c>
      <c r="BB835" t="s">
        <v>4154</v>
      </c>
      <c r="BF835" t="s">
        <v>4281</v>
      </c>
      <c r="BG835" t="s">
        <v>4539</v>
      </c>
      <c r="BM835" t="s">
        <v>4627</v>
      </c>
    </row>
    <row r="836" spans="1:65">
      <c r="A836" s="1">
        <f>HYPERLINK("https://lsnyc.legalserver.org/matter/dynamic-profile/view/1898368","19-1898368")</f>
        <v>0</v>
      </c>
      <c r="B836" t="s">
        <v>86</v>
      </c>
      <c r="C836" t="s">
        <v>93</v>
      </c>
      <c r="D836" t="s">
        <v>320</v>
      </c>
      <c r="F836" t="s">
        <v>887</v>
      </c>
      <c r="G836" t="s">
        <v>1418</v>
      </c>
      <c r="H836" t="s">
        <v>1829</v>
      </c>
      <c r="I836" t="s">
        <v>2116</v>
      </c>
      <c r="J836" t="s">
        <v>2205</v>
      </c>
      <c r="K836">
        <v>11233</v>
      </c>
      <c r="N836" t="s">
        <v>2233</v>
      </c>
      <c r="O836" t="s">
        <v>2744</v>
      </c>
      <c r="P836" t="s">
        <v>2930</v>
      </c>
      <c r="R836">
        <v>1</v>
      </c>
      <c r="S836">
        <v>0</v>
      </c>
      <c r="T836">
        <v>392.31</v>
      </c>
      <c r="W836">
        <v>49000</v>
      </c>
      <c r="X836" t="s">
        <v>3624</v>
      </c>
      <c r="Y836">
        <v>0</v>
      </c>
      <c r="AA836" t="s">
        <v>70</v>
      </c>
      <c r="AC836" t="s">
        <v>3942</v>
      </c>
      <c r="AD836" t="s">
        <v>3847</v>
      </c>
      <c r="AF836" t="s">
        <v>4059</v>
      </c>
      <c r="AH836" t="s">
        <v>4078</v>
      </c>
      <c r="AJ836" t="s">
        <v>3942</v>
      </c>
      <c r="AL836" t="s">
        <v>4070</v>
      </c>
      <c r="AM836" t="s">
        <v>2230</v>
      </c>
      <c r="AO836">
        <v>629.15</v>
      </c>
      <c r="AQ836">
        <v>359</v>
      </c>
      <c r="AS836" t="s">
        <v>4113</v>
      </c>
      <c r="AT836" t="s">
        <v>4127</v>
      </c>
      <c r="AW836">
        <v>8</v>
      </c>
      <c r="AY836" t="s">
        <v>4140</v>
      </c>
      <c r="BA836" t="s">
        <v>4149</v>
      </c>
      <c r="BB836" t="s">
        <v>4154</v>
      </c>
      <c r="BF836" t="s">
        <v>4281</v>
      </c>
      <c r="BG836" t="s">
        <v>4538</v>
      </c>
      <c r="BM836" t="s">
        <v>4627</v>
      </c>
    </row>
    <row r="837" spans="1:65">
      <c r="A837" s="1">
        <f>HYPERLINK("https://lsnyc.legalserver.org/matter/dynamic-profile/view/1898251","19-1898251")</f>
        <v>0</v>
      </c>
      <c r="B837" t="s">
        <v>86</v>
      </c>
      <c r="C837" t="s">
        <v>93</v>
      </c>
      <c r="D837" t="s">
        <v>241</v>
      </c>
      <c r="F837" t="s">
        <v>563</v>
      </c>
      <c r="G837" t="s">
        <v>1091</v>
      </c>
      <c r="H837" t="s">
        <v>1828</v>
      </c>
      <c r="I837" t="s">
        <v>2124</v>
      </c>
      <c r="J837" t="s">
        <v>2205</v>
      </c>
      <c r="K837">
        <v>11233</v>
      </c>
      <c r="N837" t="s">
        <v>2233</v>
      </c>
      <c r="O837" t="s">
        <v>2756</v>
      </c>
      <c r="P837" t="s">
        <v>2930</v>
      </c>
      <c r="R837">
        <v>2</v>
      </c>
      <c r="S837">
        <v>0</v>
      </c>
      <c r="T837">
        <v>42.58</v>
      </c>
      <c r="W837">
        <v>7200</v>
      </c>
      <c r="X837" t="s">
        <v>3624</v>
      </c>
      <c r="Y837">
        <v>0</v>
      </c>
      <c r="AA837" t="s">
        <v>70</v>
      </c>
      <c r="AC837" t="s">
        <v>3942</v>
      </c>
      <c r="AD837" t="s">
        <v>3847</v>
      </c>
      <c r="AF837" t="s">
        <v>4059</v>
      </c>
      <c r="AH837" t="s">
        <v>4078</v>
      </c>
      <c r="AJ837" t="s">
        <v>3942</v>
      </c>
      <c r="AL837" t="s">
        <v>4070</v>
      </c>
      <c r="AM837" t="s">
        <v>2230</v>
      </c>
      <c r="AO837">
        <v>1000</v>
      </c>
      <c r="AQ837">
        <v>359</v>
      </c>
      <c r="AS837" t="s">
        <v>4113</v>
      </c>
      <c r="AT837" t="s">
        <v>4127</v>
      </c>
      <c r="AW837">
        <v>25</v>
      </c>
      <c r="AY837" t="s">
        <v>4140</v>
      </c>
      <c r="BA837" t="s">
        <v>4149</v>
      </c>
      <c r="BB837" t="s">
        <v>4154</v>
      </c>
      <c r="BF837" t="s">
        <v>4281</v>
      </c>
      <c r="BG837" t="s">
        <v>4539</v>
      </c>
      <c r="BM837" t="s">
        <v>4627</v>
      </c>
    </row>
    <row r="838" spans="1:65">
      <c r="A838" s="1">
        <f>HYPERLINK("https://lsnyc.legalserver.org/matter/dynamic-profile/view/1898252","19-1898252")</f>
        <v>0</v>
      </c>
      <c r="B838" t="s">
        <v>86</v>
      </c>
      <c r="C838" t="s">
        <v>93</v>
      </c>
      <c r="D838" t="s">
        <v>241</v>
      </c>
      <c r="F838" t="s">
        <v>563</v>
      </c>
      <c r="G838" t="s">
        <v>1091</v>
      </c>
      <c r="H838" t="s">
        <v>1828</v>
      </c>
      <c r="I838" t="s">
        <v>2124</v>
      </c>
      <c r="J838" t="s">
        <v>2205</v>
      </c>
      <c r="K838">
        <v>11233</v>
      </c>
      <c r="N838" t="s">
        <v>2233</v>
      </c>
      <c r="O838" t="s">
        <v>2756</v>
      </c>
      <c r="P838" t="s">
        <v>2930</v>
      </c>
      <c r="R838">
        <v>2</v>
      </c>
      <c r="S838">
        <v>0</v>
      </c>
      <c r="T838">
        <v>42.58</v>
      </c>
      <c r="W838">
        <v>7200</v>
      </c>
      <c r="X838" t="s">
        <v>3708</v>
      </c>
      <c r="Y838">
        <v>0</v>
      </c>
      <c r="AA838" t="s">
        <v>70</v>
      </c>
      <c r="AC838" t="s">
        <v>3942</v>
      </c>
      <c r="AD838" t="s">
        <v>4035</v>
      </c>
      <c r="AF838" t="s">
        <v>4061</v>
      </c>
      <c r="AH838" t="s">
        <v>3510</v>
      </c>
      <c r="AJ838" t="s">
        <v>3942</v>
      </c>
      <c r="AL838" t="s">
        <v>4070</v>
      </c>
      <c r="AM838" t="s">
        <v>2230</v>
      </c>
      <c r="AO838">
        <v>1000</v>
      </c>
      <c r="AQ838">
        <v>359</v>
      </c>
      <c r="AS838" t="s">
        <v>4113</v>
      </c>
      <c r="AT838" t="s">
        <v>4127</v>
      </c>
      <c r="AW838">
        <v>25</v>
      </c>
      <c r="AY838" t="s">
        <v>4140</v>
      </c>
      <c r="BA838" t="s">
        <v>4149</v>
      </c>
      <c r="BB838" t="s">
        <v>4154</v>
      </c>
      <c r="BF838" t="s">
        <v>4281</v>
      </c>
      <c r="BM838" t="s">
        <v>4627</v>
      </c>
    </row>
    <row r="839" spans="1:65">
      <c r="A839" s="1">
        <f>HYPERLINK("https://lsnyc.legalserver.org/matter/dynamic-profile/view/1898851","19-1898851")</f>
        <v>0</v>
      </c>
      <c r="B839" t="s">
        <v>86</v>
      </c>
      <c r="C839" t="s">
        <v>93</v>
      </c>
      <c r="D839" t="s">
        <v>195</v>
      </c>
      <c r="F839" t="s">
        <v>895</v>
      </c>
      <c r="G839" t="s">
        <v>1428</v>
      </c>
      <c r="H839" t="s">
        <v>1577</v>
      </c>
      <c r="I839" t="s">
        <v>2125</v>
      </c>
      <c r="J839" t="s">
        <v>2205</v>
      </c>
      <c r="K839">
        <v>11233</v>
      </c>
      <c r="N839" t="s">
        <v>2233</v>
      </c>
      <c r="O839" t="s">
        <v>2557</v>
      </c>
      <c r="P839" t="s">
        <v>2930</v>
      </c>
      <c r="R839">
        <v>1</v>
      </c>
      <c r="S839">
        <v>0</v>
      </c>
      <c r="T839">
        <v>312.25</v>
      </c>
      <c r="W839">
        <v>39000</v>
      </c>
      <c r="X839" t="s">
        <v>3709</v>
      </c>
      <c r="Y839">
        <v>0</v>
      </c>
      <c r="AA839" t="s">
        <v>70</v>
      </c>
      <c r="AC839" t="s">
        <v>3942</v>
      </c>
      <c r="AD839" t="s">
        <v>4035</v>
      </c>
      <c r="AF839" t="s">
        <v>4061</v>
      </c>
      <c r="AH839" t="s">
        <v>3510</v>
      </c>
      <c r="AJ839" t="s">
        <v>3942</v>
      </c>
      <c r="AL839" t="s">
        <v>4070</v>
      </c>
      <c r="AM839" t="s">
        <v>2230</v>
      </c>
      <c r="AO839">
        <v>628.51</v>
      </c>
      <c r="AQ839">
        <v>359</v>
      </c>
      <c r="AS839" t="s">
        <v>4113</v>
      </c>
      <c r="AT839" t="s">
        <v>4127</v>
      </c>
      <c r="AW839">
        <v>3</v>
      </c>
      <c r="AY839" t="s">
        <v>4140</v>
      </c>
      <c r="BA839" t="s">
        <v>4149</v>
      </c>
      <c r="BB839" t="s">
        <v>4154</v>
      </c>
      <c r="BF839" t="s">
        <v>4281</v>
      </c>
      <c r="BM839" t="s">
        <v>4627</v>
      </c>
    </row>
    <row r="840" spans="1:65">
      <c r="A840" s="1">
        <f>HYPERLINK("https://lsnyc.legalserver.org/matter/dynamic-profile/view/1898848","19-1898848")</f>
        <v>0</v>
      </c>
      <c r="B840" t="s">
        <v>86</v>
      </c>
      <c r="C840" t="s">
        <v>93</v>
      </c>
      <c r="D840" t="s">
        <v>195</v>
      </c>
      <c r="F840" t="s">
        <v>895</v>
      </c>
      <c r="G840" t="s">
        <v>1428</v>
      </c>
      <c r="H840" t="s">
        <v>1577</v>
      </c>
      <c r="I840" t="s">
        <v>2125</v>
      </c>
      <c r="J840" t="s">
        <v>2205</v>
      </c>
      <c r="K840">
        <v>11233</v>
      </c>
      <c r="N840" t="s">
        <v>2233</v>
      </c>
      <c r="O840" t="s">
        <v>2557</v>
      </c>
      <c r="P840" t="s">
        <v>2930</v>
      </c>
      <c r="R840">
        <v>1</v>
      </c>
      <c r="S840">
        <v>0</v>
      </c>
      <c r="T840">
        <v>312.25</v>
      </c>
      <c r="W840">
        <v>39000</v>
      </c>
      <c r="X840" t="s">
        <v>3624</v>
      </c>
      <c r="Y840">
        <v>0</v>
      </c>
      <c r="AA840" t="s">
        <v>70</v>
      </c>
      <c r="AC840" t="s">
        <v>3942</v>
      </c>
      <c r="AD840" t="s">
        <v>3847</v>
      </c>
      <c r="AF840" t="s">
        <v>4059</v>
      </c>
      <c r="AH840" t="s">
        <v>4078</v>
      </c>
      <c r="AJ840" t="s">
        <v>3942</v>
      </c>
      <c r="AL840" t="s">
        <v>4070</v>
      </c>
      <c r="AM840" t="s">
        <v>2230</v>
      </c>
      <c r="AO840">
        <v>628.51</v>
      </c>
      <c r="AQ840">
        <v>359</v>
      </c>
      <c r="AS840" t="s">
        <v>4113</v>
      </c>
      <c r="AT840" t="s">
        <v>4127</v>
      </c>
      <c r="AW840">
        <v>3</v>
      </c>
      <c r="AY840" t="s">
        <v>4140</v>
      </c>
      <c r="BA840" t="s">
        <v>4149</v>
      </c>
      <c r="BB840" t="s">
        <v>4154</v>
      </c>
      <c r="BF840" t="s">
        <v>4281</v>
      </c>
      <c r="BG840" t="s">
        <v>4539</v>
      </c>
      <c r="BM840" t="s">
        <v>4627</v>
      </c>
    </row>
    <row r="841" spans="1:65">
      <c r="A841" s="1">
        <f>HYPERLINK("https://lsnyc.legalserver.org/matter/dynamic-profile/view/1891444","19-1891444")</f>
        <v>0</v>
      </c>
      <c r="B841" t="s">
        <v>86</v>
      </c>
      <c r="C841" t="s">
        <v>93</v>
      </c>
      <c r="D841" t="s">
        <v>407</v>
      </c>
      <c r="F841" t="s">
        <v>886</v>
      </c>
      <c r="G841" t="s">
        <v>1417</v>
      </c>
      <c r="H841" t="s">
        <v>1633</v>
      </c>
      <c r="I841" t="s">
        <v>2093</v>
      </c>
      <c r="J841" t="s">
        <v>2205</v>
      </c>
      <c r="K841">
        <v>11233</v>
      </c>
      <c r="N841" t="s">
        <v>2233</v>
      </c>
      <c r="O841" t="s">
        <v>2743</v>
      </c>
      <c r="Q841" t="s">
        <v>3330</v>
      </c>
      <c r="R841">
        <v>1</v>
      </c>
      <c r="S841">
        <v>0</v>
      </c>
      <c r="T841">
        <v>320.26</v>
      </c>
      <c r="U841" t="s">
        <v>274</v>
      </c>
      <c r="V841" t="s">
        <v>3458</v>
      </c>
      <c r="W841">
        <v>40000</v>
      </c>
      <c r="X841" t="s">
        <v>3710</v>
      </c>
      <c r="Y841">
        <v>0</v>
      </c>
      <c r="AA841" t="s">
        <v>70</v>
      </c>
      <c r="AC841" t="s">
        <v>3942</v>
      </c>
      <c r="AD841" t="s">
        <v>4035</v>
      </c>
      <c r="AF841" t="s">
        <v>4061</v>
      </c>
      <c r="AH841" t="s">
        <v>3510</v>
      </c>
      <c r="AJ841" t="s">
        <v>3942</v>
      </c>
      <c r="AL841" t="s">
        <v>4089</v>
      </c>
      <c r="AM841" t="s">
        <v>2230</v>
      </c>
      <c r="AO841">
        <v>628</v>
      </c>
      <c r="AQ841">
        <v>764</v>
      </c>
      <c r="AS841" t="s">
        <v>4113</v>
      </c>
      <c r="AU841" t="s">
        <v>4128</v>
      </c>
      <c r="AW841">
        <v>18</v>
      </c>
      <c r="AY841" t="s">
        <v>4140</v>
      </c>
      <c r="BA841" t="s">
        <v>4149</v>
      </c>
      <c r="BB841" t="s">
        <v>4154</v>
      </c>
      <c r="BF841" t="s">
        <v>4281</v>
      </c>
      <c r="BM841" t="s">
        <v>4627</v>
      </c>
    </row>
    <row r="842" spans="1:65">
      <c r="A842" s="1">
        <f>HYPERLINK("https://lsnyc.legalserver.org/matter/dynamic-profile/view/1886406","18-1886406")</f>
        <v>0</v>
      </c>
      <c r="B842" t="s">
        <v>86</v>
      </c>
      <c r="C842" t="s">
        <v>93</v>
      </c>
      <c r="D842" t="s">
        <v>426</v>
      </c>
      <c r="F842" t="s">
        <v>863</v>
      </c>
      <c r="G842" t="s">
        <v>1288</v>
      </c>
      <c r="H842" t="s">
        <v>1577</v>
      </c>
      <c r="I842" t="s">
        <v>2095</v>
      </c>
      <c r="J842" t="s">
        <v>2205</v>
      </c>
      <c r="K842">
        <v>11233</v>
      </c>
      <c r="N842" t="s">
        <v>2233</v>
      </c>
      <c r="O842" t="s">
        <v>2713</v>
      </c>
      <c r="Q842" t="s">
        <v>3326</v>
      </c>
      <c r="R842">
        <v>2</v>
      </c>
      <c r="S842">
        <v>4</v>
      </c>
      <c r="T842">
        <v>0.06</v>
      </c>
      <c r="W842">
        <v>20</v>
      </c>
      <c r="Y842">
        <v>0</v>
      </c>
      <c r="AA842" t="s">
        <v>70</v>
      </c>
      <c r="AC842" t="s">
        <v>3942</v>
      </c>
      <c r="AD842" t="s">
        <v>3973</v>
      </c>
      <c r="AF842" t="s">
        <v>4059</v>
      </c>
      <c r="AH842" t="s">
        <v>4078</v>
      </c>
      <c r="AJ842" t="s">
        <v>3942</v>
      </c>
      <c r="AL842" t="s">
        <v>4094</v>
      </c>
      <c r="AM842" t="s">
        <v>2230</v>
      </c>
      <c r="AO842">
        <v>1036</v>
      </c>
      <c r="AQ842">
        <v>764</v>
      </c>
      <c r="AS842" t="s">
        <v>4113</v>
      </c>
      <c r="AU842" t="s">
        <v>4129</v>
      </c>
      <c r="AW842">
        <v>13</v>
      </c>
      <c r="AY842" t="s">
        <v>4140</v>
      </c>
      <c r="BA842" t="s">
        <v>4149</v>
      </c>
      <c r="BB842" t="s">
        <v>4154</v>
      </c>
      <c r="BF842" t="s">
        <v>4281</v>
      </c>
      <c r="BG842" t="s">
        <v>4539</v>
      </c>
      <c r="BM842" t="s">
        <v>4627</v>
      </c>
    </row>
    <row r="843" spans="1:65">
      <c r="A843" s="1">
        <f>HYPERLINK("https://lsnyc.legalserver.org/matter/dynamic-profile/view/1891663","19-1891663")</f>
        <v>0</v>
      </c>
      <c r="B843" t="s">
        <v>86</v>
      </c>
      <c r="C843" t="s">
        <v>93</v>
      </c>
      <c r="D843" t="s">
        <v>410</v>
      </c>
      <c r="F843" t="s">
        <v>896</v>
      </c>
      <c r="G843" t="s">
        <v>1429</v>
      </c>
      <c r="H843" t="s">
        <v>1633</v>
      </c>
      <c r="I843" t="s">
        <v>2126</v>
      </c>
      <c r="J843" t="s">
        <v>2205</v>
      </c>
      <c r="K843">
        <v>11233</v>
      </c>
      <c r="N843" t="s">
        <v>2233</v>
      </c>
      <c r="O843" t="s">
        <v>2757</v>
      </c>
      <c r="P843" t="s">
        <v>2930</v>
      </c>
      <c r="R843">
        <v>2</v>
      </c>
      <c r="S843">
        <v>0</v>
      </c>
      <c r="T843">
        <v>65.78</v>
      </c>
      <c r="W843">
        <v>11124</v>
      </c>
      <c r="X843" t="s">
        <v>3711</v>
      </c>
      <c r="Y843">
        <v>0</v>
      </c>
      <c r="AA843" t="s">
        <v>90</v>
      </c>
      <c r="AC843" t="s">
        <v>3942</v>
      </c>
      <c r="AD843" t="s">
        <v>4035</v>
      </c>
      <c r="AF843" t="s">
        <v>4061</v>
      </c>
      <c r="AH843" t="s">
        <v>3510</v>
      </c>
      <c r="AJ843" t="s">
        <v>3942</v>
      </c>
      <c r="AK843" t="s">
        <v>4084</v>
      </c>
      <c r="AM843" t="s">
        <v>2230</v>
      </c>
      <c r="AO843">
        <v>802</v>
      </c>
      <c r="AQ843">
        <v>359</v>
      </c>
      <c r="AS843" t="s">
        <v>4113</v>
      </c>
      <c r="AT843" t="s">
        <v>4127</v>
      </c>
      <c r="AW843">
        <v>12</v>
      </c>
      <c r="AY843" t="s">
        <v>4140</v>
      </c>
      <c r="BA843" t="s">
        <v>4149</v>
      </c>
      <c r="BB843" t="s">
        <v>4154</v>
      </c>
      <c r="BF843" t="s">
        <v>4281</v>
      </c>
      <c r="BG843" t="s">
        <v>4128</v>
      </c>
      <c r="BM843" t="s">
        <v>4627</v>
      </c>
    </row>
    <row r="844" spans="1:65">
      <c r="A844" s="1">
        <f>HYPERLINK("https://lsnyc.legalserver.org/matter/dynamic-profile/view/1856806","18-1856806")</f>
        <v>0</v>
      </c>
      <c r="B844" t="s">
        <v>86</v>
      </c>
      <c r="C844" t="s">
        <v>93</v>
      </c>
      <c r="D844" t="s">
        <v>133</v>
      </c>
      <c r="F844" t="s">
        <v>524</v>
      </c>
      <c r="G844" t="s">
        <v>1430</v>
      </c>
      <c r="H844" t="s">
        <v>1832</v>
      </c>
      <c r="I844" t="s">
        <v>1922</v>
      </c>
      <c r="J844" t="s">
        <v>2205</v>
      </c>
      <c r="K844">
        <v>11215</v>
      </c>
      <c r="N844" t="s">
        <v>2233</v>
      </c>
      <c r="O844" t="s">
        <v>2758</v>
      </c>
      <c r="P844" t="s">
        <v>2930</v>
      </c>
      <c r="R844">
        <v>2</v>
      </c>
      <c r="S844">
        <v>0</v>
      </c>
      <c r="T844">
        <v>63.92</v>
      </c>
      <c r="V844" t="s">
        <v>3456</v>
      </c>
      <c r="W844">
        <v>10380</v>
      </c>
      <c r="Y844">
        <v>6.4</v>
      </c>
      <c r="Z844" t="s">
        <v>154</v>
      </c>
      <c r="AA844" t="s">
        <v>88</v>
      </c>
      <c r="AC844" t="s">
        <v>3942</v>
      </c>
      <c r="AD844" t="s">
        <v>133</v>
      </c>
      <c r="AF844" t="s">
        <v>4058</v>
      </c>
      <c r="AH844" t="s">
        <v>4076</v>
      </c>
      <c r="AJ844" t="s">
        <v>3942</v>
      </c>
      <c r="AL844" t="s">
        <v>4090</v>
      </c>
      <c r="AM844" t="s">
        <v>2230</v>
      </c>
      <c r="AO844">
        <v>149</v>
      </c>
      <c r="AQ844">
        <v>7</v>
      </c>
      <c r="AS844" t="s">
        <v>4115</v>
      </c>
      <c r="AT844" t="s">
        <v>4127</v>
      </c>
      <c r="AW844">
        <v>42</v>
      </c>
      <c r="AY844" t="s">
        <v>4140</v>
      </c>
      <c r="BC844" t="s">
        <v>4155</v>
      </c>
      <c r="BG844" t="s">
        <v>4547</v>
      </c>
      <c r="BM844" t="s">
        <v>4627</v>
      </c>
    </row>
    <row r="845" spans="1:65">
      <c r="A845" s="1">
        <f>HYPERLINK("https://lsnyc.legalserver.org/matter/dynamic-profile/view/1889442","19-1889442")</f>
        <v>0</v>
      </c>
      <c r="B845" t="s">
        <v>86</v>
      </c>
      <c r="C845" t="s">
        <v>93</v>
      </c>
      <c r="D845" t="s">
        <v>238</v>
      </c>
      <c r="F845" t="s">
        <v>897</v>
      </c>
      <c r="G845" t="s">
        <v>1431</v>
      </c>
      <c r="H845" t="s">
        <v>1633</v>
      </c>
      <c r="I845" t="s">
        <v>2127</v>
      </c>
      <c r="J845" t="s">
        <v>2205</v>
      </c>
      <c r="K845">
        <v>11233</v>
      </c>
      <c r="N845" t="s">
        <v>2233</v>
      </c>
      <c r="O845" t="s">
        <v>2759</v>
      </c>
      <c r="P845" t="s">
        <v>2930</v>
      </c>
      <c r="R845">
        <v>3</v>
      </c>
      <c r="S845">
        <v>0</v>
      </c>
      <c r="T845">
        <v>909.52</v>
      </c>
      <c r="W845">
        <v>194000</v>
      </c>
      <c r="Y845">
        <v>0</v>
      </c>
      <c r="AA845" t="s">
        <v>70</v>
      </c>
      <c r="AC845" t="s">
        <v>3942</v>
      </c>
      <c r="AD845" t="s">
        <v>4039</v>
      </c>
      <c r="AF845" t="s">
        <v>4059</v>
      </c>
      <c r="AH845" t="s">
        <v>4078</v>
      </c>
      <c r="AJ845" t="s">
        <v>3942</v>
      </c>
      <c r="AK845" t="s">
        <v>4084</v>
      </c>
      <c r="AM845" t="s">
        <v>2230</v>
      </c>
      <c r="AN845" t="s">
        <v>4107</v>
      </c>
      <c r="AO845">
        <v>0</v>
      </c>
      <c r="AP845" t="s">
        <v>4108</v>
      </c>
      <c r="AQ845" t="s">
        <v>4110</v>
      </c>
      <c r="AS845" t="s">
        <v>4113</v>
      </c>
      <c r="AT845" t="s">
        <v>4127</v>
      </c>
      <c r="AV845" t="s">
        <v>4137</v>
      </c>
      <c r="AW845">
        <v>0</v>
      </c>
      <c r="AY845" t="s">
        <v>4140</v>
      </c>
      <c r="BA845" t="s">
        <v>4149</v>
      </c>
      <c r="BB845" t="s">
        <v>4154</v>
      </c>
      <c r="BF845" t="s">
        <v>4281</v>
      </c>
      <c r="BG845" t="s">
        <v>4538</v>
      </c>
      <c r="BM845" t="s">
        <v>4627</v>
      </c>
    </row>
    <row r="846" spans="1:65">
      <c r="A846" s="1">
        <f>HYPERLINK("https://lsnyc.legalserver.org/matter/dynamic-profile/view/1897190","19-1897190")</f>
        <v>0</v>
      </c>
      <c r="B846" t="s">
        <v>86</v>
      </c>
      <c r="C846" t="s">
        <v>93</v>
      </c>
      <c r="D846" t="s">
        <v>406</v>
      </c>
      <c r="F846" t="s">
        <v>651</v>
      </c>
      <c r="G846" t="s">
        <v>797</v>
      </c>
      <c r="H846" t="s">
        <v>1633</v>
      </c>
      <c r="I846" t="s">
        <v>1928</v>
      </c>
      <c r="J846" t="s">
        <v>2205</v>
      </c>
      <c r="K846">
        <v>11233</v>
      </c>
      <c r="N846" t="s">
        <v>2233</v>
      </c>
      <c r="O846" t="s">
        <v>2689</v>
      </c>
      <c r="P846" t="s">
        <v>2930</v>
      </c>
      <c r="R846">
        <v>1</v>
      </c>
      <c r="S846">
        <v>0</v>
      </c>
      <c r="T846">
        <v>0</v>
      </c>
      <c r="W846">
        <v>0</v>
      </c>
      <c r="Y846">
        <v>0</v>
      </c>
      <c r="AA846" t="s">
        <v>70</v>
      </c>
      <c r="AC846" t="s">
        <v>3942</v>
      </c>
      <c r="AD846" t="s">
        <v>4035</v>
      </c>
      <c r="AF846" t="s">
        <v>4061</v>
      </c>
      <c r="AH846" t="s">
        <v>3510</v>
      </c>
      <c r="AJ846" t="s">
        <v>3942</v>
      </c>
      <c r="AL846" t="s">
        <v>4070</v>
      </c>
      <c r="AM846" t="s">
        <v>2230</v>
      </c>
      <c r="AO846">
        <v>1014</v>
      </c>
      <c r="AQ846">
        <v>359</v>
      </c>
      <c r="AS846" t="s">
        <v>4113</v>
      </c>
      <c r="AT846" t="s">
        <v>4127</v>
      </c>
      <c r="AW846">
        <v>30</v>
      </c>
      <c r="AY846" t="s">
        <v>4140</v>
      </c>
      <c r="BA846" t="s">
        <v>4149</v>
      </c>
      <c r="BB846" t="s">
        <v>4154</v>
      </c>
      <c r="BF846" t="s">
        <v>4281</v>
      </c>
      <c r="BM846" t="s">
        <v>4627</v>
      </c>
    </row>
    <row r="847" spans="1:65">
      <c r="A847" s="1">
        <f>HYPERLINK("https://lsnyc.legalserver.org/matter/dynamic-profile/view/1897201","19-1897201")</f>
        <v>0</v>
      </c>
      <c r="B847" t="s">
        <v>86</v>
      </c>
      <c r="C847" t="s">
        <v>93</v>
      </c>
      <c r="D847" t="s">
        <v>406</v>
      </c>
      <c r="F847" t="s">
        <v>870</v>
      </c>
      <c r="G847" t="s">
        <v>1401</v>
      </c>
      <c r="H847" t="s">
        <v>1828</v>
      </c>
      <c r="I847" t="s">
        <v>2101</v>
      </c>
      <c r="J847" t="s">
        <v>2205</v>
      </c>
      <c r="K847">
        <v>11233</v>
      </c>
      <c r="N847" t="s">
        <v>2233</v>
      </c>
      <c r="O847" t="s">
        <v>2723</v>
      </c>
      <c r="P847" t="s">
        <v>2930</v>
      </c>
      <c r="R847">
        <v>1</v>
      </c>
      <c r="S847">
        <v>0</v>
      </c>
      <c r="T847">
        <v>0</v>
      </c>
      <c r="W847">
        <v>0</v>
      </c>
      <c r="Y847">
        <v>0</v>
      </c>
      <c r="AA847" t="s">
        <v>70</v>
      </c>
      <c r="AC847" t="s">
        <v>3942</v>
      </c>
      <c r="AD847" t="s">
        <v>4035</v>
      </c>
      <c r="AF847" t="s">
        <v>4061</v>
      </c>
      <c r="AH847" t="s">
        <v>3510</v>
      </c>
      <c r="AJ847" t="s">
        <v>3942</v>
      </c>
      <c r="AL847" t="s">
        <v>4070</v>
      </c>
      <c r="AM847" t="s">
        <v>2230</v>
      </c>
      <c r="AN847" t="s">
        <v>4107</v>
      </c>
      <c r="AO847">
        <v>0</v>
      </c>
      <c r="AQ847">
        <v>359</v>
      </c>
      <c r="AS847" t="s">
        <v>4113</v>
      </c>
      <c r="AT847" t="s">
        <v>4127</v>
      </c>
      <c r="AW847">
        <v>20</v>
      </c>
      <c r="AY847" t="s">
        <v>4140</v>
      </c>
      <c r="BA847" t="s">
        <v>4149</v>
      </c>
      <c r="BB847" t="s">
        <v>4154</v>
      </c>
      <c r="BF847" t="s">
        <v>4281</v>
      </c>
      <c r="BM847" t="s">
        <v>4627</v>
      </c>
    </row>
    <row r="848" spans="1:65">
      <c r="A848" s="1">
        <f>HYPERLINK("https://lsnyc.legalserver.org/matter/dynamic-profile/view/1897175","19-1897175")</f>
        <v>0</v>
      </c>
      <c r="B848" t="s">
        <v>86</v>
      </c>
      <c r="C848" t="s">
        <v>93</v>
      </c>
      <c r="D848" t="s">
        <v>406</v>
      </c>
      <c r="F848" t="s">
        <v>515</v>
      </c>
      <c r="G848" t="s">
        <v>1039</v>
      </c>
      <c r="H848" t="s">
        <v>1633</v>
      </c>
      <c r="I848" t="s">
        <v>2128</v>
      </c>
      <c r="J848" t="s">
        <v>2205</v>
      </c>
      <c r="K848">
        <v>11233</v>
      </c>
      <c r="N848" t="s">
        <v>2233</v>
      </c>
      <c r="O848" t="s">
        <v>2760</v>
      </c>
      <c r="P848" t="s">
        <v>2930</v>
      </c>
      <c r="R848">
        <v>1</v>
      </c>
      <c r="S848">
        <v>0</v>
      </c>
      <c r="T848">
        <v>87.33</v>
      </c>
      <c r="W848">
        <v>10908</v>
      </c>
      <c r="X848" t="s">
        <v>3634</v>
      </c>
      <c r="Y848">
        <v>0</v>
      </c>
      <c r="AA848" t="s">
        <v>70</v>
      </c>
      <c r="AC848" t="s">
        <v>3942</v>
      </c>
      <c r="AD848" t="s">
        <v>3847</v>
      </c>
      <c r="AF848" t="s">
        <v>4059</v>
      </c>
      <c r="AH848" t="s">
        <v>4078</v>
      </c>
      <c r="AJ848" t="s">
        <v>3942</v>
      </c>
      <c r="AL848" t="s">
        <v>4070</v>
      </c>
      <c r="AM848" t="s">
        <v>2230</v>
      </c>
      <c r="AO848">
        <v>603.74</v>
      </c>
      <c r="AQ848">
        <v>359</v>
      </c>
      <c r="AS848" t="s">
        <v>4113</v>
      </c>
      <c r="AU848" t="s">
        <v>4128</v>
      </c>
      <c r="AW848">
        <v>50</v>
      </c>
      <c r="AY848" t="s">
        <v>4140</v>
      </c>
      <c r="BA848" t="s">
        <v>4149</v>
      </c>
      <c r="BB848" t="s">
        <v>4154</v>
      </c>
      <c r="BF848" t="s">
        <v>4281</v>
      </c>
      <c r="BG848" t="s">
        <v>4538</v>
      </c>
      <c r="BM848" t="s">
        <v>4627</v>
      </c>
    </row>
    <row r="849" spans="1:65">
      <c r="A849" s="1">
        <f>HYPERLINK("https://lsnyc.legalserver.org/matter/dynamic-profile/view/1905856","19-1905856")</f>
        <v>0</v>
      </c>
      <c r="B849" t="s">
        <v>86</v>
      </c>
      <c r="C849" t="s">
        <v>93</v>
      </c>
      <c r="D849" t="s">
        <v>142</v>
      </c>
      <c r="F849" t="s">
        <v>524</v>
      </c>
      <c r="G849" t="s">
        <v>1430</v>
      </c>
      <c r="H849" t="s">
        <v>1832</v>
      </c>
      <c r="I849" t="s">
        <v>1922</v>
      </c>
      <c r="J849" t="s">
        <v>2205</v>
      </c>
      <c r="K849">
        <v>11215</v>
      </c>
      <c r="N849" t="s">
        <v>2233</v>
      </c>
      <c r="O849" t="s">
        <v>2758</v>
      </c>
      <c r="P849" t="s">
        <v>2930</v>
      </c>
      <c r="R849">
        <v>2</v>
      </c>
      <c r="S849">
        <v>0</v>
      </c>
      <c r="T849">
        <v>182.38</v>
      </c>
      <c r="W849">
        <v>30840</v>
      </c>
      <c r="Y849">
        <v>0</v>
      </c>
      <c r="AA849" t="s">
        <v>90</v>
      </c>
      <c r="AC849" t="s">
        <v>3942</v>
      </c>
      <c r="AD849" t="s">
        <v>233</v>
      </c>
      <c r="AF849" t="s">
        <v>4054</v>
      </c>
      <c r="AH849" t="s">
        <v>3510</v>
      </c>
      <c r="AJ849" t="s">
        <v>3942</v>
      </c>
      <c r="AL849" t="s">
        <v>4086</v>
      </c>
      <c r="AM849" t="s">
        <v>2230</v>
      </c>
      <c r="AO849">
        <v>149</v>
      </c>
      <c r="AQ849">
        <v>7</v>
      </c>
      <c r="AS849" t="s">
        <v>4115</v>
      </c>
      <c r="AU849" t="s">
        <v>4128</v>
      </c>
      <c r="AW849">
        <v>42</v>
      </c>
      <c r="AY849" t="s">
        <v>4140</v>
      </c>
      <c r="BA849" t="s">
        <v>4149</v>
      </c>
      <c r="BC849" t="s">
        <v>4155</v>
      </c>
      <c r="BE849" t="s">
        <v>4128</v>
      </c>
      <c r="BF849" t="s">
        <v>4281</v>
      </c>
      <c r="BG849" t="s">
        <v>4327</v>
      </c>
      <c r="BM849" t="s">
        <v>4627</v>
      </c>
    </row>
    <row r="850" spans="1:65">
      <c r="A850" s="1">
        <f>HYPERLINK("https://lsnyc.legalserver.org/matter/dynamic-profile/view/1898989","19-1898989")</f>
        <v>0</v>
      </c>
      <c r="B850" t="s">
        <v>86</v>
      </c>
      <c r="C850" t="s">
        <v>93</v>
      </c>
      <c r="D850" t="s">
        <v>199</v>
      </c>
      <c r="F850" t="s">
        <v>898</v>
      </c>
      <c r="G850" t="s">
        <v>1432</v>
      </c>
      <c r="H850" t="s">
        <v>1829</v>
      </c>
      <c r="I850" t="s">
        <v>2129</v>
      </c>
      <c r="J850" t="s">
        <v>2205</v>
      </c>
      <c r="K850">
        <v>11233</v>
      </c>
      <c r="N850" t="s">
        <v>2233</v>
      </c>
      <c r="O850" t="s">
        <v>2761</v>
      </c>
      <c r="P850" t="s">
        <v>2930</v>
      </c>
      <c r="R850">
        <v>2</v>
      </c>
      <c r="S850">
        <v>2</v>
      </c>
      <c r="T850">
        <v>116.5</v>
      </c>
      <c r="W850">
        <v>30000</v>
      </c>
      <c r="X850" t="s">
        <v>3712</v>
      </c>
      <c r="Y850">
        <v>0</v>
      </c>
      <c r="AA850" t="s">
        <v>70</v>
      </c>
      <c r="AC850" t="s">
        <v>3942</v>
      </c>
      <c r="AD850" t="s">
        <v>4035</v>
      </c>
      <c r="AF850" t="s">
        <v>4061</v>
      </c>
      <c r="AH850" t="s">
        <v>3510</v>
      </c>
      <c r="AJ850" t="s">
        <v>3942</v>
      </c>
      <c r="AL850" t="s">
        <v>4070</v>
      </c>
      <c r="AM850" t="s">
        <v>2230</v>
      </c>
      <c r="AO850">
        <v>1343.02</v>
      </c>
      <c r="AQ850">
        <v>359</v>
      </c>
      <c r="AS850" t="s">
        <v>4113</v>
      </c>
      <c r="AT850" t="s">
        <v>4127</v>
      </c>
      <c r="AW850">
        <v>25</v>
      </c>
      <c r="AX850" t="s">
        <v>4139</v>
      </c>
      <c r="BA850" t="s">
        <v>4149</v>
      </c>
      <c r="BB850" t="s">
        <v>4154</v>
      </c>
      <c r="BC850" t="s">
        <v>4128</v>
      </c>
      <c r="BF850" t="s">
        <v>4281</v>
      </c>
      <c r="BM850" t="s">
        <v>4627</v>
      </c>
    </row>
    <row r="851" spans="1:65">
      <c r="A851" s="1">
        <f>HYPERLINK("https://lsnyc.legalserver.org/matter/dynamic-profile/view/1897530","19-1897530")</f>
        <v>0</v>
      </c>
      <c r="B851" t="s">
        <v>86</v>
      </c>
      <c r="C851" t="s">
        <v>93</v>
      </c>
      <c r="D851" t="s">
        <v>226</v>
      </c>
      <c r="F851" t="s">
        <v>486</v>
      </c>
      <c r="G851" t="s">
        <v>1250</v>
      </c>
      <c r="H851" t="s">
        <v>1633</v>
      </c>
      <c r="I851" t="s">
        <v>2092</v>
      </c>
      <c r="J851" t="s">
        <v>2205</v>
      </c>
      <c r="K851">
        <v>11233</v>
      </c>
      <c r="N851" t="s">
        <v>2233</v>
      </c>
      <c r="O851" t="s">
        <v>2708</v>
      </c>
      <c r="P851" t="s">
        <v>2930</v>
      </c>
      <c r="R851">
        <v>1</v>
      </c>
      <c r="S851">
        <v>0</v>
      </c>
      <c r="T851">
        <v>0</v>
      </c>
      <c r="W851">
        <v>0</v>
      </c>
      <c r="X851" t="s">
        <v>3713</v>
      </c>
      <c r="Y851">
        <v>0</v>
      </c>
      <c r="AA851" t="s">
        <v>90</v>
      </c>
      <c r="AC851" t="s">
        <v>3942</v>
      </c>
      <c r="AD851" t="s">
        <v>4035</v>
      </c>
      <c r="AF851" t="s">
        <v>4061</v>
      </c>
      <c r="AH851" t="s">
        <v>3510</v>
      </c>
      <c r="AJ851" t="s">
        <v>3942</v>
      </c>
      <c r="AL851" t="s">
        <v>4088</v>
      </c>
      <c r="AM851" t="s">
        <v>2230</v>
      </c>
      <c r="AO851">
        <v>976.08</v>
      </c>
      <c r="AQ851">
        <v>359</v>
      </c>
      <c r="AS851" t="s">
        <v>4113</v>
      </c>
      <c r="AT851" t="s">
        <v>4127</v>
      </c>
      <c r="AV851" t="s">
        <v>4137</v>
      </c>
      <c r="AW851">
        <v>0</v>
      </c>
      <c r="AY851" t="s">
        <v>4140</v>
      </c>
      <c r="BA851" t="s">
        <v>4149</v>
      </c>
      <c r="BB851" t="s">
        <v>4154</v>
      </c>
      <c r="BF851" t="s">
        <v>4281</v>
      </c>
      <c r="BM851" t="s">
        <v>4627</v>
      </c>
    </row>
    <row r="852" spans="1:65">
      <c r="A852" s="1">
        <f>HYPERLINK("https://lsnyc.legalserver.org/matter/dynamic-profile/view/1898987","19-1898987")</f>
        <v>0</v>
      </c>
      <c r="B852" t="s">
        <v>86</v>
      </c>
      <c r="C852" t="s">
        <v>93</v>
      </c>
      <c r="D852" t="s">
        <v>199</v>
      </c>
      <c r="F852" t="s">
        <v>898</v>
      </c>
      <c r="G852" t="s">
        <v>1432</v>
      </c>
      <c r="H852" t="s">
        <v>1829</v>
      </c>
      <c r="I852" t="s">
        <v>2129</v>
      </c>
      <c r="J852" t="s">
        <v>2205</v>
      </c>
      <c r="K852">
        <v>11233</v>
      </c>
      <c r="N852" t="s">
        <v>2233</v>
      </c>
      <c r="O852" t="s">
        <v>2761</v>
      </c>
      <c r="P852" t="s">
        <v>2930</v>
      </c>
      <c r="R852">
        <v>2</v>
      </c>
      <c r="S852">
        <v>2</v>
      </c>
      <c r="T852">
        <v>116.5</v>
      </c>
      <c r="W852">
        <v>30000</v>
      </c>
      <c r="X852" t="s">
        <v>3672</v>
      </c>
      <c r="Y852">
        <v>0</v>
      </c>
      <c r="AA852" t="s">
        <v>70</v>
      </c>
      <c r="AC852" t="s">
        <v>3942</v>
      </c>
      <c r="AD852" t="s">
        <v>3847</v>
      </c>
      <c r="AF852" t="s">
        <v>4059</v>
      </c>
      <c r="AH852" t="s">
        <v>4078</v>
      </c>
      <c r="AJ852" t="s">
        <v>3942</v>
      </c>
      <c r="AL852" t="s">
        <v>4070</v>
      </c>
      <c r="AM852" t="s">
        <v>2230</v>
      </c>
      <c r="AO852">
        <v>1343.02</v>
      </c>
      <c r="AQ852">
        <v>359</v>
      </c>
      <c r="AS852" t="s">
        <v>4113</v>
      </c>
      <c r="AT852" t="s">
        <v>4127</v>
      </c>
      <c r="AW852">
        <v>25</v>
      </c>
      <c r="AX852" t="s">
        <v>4139</v>
      </c>
      <c r="BA852" t="s">
        <v>4149</v>
      </c>
      <c r="BB852" t="s">
        <v>4154</v>
      </c>
      <c r="BC852" t="s">
        <v>4128</v>
      </c>
      <c r="BF852" t="s">
        <v>4281</v>
      </c>
      <c r="BG852" t="s">
        <v>4538</v>
      </c>
      <c r="BM852" t="s">
        <v>4627</v>
      </c>
    </row>
    <row r="853" spans="1:65">
      <c r="A853" s="1">
        <f>HYPERLINK("https://lsnyc.legalserver.org/matter/dynamic-profile/view/1910536","19-1910536")</f>
        <v>0</v>
      </c>
      <c r="B853" t="s">
        <v>86</v>
      </c>
      <c r="C853" t="s">
        <v>93</v>
      </c>
      <c r="D853" t="s">
        <v>427</v>
      </c>
      <c r="F853" t="s">
        <v>899</v>
      </c>
      <c r="G853" t="s">
        <v>1433</v>
      </c>
      <c r="H853" t="s">
        <v>1633</v>
      </c>
      <c r="J853" t="s">
        <v>2205</v>
      </c>
      <c r="K853">
        <v>11233</v>
      </c>
      <c r="N853" t="s">
        <v>2233</v>
      </c>
      <c r="O853" t="s">
        <v>2762</v>
      </c>
      <c r="P853" t="s">
        <v>2930</v>
      </c>
      <c r="R853">
        <v>4</v>
      </c>
      <c r="S853">
        <v>0</v>
      </c>
      <c r="T853">
        <v>0</v>
      </c>
      <c r="W853">
        <v>0</v>
      </c>
      <c r="X853" t="s">
        <v>3714</v>
      </c>
      <c r="Y853">
        <v>0</v>
      </c>
      <c r="AA853" t="s">
        <v>90</v>
      </c>
      <c r="AC853" t="s">
        <v>3942</v>
      </c>
      <c r="AD853" t="s">
        <v>3960</v>
      </c>
      <c r="AF853" t="s">
        <v>4059</v>
      </c>
      <c r="AH853" t="s">
        <v>4078</v>
      </c>
      <c r="AJ853" t="s">
        <v>3942</v>
      </c>
      <c r="AL853" t="s">
        <v>4089</v>
      </c>
      <c r="AM853" t="s">
        <v>2230</v>
      </c>
      <c r="AN853" t="s">
        <v>4107</v>
      </c>
      <c r="AO853">
        <v>0</v>
      </c>
      <c r="AQ853">
        <v>1107</v>
      </c>
      <c r="AS853" t="s">
        <v>4113</v>
      </c>
      <c r="AU853" t="s">
        <v>4070</v>
      </c>
      <c r="AV853" t="s">
        <v>4137</v>
      </c>
      <c r="AW853">
        <v>0</v>
      </c>
      <c r="AY853" t="s">
        <v>4140</v>
      </c>
      <c r="BA853" t="s">
        <v>4149</v>
      </c>
      <c r="BB853" t="s">
        <v>4154</v>
      </c>
      <c r="BC853" t="s">
        <v>4128</v>
      </c>
      <c r="BE853" t="s">
        <v>4159</v>
      </c>
      <c r="BG853" t="s">
        <v>4544</v>
      </c>
      <c r="BM853" t="s">
        <v>4627</v>
      </c>
    </row>
    <row r="854" spans="1:65">
      <c r="A854" s="1">
        <f>HYPERLINK("https://lsnyc.legalserver.org/matter/dynamic-profile/view/0822904","16-0822904")</f>
        <v>0</v>
      </c>
      <c r="B854" t="s">
        <v>86</v>
      </c>
      <c r="C854" t="s">
        <v>93</v>
      </c>
      <c r="D854" t="s">
        <v>424</v>
      </c>
      <c r="F854" t="s">
        <v>481</v>
      </c>
      <c r="G854" t="s">
        <v>1434</v>
      </c>
      <c r="H854" t="s">
        <v>1830</v>
      </c>
      <c r="I854" t="s">
        <v>1924</v>
      </c>
      <c r="J854" t="s">
        <v>2205</v>
      </c>
      <c r="K854">
        <v>11207</v>
      </c>
      <c r="N854" t="s">
        <v>2233</v>
      </c>
      <c r="O854" t="s">
        <v>2763</v>
      </c>
      <c r="P854" t="s">
        <v>2930</v>
      </c>
      <c r="R854">
        <v>1</v>
      </c>
      <c r="S854">
        <v>0</v>
      </c>
      <c r="T854">
        <v>505.05</v>
      </c>
      <c r="W854">
        <v>60000</v>
      </c>
      <c r="Y854">
        <v>2.5</v>
      </c>
      <c r="Z854" t="s">
        <v>3876</v>
      </c>
      <c r="AA854" t="s">
        <v>3915</v>
      </c>
      <c r="AC854" t="s">
        <v>3942</v>
      </c>
      <c r="AD854" t="s">
        <v>3990</v>
      </c>
      <c r="AF854" t="s">
        <v>4058</v>
      </c>
      <c r="AH854" t="s">
        <v>4076</v>
      </c>
      <c r="AJ854" t="s">
        <v>3942</v>
      </c>
      <c r="AL854" t="s">
        <v>4086</v>
      </c>
      <c r="AM854" t="s">
        <v>2230</v>
      </c>
      <c r="AO854">
        <v>1000</v>
      </c>
      <c r="AQ854">
        <v>6</v>
      </c>
      <c r="AS854" t="s">
        <v>4113</v>
      </c>
      <c r="AT854" t="s">
        <v>4127</v>
      </c>
      <c r="AW854">
        <v>3</v>
      </c>
      <c r="AY854" t="s">
        <v>4140</v>
      </c>
      <c r="BB854" t="s">
        <v>4154</v>
      </c>
      <c r="BF854" t="s">
        <v>4281</v>
      </c>
      <c r="BG854" t="s">
        <v>4545</v>
      </c>
      <c r="BM854" t="s">
        <v>4627</v>
      </c>
    </row>
    <row r="855" spans="1:65">
      <c r="A855" s="1">
        <f>HYPERLINK("https://lsnyc.legalserver.org/matter/dynamic-profile/view/1902028","19-1902028")</f>
        <v>0</v>
      </c>
      <c r="B855" t="s">
        <v>86</v>
      </c>
      <c r="C855" t="s">
        <v>93</v>
      </c>
      <c r="D855" t="s">
        <v>240</v>
      </c>
      <c r="F855" t="s">
        <v>501</v>
      </c>
      <c r="G855" t="s">
        <v>1435</v>
      </c>
      <c r="H855" t="s">
        <v>1577</v>
      </c>
      <c r="I855" t="s">
        <v>2130</v>
      </c>
      <c r="J855" t="s">
        <v>2205</v>
      </c>
      <c r="K855">
        <v>11233</v>
      </c>
      <c r="N855" t="s">
        <v>2233</v>
      </c>
      <c r="O855" t="s">
        <v>2764</v>
      </c>
      <c r="P855" t="s">
        <v>2930</v>
      </c>
      <c r="R855">
        <v>1</v>
      </c>
      <c r="S855">
        <v>0</v>
      </c>
      <c r="T855">
        <v>114.62</v>
      </c>
      <c r="W855">
        <v>14316</v>
      </c>
      <c r="X855" t="s">
        <v>3715</v>
      </c>
      <c r="Y855">
        <v>0</v>
      </c>
      <c r="AA855" t="s">
        <v>70</v>
      </c>
      <c r="AC855" t="s">
        <v>3942</v>
      </c>
      <c r="AD855" t="s">
        <v>4035</v>
      </c>
      <c r="AF855" t="s">
        <v>4061</v>
      </c>
      <c r="AH855" t="s">
        <v>3510</v>
      </c>
      <c r="AJ855" t="s">
        <v>3942</v>
      </c>
      <c r="AL855" t="s">
        <v>4070</v>
      </c>
      <c r="AM855" t="s">
        <v>2230</v>
      </c>
      <c r="AO855">
        <v>626.89</v>
      </c>
      <c r="AQ855">
        <v>359</v>
      </c>
      <c r="AS855" t="s">
        <v>4113</v>
      </c>
      <c r="AT855" t="s">
        <v>4127</v>
      </c>
      <c r="AV855" t="s">
        <v>4137</v>
      </c>
      <c r="AW855">
        <v>0</v>
      </c>
      <c r="AY855" t="s">
        <v>4140</v>
      </c>
      <c r="BA855" t="s">
        <v>4149</v>
      </c>
      <c r="BB855" t="s">
        <v>4154</v>
      </c>
      <c r="BC855" t="s">
        <v>4128</v>
      </c>
      <c r="BF855" t="s">
        <v>4281</v>
      </c>
      <c r="BG855" t="s">
        <v>4054</v>
      </c>
      <c r="BM855" t="s">
        <v>4627</v>
      </c>
    </row>
    <row r="856" spans="1:65">
      <c r="A856" s="1">
        <f>HYPERLINK("https://lsnyc.legalserver.org/matter/dynamic-profile/view/1902026","19-1902026")</f>
        <v>0</v>
      </c>
      <c r="B856" t="s">
        <v>86</v>
      </c>
      <c r="C856" t="s">
        <v>93</v>
      </c>
      <c r="D856" t="s">
        <v>240</v>
      </c>
      <c r="F856" t="s">
        <v>501</v>
      </c>
      <c r="G856" t="s">
        <v>1435</v>
      </c>
      <c r="H856" t="s">
        <v>1577</v>
      </c>
      <c r="I856" t="s">
        <v>2130</v>
      </c>
      <c r="J856" t="s">
        <v>2205</v>
      </c>
      <c r="K856">
        <v>11233</v>
      </c>
      <c r="N856" t="s">
        <v>2233</v>
      </c>
      <c r="O856" t="s">
        <v>2764</v>
      </c>
      <c r="P856" t="s">
        <v>2930</v>
      </c>
      <c r="R856">
        <v>1</v>
      </c>
      <c r="S856">
        <v>0</v>
      </c>
      <c r="T856">
        <v>114.62</v>
      </c>
      <c r="W856">
        <v>14316</v>
      </c>
      <c r="X856" t="s">
        <v>3624</v>
      </c>
      <c r="Y856">
        <v>0</v>
      </c>
      <c r="AA856" t="s">
        <v>70</v>
      </c>
      <c r="AC856" t="s">
        <v>3942</v>
      </c>
      <c r="AD856" t="s">
        <v>3847</v>
      </c>
      <c r="AF856" t="s">
        <v>4059</v>
      </c>
      <c r="AH856" t="s">
        <v>4078</v>
      </c>
      <c r="AJ856" t="s">
        <v>3942</v>
      </c>
      <c r="AL856" t="s">
        <v>4070</v>
      </c>
      <c r="AM856" t="s">
        <v>2230</v>
      </c>
      <c r="AO856">
        <v>656.89</v>
      </c>
      <c r="AQ856">
        <v>359</v>
      </c>
      <c r="AS856" t="s">
        <v>4113</v>
      </c>
      <c r="AT856" t="s">
        <v>4127</v>
      </c>
      <c r="AV856" t="s">
        <v>4137</v>
      </c>
      <c r="AW856">
        <v>0</v>
      </c>
      <c r="AY856" t="s">
        <v>4140</v>
      </c>
      <c r="BB856" t="s">
        <v>4154</v>
      </c>
      <c r="BC856" t="s">
        <v>4128</v>
      </c>
      <c r="BF856" t="s">
        <v>4281</v>
      </c>
      <c r="BG856" t="s">
        <v>4539</v>
      </c>
      <c r="BM856" t="s">
        <v>4627</v>
      </c>
    </row>
    <row r="857" spans="1:65">
      <c r="A857" s="1">
        <f>HYPERLINK("https://lsnyc.legalserver.org/matter/dynamic-profile/view/1897179","19-1897179")</f>
        <v>0</v>
      </c>
      <c r="B857" t="s">
        <v>86</v>
      </c>
      <c r="C857" t="s">
        <v>93</v>
      </c>
      <c r="D857" t="s">
        <v>406</v>
      </c>
      <c r="F857" t="s">
        <v>515</v>
      </c>
      <c r="G857" t="s">
        <v>1039</v>
      </c>
      <c r="H857" t="s">
        <v>1633</v>
      </c>
      <c r="I857" t="s">
        <v>2128</v>
      </c>
      <c r="J857" t="s">
        <v>2205</v>
      </c>
      <c r="K857">
        <v>11233</v>
      </c>
      <c r="N857" t="s">
        <v>2233</v>
      </c>
      <c r="O857" t="s">
        <v>2760</v>
      </c>
      <c r="P857" t="s">
        <v>2930</v>
      </c>
      <c r="R857">
        <v>1</v>
      </c>
      <c r="S857">
        <v>0</v>
      </c>
      <c r="T857">
        <v>87.33</v>
      </c>
      <c r="W857">
        <v>10908</v>
      </c>
      <c r="X857" t="s">
        <v>3716</v>
      </c>
      <c r="Y857">
        <v>0</v>
      </c>
      <c r="AA857" t="s">
        <v>70</v>
      </c>
      <c r="AC857" t="s">
        <v>3942</v>
      </c>
      <c r="AD857" t="s">
        <v>4035</v>
      </c>
      <c r="AF857" t="s">
        <v>4061</v>
      </c>
      <c r="AH857" t="s">
        <v>3510</v>
      </c>
      <c r="AJ857" t="s">
        <v>3942</v>
      </c>
      <c r="AL857" t="s">
        <v>4070</v>
      </c>
      <c r="AM857" t="s">
        <v>2230</v>
      </c>
      <c r="AO857">
        <v>603.74</v>
      </c>
      <c r="AQ857">
        <v>359</v>
      </c>
      <c r="AS857" t="s">
        <v>4113</v>
      </c>
      <c r="AT857" t="s">
        <v>4127</v>
      </c>
      <c r="AW857">
        <v>50</v>
      </c>
      <c r="AY857" t="s">
        <v>4140</v>
      </c>
      <c r="BA857" t="s">
        <v>4149</v>
      </c>
      <c r="BB857" t="s">
        <v>4154</v>
      </c>
      <c r="BF857" t="s">
        <v>4281</v>
      </c>
      <c r="BM857" t="s">
        <v>4627</v>
      </c>
    </row>
    <row r="858" spans="1:65">
      <c r="A858" s="1">
        <f>HYPERLINK("https://lsnyc.legalserver.org/matter/dynamic-profile/view/1903267","19-1903267")</f>
        <v>0</v>
      </c>
      <c r="B858" t="s">
        <v>86</v>
      </c>
      <c r="C858" t="s">
        <v>93</v>
      </c>
      <c r="D858" t="s">
        <v>153</v>
      </c>
      <c r="F858" t="s">
        <v>900</v>
      </c>
      <c r="G858" t="s">
        <v>1436</v>
      </c>
      <c r="H858" t="s">
        <v>1833</v>
      </c>
      <c r="I858" t="s">
        <v>2131</v>
      </c>
      <c r="J858" t="s">
        <v>2205</v>
      </c>
      <c r="K858">
        <v>11239</v>
      </c>
      <c r="N858" t="s">
        <v>2233</v>
      </c>
      <c r="O858" t="s">
        <v>2765</v>
      </c>
      <c r="Q858" t="s">
        <v>3333</v>
      </c>
      <c r="R858">
        <v>1</v>
      </c>
      <c r="S858">
        <v>2</v>
      </c>
      <c r="T858">
        <v>180.5</v>
      </c>
      <c r="W858">
        <v>38500</v>
      </c>
      <c r="Y858">
        <v>16.45</v>
      </c>
      <c r="Z858" t="s">
        <v>360</v>
      </c>
      <c r="AA858" t="s">
        <v>86</v>
      </c>
      <c r="AC858" t="s">
        <v>3942</v>
      </c>
      <c r="AD858" t="s">
        <v>3865</v>
      </c>
      <c r="AF858" t="s">
        <v>4053</v>
      </c>
      <c r="AH858" t="s">
        <v>4076</v>
      </c>
      <c r="AJ858" t="s">
        <v>3943</v>
      </c>
      <c r="AL858" t="s">
        <v>4086</v>
      </c>
      <c r="AM858" t="s">
        <v>2230</v>
      </c>
      <c r="AO858">
        <v>986</v>
      </c>
      <c r="AP858" t="s">
        <v>4108</v>
      </c>
      <c r="AQ858" t="s">
        <v>4110</v>
      </c>
      <c r="AS858" t="s">
        <v>4120</v>
      </c>
      <c r="AT858" t="s">
        <v>4127</v>
      </c>
      <c r="AW858">
        <v>5</v>
      </c>
      <c r="AY858" t="s">
        <v>4140</v>
      </c>
      <c r="BA858" t="s">
        <v>4149</v>
      </c>
      <c r="BC858" t="s">
        <v>4155</v>
      </c>
      <c r="BG858" t="s">
        <v>4548</v>
      </c>
      <c r="BM858" t="s">
        <v>4627</v>
      </c>
    </row>
    <row r="859" spans="1:65">
      <c r="A859" s="1">
        <f>HYPERLINK("https://lsnyc.legalserver.org/matter/dynamic-profile/view/1890585","19-1890585")</f>
        <v>0</v>
      </c>
      <c r="B859" t="s">
        <v>86</v>
      </c>
      <c r="C859" t="s">
        <v>93</v>
      </c>
      <c r="D859" t="s">
        <v>414</v>
      </c>
      <c r="F859" t="s">
        <v>901</v>
      </c>
      <c r="G859" t="s">
        <v>1437</v>
      </c>
      <c r="H859" t="s">
        <v>1633</v>
      </c>
      <c r="I859" t="s">
        <v>2132</v>
      </c>
      <c r="J859" t="s">
        <v>2205</v>
      </c>
      <c r="K859">
        <v>11233</v>
      </c>
      <c r="N859" t="s">
        <v>2233</v>
      </c>
      <c r="O859" t="s">
        <v>2766</v>
      </c>
      <c r="P859" t="s">
        <v>2930</v>
      </c>
      <c r="R859">
        <v>2</v>
      </c>
      <c r="S859">
        <v>0</v>
      </c>
      <c r="T859">
        <v>159.67</v>
      </c>
      <c r="W859">
        <v>27000</v>
      </c>
      <c r="X859" t="s">
        <v>3672</v>
      </c>
      <c r="Y859">
        <v>1</v>
      </c>
      <c r="Z859" t="s">
        <v>142</v>
      </c>
      <c r="AA859" t="s">
        <v>70</v>
      </c>
      <c r="AC859" t="s">
        <v>3942</v>
      </c>
      <c r="AD859" t="s">
        <v>4035</v>
      </c>
      <c r="AF859" t="s">
        <v>4059</v>
      </c>
      <c r="AH859" t="s">
        <v>4078</v>
      </c>
      <c r="AJ859" t="s">
        <v>3942</v>
      </c>
      <c r="AL859" t="s">
        <v>4070</v>
      </c>
      <c r="AM859" t="s">
        <v>2230</v>
      </c>
      <c r="AO859">
        <v>1034</v>
      </c>
      <c r="AQ859">
        <v>359</v>
      </c>
      <c r="AS859" t="s">
        <v>4113</v>
      </c>
      <c r="AU859" t="s">
        <v>4128</v>
      </c>
      <c r="AW859">
        <v>37</v>
      </c>
      <c r="AY859" t="s">
        <v>4140</v>
      </c>
      <c r="BA859" t="s">
        <v>4149</v>
      </c>
      <c r="BB859" t="s">
        <v>4154</v>
      </c>
      <c r="BF859" t="s">
        <v>4281</v>
      </c>
      <c r="BG859" t="s">
        <v>4538</v>
      </c>
      <c r="BM859" t="s">
        <v>4627</v>
      </c>
    </row>
    <row r="860" spans="1:65">
      <c r="A860" s="1">
        <f>HYPERLINK("https://lsnyc.legalserver.org/matter/dynamic-profile/view/1892681","19-1892681")</f>
        <v>0</v>
      </c>
      <c r="B860" t="s">
        <v>86</v>
      </c>
      <c r="C860" t="s">
        <v>93</v>
      </c>
      <c r="D860" t="s">
        <v>412</v>
      </c>
      <c r="F860" t="s">
        <v>902</v>
      </c>
      <c r="G860" t="s">
        <v>1438</v>
      </c>
      <c r="H860" t="s">
        <v>1828</v>
      </c>
      <c r="I860" t="s">
        <v>2133</v>
      </c>
      <c r="J860" t="s">
        <v>2205</v>
      </c>
      <c r="K860">
        <v>11233</v>
      </c>
      <c r="N860" t="s">
        <v>2233</v>
      </c>
      <c r="O860" t="s">
        <v>2767</v>
      </c>
      <c r="P860" t="s">
        <v>2930</v>
      </c>
      <c r="R860">
        <v>1</v>
      </c>
      <c r="S860">
        <v>1</v>
      </c>
      <c r="T860">
        <v>86.08</v>
      </c>
      <c r="W860">
        <v>14556</v>
      </c>
      <c r="X860" t="s">
        <v>3717</v>
      </c>
      <c r="Y860">
        <v>0</v>
      </c>
      <c r="AA860" t="s">
        <v>70</v>
      </c>
      <c r="AC860" t="s">
        <v>3942</v>
      </c>
      <c r="AD860" t="s">
        <v>4035</v>
      </c>
      <c r="AF860" t="s">
        <v>4061</v>
      </c>
      <c r="AH860" t="s">
        <v>3510</v>
      </c>
      <c r="AJ860" t="s">
        <v>3942</v>
      </c>
      <c r="AL860" t="s">
        <v>4070</v>
      </c>
      <c r="AM860" t="s">
        <v>2230</v>
      </c>
      <c r="AN860" t="s">
        <v>4107</v>
      </c>
      <c r="AO860">
        <v>0</v>
      </c>
      <c r="AQ860">
        <v>359</v>
      </c>
      <c r="AS860" t="s">
        <v>4113</v>
      </c>
      <c r="AT860" t="s">
        <v>4127</v>
      </c>
      <c r="AW860">
        <v>1</v>
      </c>
      <c r="AY860" t="s">
        <v>4140</v>
      </c>
      <c r="BA860" t="s">
        <v>4149</v>
      </c>
      <c r="BB860" t="s">
        <v>4154</v>
      </c>
      <c r="BF860" t="s">
        <v>4281</v>
      </c>
      <c r="BM860" t="s">
        <v>4627</v>
      </c>
    </row>
    <row r="861" spans="1:65">
      <c r="A861" s="1">
        <f>HYPERLINK("https://lsnyc.legalserver.org/matter/dynamic-profile/view/1892672","19-1892672")</f>
        <v>0</v>
      </c>
      <c r="B861" t="s">
        <v>86</v>
      </c>
      <c r="C861" t="s">
        <v>93</v>
      </c>
      <c r="D861" t="s">
        <v>412</v>
      </c>
      <c r="F861" t="s">
        <v>903</v>
      </c>
      <c r="G861" t="s">
        <v>1439</v>
      </c>
      <c r="H861" t="s">
        <v>1828</v>
      </c>
      <c r="I861" t="s">
        <v>1992</v>
      </c>
      <c r="J861" t="s">
        <v>2205</v>
      </c>
      <c r="K861">
        <v>11233</v>
      </c>
      <c r="N861" t="s">
        <v>2233</v>
      </c>
      <c r="O861" t="s">
        <v>2768</v>
      </c>
      <c r="P861" t="s">
        <v>2930</v>
      </c>
      <c r="R861">
        <v>4</v>
      </c>
      <c r="S861">
        <v>1</v>
      </c>
      <c r="T861">
        <v>178.99</v>
      </c>
      <c r="W861">
        <v>54000</v>
      </c>
      <c r="X861" t="s">
        <v>3718</v>
      </c>
      <c r="Y861">
        <v>0</v>
      </c>
      <c r="AA861" t="s">
        <v>70</v>
      </c>
      <c r="AC861" t="s">
        <v>3942</v>
      </c>
      <c r="AD861" t="s">
        <v>4035</v>
      </c>
      <c r="AF861" t="s">
        <v>4061</v>
      </c>
      <c r="AH861" t="s">
        <v>3510</v>
      </c>
      <c r="AJ861" t="s">
        <v>3942</v>
      </c>
      <c r="AL861" t="s">
        <v>4070</v>
      </c>
      <c r="AM861" t="s">
        <v>2230</v>
      </c>
      <c r="AO861">
        <v>981.97</v>
      </c>
      <c r="AQ861">
        <v>359</v>
      </c>
      <c r="AS861" t="s">
        <v>4113</v>
      </c>
      <c r="AT861" t="s">
        <v>4127</v>
      </c>
      <c r="AV861" t="s">
        <v>4137</v>
      </c>
      <c r="AW861">
        <v>0</v>
      </c>
      <c r="AY861" t="s">
        <v>4142</v>
      </c>
      <c r="BA861" t="s">
        <v>4149</v>
      </c>
      <c r="BB861" t="s">
        <v>4154</v>
      </c>
      <c r="BF861" t="s">
        <v>4281</v>
      </c>
      <c r="BM861" t="s">
        <v>4627</v>
      </c>
    </row>
    <row r="862" spans="1:65">
      <c r="A862" s="1">
        <f>HYPERLINK("https://lsnyc.legalserver.org/matter/dynamic-profile/view/1892678","19-1892678")</f>
        <v>0</v>
      </c>
      <c r="B862" t="s">
        <v>86</v>
      </c>
      <c r="C862" t="s">
        <v>93</v>
      </c>
      <c r="D862" t="s">
        <v>412</v>
      </c>
      <c r="F862" t="s">
        <v>902</v>
      </c>
      <c r="G862" t="s">
        <v>1438</v>
      </c>
      <c r="H862" t="s">
        <v>1828</v>
      </c>
      <c r="I862" t="s">
        <v>2133</v>
      </c>
      <c r="J862" t="s">
        <v>2205</v>
      </c>
      <c r="K862">
        <v>11233</v>
      </c>
      <c r="N862" t="s">
        <v>2233</v>
      </c>
      <c r="O862" t="s">
        <v>2767</v>
      </c>
      <c r="P862" t="s">
        <v>2930</v>
      </c>
      <c r="R862">
        <v>1</v>
      </c>
      <c r="S862">
        <v>1</v>
      </c>
      <c r="T862">
        <v>86.08</v>
      </c>
      <c r="W862">
        <v>14556</v>
      </c>
      <c r="X862" t="s">
        <v>3634</v>
      </c>
      <c r="Y862">
        <v>0</v>
      </c>
      <c r="AA862" t="s">
        <v>70</v>
      </c>
      <c r="AC862" t="s">
        <v>3942</v>
      </c>
      <c r="AD862" t="s">
        <v>3847</v>
      </c>
      <c r="AF862" t="s">
        <v>4059</v>
      </c>
      <c r="AH862" t="s">
        <v>4078</v>
      </c>
      <c r="AJ862" t="s">
        <v>3942</v>
      </c>
      <c r="AL862" t="s">
        <v>4070</v>
      </c>
      <c r="AM862" t="s">
        <v>2230</v>
      </c>
      <c r="AN862" t="s">
        <v>4107</v>
      </c>
      <c r="AO862">
        <v>0</v>
      </c>
      <c r="AQ862">
        <v>359</v>
      </c>
      <c r="AS862" t="s">
        <v>4113</v>
      </c>
      <c r="AT862" t="s">
        <v>4127</v>
      </c>
      <c r="AW862">
        <v>1</v>
      </c>
      <c r="AY862" t="s">
        <v>4140</v>
      </c>
      <c r="BA862" t="s">
        <v>4149</v>
      </c>
      <c r="BB862" t="s">
        <v>4154</v>
      </c>
      <c r="BC862" t="s">
        <v>4128</v>
      </c>
      <c r="BF862" t="s">
        <v>4281</v>
      </c>
      <c r="BG862" t="s">
        <v>4539</v>
      </c>
      <c r="BM862" t="s">
        <v>4627</v>
      </c>
    </row>
    <row r="863" spans="1:65">
      <c r="A863" s="1">
        <f>HYPERLINK("https://lsnyc.legalserver.org/matter/dynamic-profile/view/0822902","16-0822902")</f>
        <v>0</v>
      </c>
      <c r="B863" t="s">
        <v>86</v>
      </c>
      <c r="C863" t="s">
        <v>93</v>
      </c>
      <c r="D863" t="s">
        <v>424</v>
      </c>
      <c r="F863" t="s">
        <v>888</v>
      </c>
      <c r="G863" t="s">
        <v>1419</v>
      </c>
      <c r="H863" t="s">
        <v>1830</v>
      </c>
      <c r="I863" t="s">
        <v>1950</v>
      </c>
      <c r="J863" t="s">
        <v>2205</v>
      </c>
      <c r="K863">
        <v>11207</v>
      </c>
      <c r="N863" t="s">
        <v>2233</v>
      </c>
      <c r="O863" t="s">
        <v>2745</v>
      </c>
      <c r="Q863" t="s">
        <v>3331</v>
      </c>
      <c r="R863">
        <v>1</v>
      </c>
      <c r="S863">
        <v>3</v>
      </c>
      <c r="T863">
        <v>85.59999999999999</v>
      </c>
      <c r="W863">
        <v>20800</v>
      </c>
      <c r="X863" t="s">
        <v>3719</v>
      </c>
      <c r="Y863">
        <v>3.45</v>
      </c>
      <c r="Z863" t="s">
        <v>3877</v>
      </c>
      <c r="AA863" t="s">
        <v>3915</v>
      </c>
      <c r="AC863" t="s">
        <v>3942</v>
      </c>
      <c r="AD863" t="s">
        <v>3445</v>
      </c>
      <c r="AF863" t="s">
        <v>4058</v>
      </c>
      <c r="AH863" t="s">
        <v>4076</v>
      </c>
      <c r="AJ863" t="s">
        <v>3942</v>
      </c>
      <c r="AL863" t="s">
        <v>4086</v>
      </c>
      <c r="AM863" t="s">
        <v>2230</v>
      </c>
      <c r="AO863">
        <v>1000</v>
      </c>
      <c r="AQ863">
        <v>6</v>
      </c>
      <c r="AS863" t="s">
        <v>4113</v>
      </c>
      <c r="AT863" t="s">
        <v>4127</v>
      </c>
      <c r="AW863">
        <v>3</v>
      </c>
      <c r="AY863" t="s">
        <v>4140</v>
      </c>
      <c r="BC863" t="s">
        <v>4155</v>
      </c>
      <c r="BF863" t="s">
        <v>4281</v>
      </c>
      <c r="BG863" t="s">
        <v>4540</v>
      </c>
      <c r="BM863" t="s">
        <v>4627</v>
      </c>
    </row>
    <row r="864" spans="1:65">
      <c r="A864" s="1">
        <f>HYPERLINK("https://lsnyc.legalserver.org/matter/dynamic-profile/view/1890552","19-1890552")</f>
        <v>0</v>
      </c>
      <c r="B864" t="s">
        <v>86</v>
      </c>
      <c r="C864" t="s">
        <v>93</v>
      </c>
      <c r="D864" t="s">
        <v>414</v>
      </c>
      <c r="F864" t="s">
        <v>904</v>
      </c>
      <c r="G864" t="s">
        <v>1440</v>
      </c>
      <c r="H864" t="s">
        <v>1577</v>
      </c>
      <c r="I864" t="s">
        <v>2134</v>
      </c>
      <c r="J864" t="s">
        <v>2205</v>
      </c>
      <c r="K864">
        <v>11233</v>
      </c>
      <c r="N864" t="s">
        <v>2233</v>
      </c>
      <c r="O864" t="s">
        <v>2769</v>
      </c>
      <c r="P864" t="s">
        <v>2930</v>
      </c>
      <c r="R864">
        <v>1</v>
      </c>
      <c r="S864">
        <v>0</v>
      </c>
      <c r="T864">
        <v>504.4</v>
      </c>
      <c r="W864">
        <v>63000</v>
      </c>
      <c r="X864" t="s">
        <v>3720</v>
      </c>
      <c r="Y864">
        <v>0</v>
      </c>
      <c r="AA864" t="s">
        <v>70</v>
      </c>
      <c r="AC864" t="s">
        <v>3942</v>
      </c>
      <c r="AD864" t="s">
        <v>3847</v>
      </c>
      <c r="AF864" t="s">
        <v>4059</v>
      </c>
      <c r="AH864" t="s">
        <v>4078</v>
      </c>
      <c r="AJ864" t="s">
        <v>3942</v>
      </c>
      <c r="AL864" t="s">
        <v>4070</v>
      </c>
      <c r="AM864" t="s">
        <v>2230</v>
      </c>
      <c r="AO864">
        <v>680</v>
      </c>
      <c r="AQ864">
        <v>359</v>
      </c>
      <c r="AS864" t="s">
        <v>4113</v>
      </c>
      <c r="AU864" t="s">
        <v>4128</v>
      </c>
      <c r="AW864">
        <v>3</v>
      </c>
      <c r="AY864" t="s">
        <v>4140</v>
      </c>
      <c r="BA864" t="s">
        <v>4149</v>
      </c>
      <c r="BB864" t="s">
        <v>4154</v>
      </c>
      <c r="BF864" t="s">
        <v>4281</v>
      </c>
      <c r="BG864" t="s">
        <v>4539</v>
      </c>
      <c r="BM864" t="s">
        <v>4627</v>
      </c>
    </row>
    <row r="865" spans="1:65">
      <c r="A865" s="1">
        <f>HYPERLINK("https://lsnyc.legalserver.org/matter/dynamic-profile/view/1896517","19-1896517")</f>
        <v>0</v>
      </c>
      <c r="B865" t="s">
        <v>86</v>
      </c>
      <c r="C865" t="s">
        <v>93</v>
      </c>
      <c r="D865" t="s">
        <v>219</v>
      </c>
      <c r="F865" t="s">
        <v>665</v>
      </c>
      <c r="G865" t="s">
        <v>478</v>
      </c>
      <c r="H865" t="s">
        <v>1834</v>
      </c>
      <c r="I865" t="s">
        <v>1931</v>
      </c>
      <c r="J865" t="s">
        <v>2205</v>
      </c>
      <c r="K865">
        <v>11213</v>
      </c>
      <c r="N865" t="s">
        <v>2233</v>
      </c>
      <c r="O865" t="s">
        <v>2770</v>
      </c>
      <c r="P865" t="s">
        <v>2930</v>
      </c>
      <c r="R865">
        <v>1</v>
      </c>
      <c r="S865">
        <v>0</v>
      </c>
      <c r="T865">
        <v>0</v>
      </c>
      <c r="W865">
        <v>0</v>
      </c>
      <c r="Y865">
        <v>72.15000000000001</v>
      </c>
      <c r="Z865" t="s">
        <v>457</v>
      </c>
      <c r="AA865" t="s">
        <v>90</v>
      </c>
      <c r="AC865" t="s">
        <v>3942</v>
      </c>
      <c r="AD865" t="s">
        <v>368</v>
      </c>
      <c r="AF865" t="s">
        <v>4053</v>
      </c>
      <c r="AH865" t="s">
        <v>4076</v>
      </c>
      <c r="AJ865" t="s">
        <v>3943</v>
      </c>
      <c r="AK865" t="s">
        <v>4084</v>
      </c>
      <c r="AM865" t="s">
        <v>2230</v>
      </c>
      <c r="AN865" t="s">
        <v>4107</v>
      </c>
      <c r="AO865">
        <v>0</v>
      </c>
      <c r="AP865" t="s">
        <v>4108</v>
      </c>
      <c r="AQ865" t="s">
        <v>4110</v>
      </c>
      <c r="AR865" t="s">
        <v>4112</v>
      </c>
      <c r="AT865" t="s">
        <v>4127</v>
      </c>
      <c r="AV865" t="s">
        <v>4137</v>
      </c>
      <c r="AW865">
        <v>0</v>
      </c>
      <c r="AY865" t="s">
        <v>4140</v>
      </c>
      <c r="BA865" t="s">
        <v>4149</v>
      </c>
      <c r="BC865" t="s">
        <v>4155</v>
      </c>
      <c r="BG865" t="s">
        <v>4549</v>
      </c>
      <c r="BM865" t="s">
        <v>4627</v>
      </c>
    </row>
    <row r="866" spans="1:65">
      <c r="A866" s="1">
        <f>HYPERLINK("https://lsnyc.legalserver.org/matter/dynamic-profile/view/1890637","19-1890637")</f>
        <v>0</v>
      </c>
      <c r="B866" t="s">
        <v>86</v>
      </c>
      <c r="C866" t="s">
        <v>93</v>
      </c>
      <c r="D866" t="s">
        <v>414</v>
      </c>
      <c r="F866" t="s">
        <v>486</v>
      </c>
      <c r="G866" t="s">
        <v>1441</v>
      </c>
      <c r="H866" t="s">
        <v>1633</v>
      </c>
      <c r="I866" t="s">
        <v>2135</v>
      </c>
      <c r="J866" t="s">
        <v>2205</v>
      </c>
      <c r="K866">
        <v>11233</v>
      </c>
      <c r="N866" t="s">
        <v>2233</v>
      </c>
      <c r="O866" t="s">
        <v>2771</v>
      </c>
      <c r="P866" t="s">
        <v>2930</v>
      </c>
      <c r="R866">
        <v>1</v>
      </c>
      <c r="S866">
        <v>0</v>
      </c>
      <c r="T866">
        <v>166.73</v>
      </c>
      <c r="W866">
        <v>20824.62</v>
      </c>
      <c r="X866" t="s">
        <v>3624</v>
      </c>
      <c r="Y866">
        <v>0</v>
      </c>
      <c r="AA866" t="s">
        <v>70</v>
      </c>
      <c r="AC866" t="s">
        <v>3942</v>
      </c>
      <c r="AD866" t="s">
        <v>3847</v>
      </c>
      <c r="AF866" t="s">
        <v>4059</v>
      </c>
      <c r="AH866" t="s">
        <v>4078</v>
      </c>
      <c r="AJ866" t="s">
        <v>3942</v>
      </c>
      <c r="AL866" t="s">
        <v>4070</v>
      </c>
      <c r="AM866" t="s">
        <v>2230</v>
      </c>
      <c r="AO866">
        <v>1148.69</v>
      </c>
      <c r="AQ866">
        <v>359</v>
      </c>
      <c r="AS866" t="s">
        <v>4113</v>
      </c>
      <c r="AU866" t="s">
        <v>4128</v>
      </c>
      <c r="AW866">
        <v>34</v>
      </c>
      <c r="AY866" t="s">
        <v>4140</v>
      </c>
      <c r="BA866" t="s">
        <v>4149</v>
      </c>
      <c r="BB866" t="s">
        <v>4154</v>
      </c>
      <c r="BC866" t="s">
        <v>4128</v>
      </c>
      <c r="BE866" t="s">
        <v>4159</v>
      </c>
      <c r="BF866" t="s">
        <v>4281</v>
      </c>
      <c r="BG866" t="s">
        <v>4538</v>
      </c>
      <c r="BM866" t="s">
        <v>4627</v>
      </c>
    </row>
    <row r="867" spans="1:65">
      <c r="A867" s="1">
        <f>HYPERLINK("https://lsnyc.legalserver.org/matter/dynamic-profile/view/1856019","18-1856019")</f>
        <v>0</v>
      </c>
      <c r="B867" t="s">
        <v>86</v>
      </c>
      <c r="C867" t="s">
        <v>93</v>
      </c>
      <c r="D867" t="s">
        <v>287</v>
      </c>
      <c r="E867" t="s">
        <v>134</v>
      </c>
      <c r="F867" t="s">
        <v>532</v>
      </c>
      <c r="G867" t="s">
        <v>1442</v>
      </c>
      <c r="H867" t="s">
        <v>1835</v>
      </c>
      <c r="I867" t="s">
        <v>2136</v>
      </c>
      <c r="J867" t="s">
        <v>2205</v>
      </c>
      <c r="K867">
        <v>11239</v>
      </c>
      <c r="L867" t="s">
        <v>2223</v>
      </c>
      <c r="N867" t="s">
        <v>2233</v>
      </c>
      <c r="O867" t="s">
        <v>2772</v>
      </c>
      <c r="Q867" t="s">
        <v>3334</v>
      </c>
      <c r="R867">
        <v>1</v>
      </c>
      <c r="S867">
        <v>0</v>
      </c>
      <c r="T867">
        <v>118.01</v>
      </c>
      <c r="W867">
        <v>14232</v>
      </c>
      <c r="Y867">
        <v>66.8</v>
      </c>
      <c r="Z867" t="s">
        <v>102</v>
      </c>
      <c r="AA867" t="s">
        <v>3905</v>
      </c>
      <c r="AC867" t="s">
        <v>3942</v>
      </c>
      <c r="AD867" t="s">
        <v>287</v>
      </c>
      <c r="AF867" t="s">
        <v>4050</v>
      </c>
      <c r="AH867" t="s">
        <v>4076</v>
      </c>
      <c r="AJ867" t="s">
        <v>3943</v>
      </c>
      <c r="AL867" t="s">
        <v>4102</v>
      </c>
      <c r="AM867" t="s">
        <v>2230</v>
      </c>
      <c r="AO867">
        <v>1900</v>
      </c>
      <c r="AQ867">
        <v>152</v>
      </c>
      <c r="AS867" t="s">
        <v>4120</v>
      </c>
      <c r="AU867" t="s">
        <v>4129</v>
      </c>
      <c r="AW867">
        <v>5</v>
      </c>
      <c r="AY867" t="s">
        <v>4140</v>
      </c>
      <c r="BB867" t="s">
        <v>4154</v>
      </c>
      <c r="BD867" t="s">
        <v>4157</v>
      </c>
      <c r="BE867" t="s">
        <v>4248</v>
      </c>
      <c r="BG867" t="s">
        <v>4550</v>
      </c>
      <c r="BH867" t="s">
        <v>4619</v>
      </c>
      <c r="BJ867" t="s">
        <v>4622</v>
      </c>
      <c r="BL867" t="s">
        <v>4626</v>
      </c>
      <c r="BM867" t="s">
        <v>4628</v>
      </c>
    </row>
    <row r="868" spans="1:65">
      <c r="A868" s="1">
        <f>HYPERLINK("https://lsnyc.legalserver.org/matter/dynamic-profile/view/1891494","19-1891494")</f>
        <v>0</v>
      </c>
      <c r="B868" t="s">
        <v>86</v>
      </c>
      <c r="C868" t="s">
        <v>93</v>
      </c>
      <c r="D868" t="s">
        <v>407</v>
      </c>
      <c r="F868" t="s">
        <v>851</v>
      </c>
      <c r="G868" t="s">
        <v>1382</v>
      </c>
      <c r="H868" t="s">
        <v>1577</v>
      </c>
      <c r="I868" t="s">
        <v>2081</v>
      </c>
      <c r="J868" t="s">
        <v>2205</v>
      </c>
      <c r="K868">
        <v>11233</v>
      </c>
      <c r="N868" t="s">
        <v>2233</v>
      </c>
      <c r="O868" t="s">
        <v>2697</v>
      </c>
      <c r="P868" t="s">
        <v>2930</v>
      </c>
      <c r="R868">
        <v>1</v>
      </c>
      <c r="S868">
        <v>0</v>
      </c>
      <c r="T868">
        <v>0</v>
      </c>
      <c r="W868">
        <v>0</v>
      </c>
      <c r="X868" t="s">
        <v>3721</v>
      </c>
      <c r="Y868">
        <v>0</v>
      </c>
      <c r="AA868" t="s">
        <v>90</v>
      </c>
      <c r="AC868" t="s">
        <v>3942</v>
      </c>
      <c r="AD868" t="s">
        <v>4035</v>
      </c>
      <c r="AF868" t="s">
        <v>4061</v>
      </c>
      <c r="AH868" t="s">
        <v>3510</v>
      </c>
      <c r="AJ868" t="s">
        <v>3942</v>
      </c>
      <c r="AK868" t="s">
        <v>4084</v>
      </c>
      <c r="AM868" t="s">
        <v>2230</v>
      </c>
      <c r="AO868">
        <v>505</v>
      </c>
      <c r="AQ868">
        <v>359</v>
      </c>
      <c r="AS868" t="s">
        <v>4113</v>
      </c>
      <c r="AT868" t="s">
        <v>4127</v>
      </c>
      <c r="AW868">
        <v>40</v>
      </c>
      <c r="AY868" t="s">
        <v>4140</v>
      </c>
      <c r="BA868" t="s">
        <v>4149</v>
      </c>
      <c r="BB868" t="s">
        <v>4154</v>
      </c>
      <c r="BF868" t="s">
        <v>4281</v>
      </c>
      <c r="BG868" t="s">
        <v>4128</v>
      </c>
      <c r="BM868" t="s">
        <v>4627</v>
      </c>
    </row>
    <row r="869" spans="1:65">
      <c r="A869" s="1">
        <f>HYPERLINK("https://lsnyc.legalserver.org/matter/dynamic-profile/view/1895348","19-1895348")</f>
        <v>0</v>
      </c>
      <c r="B869" t="s">
        <v>86</v>
      </c>
      <c r="C869" t="s">
        <v>93</v>
      </c>
      <c r="D869" t="s">
        <v>99</v>
      </c>
      <c r="F869" t="s">
        <v>660</v>
      </c>
      <c r="G869" t="s">
        <v>1195</v>
      </c>
      <c r="H869" t="s">
        <v>1558</v>
      </c>
      <c r="I869" t="s">
        <v>1930</v>
      </c>
      <c r="J869" t="s">
        <v>2205</v>
      </c>
      <c r="K869">
        <v>11221</v>
      </c>
      <c r="N869" t="s">
        <v>2234</v>
      </c>
      <c r="O869" t="s">
        <v>2448</v>
      </c>
      <c r="Q869" t="s">
        <v>3116</v>
      </c>
      <c r="R869">
        <v>1</v>
      </c>
      <c r="S869">
        <v>1</v>
      </c>
      <c r="T869">
        <v>82.79000000000001</v>
      </c>
      <c r="W869">
        <v>14000</v>
      </c>
      <c r="X869" t="s">
        <v>3528</v>
      </c>
      <c r="Y869">
        <v>1.5</v>
      </c>
      <c r="Z869" t="s">
        <v>298</v>
      </c>
      <c r="AA869" t="s">
        <v>90</v>
      </c>
      <c r="AC869" t="s">
        <v>3942</v>
      </c>
      <c r="AD869" t="s">
        <v>99</v>
      </c>
      <c r="AF869" t="s">
        <v>4051</v>
      </c>
      <c r="AH869" t="s">
        <v>4077</v>
      </c>
      <c r="AJ869" t="s">
        <v>3942</v>
      </c>
      <c r="AL869" t="s">
        <v>4087</v>
      </c>
      <c r="AM869" t="s">
        <v>2230</v>
      </c>
      <c r="AO869">
        <v>336.58</v>
      </c>
      <c r="AQ869">
        <v>12</v>
      </c>
      <c r="AS869" t="s">
        <v>4113</v>
      </c>
      <c r="AU869" t="s">
        <v>4128</v>
      </c>
      <c r="AW869">
        <v>8</v>
      </c>
      <c r="AY869" t="s">
        <v>4140</v>
      </c>
      <c r="BC869" t="s">
        <v>4155</v>
      </c>
      <c r="BD869" t="s">
        <v>4157</v>
      </c>
      <c r="BE869" t="s">
        <v>4209</v>
      </c>
      <c r="BG869" t="s">
        <v>4551</v>
      </c>
      <c r="BM869" t="s">
        <v>4627</v>
      </c>
    </row>
    <row r="870" spans="1:65">
      <c r="A870" s="1">
        <f>HYPERLINK("https://lsnyc.legalserver.org/matter/dynamic-profile/view/1886734","18-1886734")</f>
        <v>0</v>
      </c>
      <c r="B870" t="s">
        <v>86</v>
      </c>
      <c r="C870" t="s">
        <v>93</v>
      </c>
      <c r="D870" t="s">
        <v>181</v>
      </c>
      <c r="F870" t="s">
        <v>778</v>
      </c>
      <c r="G870" t="s">
        <v>1443</v>
      </c>
      <c r="H870" t="s">
        <v>1577</v>
      </c>
      <c r="I870" t="s">
        <v>2137</v>
      </c>
      <c r="J870" t="s">
        <v>2205</v>
      </c>
      <c r="K870">
        <v>11233</v>
      </c>
      <c r="N870" t="s">
        <v>2233</v>
      </c>
      <c r="O870" t="s">
        <v>2773</v>
      </c>
      <c r="Q870" t="s">
        <v>3335</v>
      </c>
      <c r="R870">
        <v>1</v>
      </c>
      <c r="S870">
        <v>0</v>
      </c>
      <c r="T870">
        <v>190.71</v>
      </c>
      <c r="W870">
        <v>23152.8</v>
      </c>
      <c r="Y870">
        <v>0</v>
      </c>
      <c r="AA870" t="s">
        <v>70</v>
      </c>
      <c r="AC870" t="s">
        <v>3942</v>
      </c>
      <c r="AD870" t="s">
        <v>4040</v>
      </c>
      <c r="AF870" t="s">
        <v>4059</v>
      </c>
      <c r="AH870" t="s">
        <v>4078</v>
      </c>
      <c r="AJ870" t="s">
        <v>3942</v>
      </c>
      <c r="AL870" t="s">
        <v>4094</v>
      </c>
      <c r="AM870" t="s">
        <v>2230</v>
      </c>
      <c r="AO870">
        <v>1076.55</v>
      </c>
      <c r="AQ870">
        <v>764</v>
      </c>
      <c r="AS870" t="s">
        <v>4113</v>
      </c>
      <c r="AU870" t="s">
        <v>4134</v>
      </c>
      <c r="AW870">
        <v>21</v>
      </c>
      <c r="AY870" t="s">
        <v>4140</v>
      </c>
      <c r="BA870" t="s">
        <v>4149</v>
      </c>
      <c r="BB870" t="s">
        <v>4154</v>
      </c>
      <c r="BF870" t="s">
        <v>4281</v>
      </c>
      <c r="BG870" t="s">
        <v>4539</v>
      </c>
      <c r="BM870" t="s">
        <v>4627</v>
      </c>
    </row>
    <row r="871" spans="1:65">
      <c r="A871" s="1">
        <f>HYPERLINK("https://lsnyc.legalserver.org/matter/dynamic-profile/view/1886089","18-1886089")</f>
        <v>0</v>
      </c>
      <c r="B871" t="s">
        <v>86</v>
      </c>
      <c r="C871" t="s">
        <v>93</v>
      </c>
      <c r="D871" t="s">
        <v>419</v>
      </c>
      <c r="F871" t="s">
        <v>478</v>
      </c>
      <c r="G871" t="s">
        <v>1341</v>
      </c>
      <c r="H871" t="s">
        <v>1577</v>
      </c>
      <c r="I871" t="s">
        <v>2062</v>
      </c>
      <c r="J871" t="s">
        <v>2205</v>
      </c>
      <c r="K871">
        <v>11233</v>
      </c>
      <c r="N871" t="s">
        <v>2233</v>
      </c>
      <c r="O871" t="s">
        <v>2638</v>
      </c>
      <c r="Q871" t="s">
        <v>3279</v>
      </c>
      <c r="R871">
        <v>2</v>
      </c>
      <c r="S871">
        <v>0</v>
      </c>
      <c r="T871">
        <v>83.37</v>
      </c>
      <c r="W871">
        <v>13722.36</v>
      </c>
      <c r="X871" t="s">
        <v>3722</v>
      </c>
      <c r="Y871">
        <v>648.65</v>
      </c>
      <c r="Z871" t="s">
        <v>360</v>
      </c>
      <c r="AA871" t="s">
        <v>90</v>
      </c>
      <c r="AC871" t="s">
        <v>3942</v>
      </c>
      <c r="AD871" t="s">
        <v>4039</v>
      </c>
      <c r="AF871" t="s">
        <v>4059</v>
      </c>
      <c r="AH871" t="s">
        <v>4078</v>
      </c>
      <c r="AJ871" t="s">
        <v>3942</v>
      </c>
      <c r="AL871" t="s">
        <v>4094</v>
      </c>
      <c r="AM871" t="s">
        <v>2230</v>
      </c>
      <c r="AO871">
        <v>955.08</v>
      </c>
      <c r="AQ871">
        <v>764</v>
      </c>
      <c r="AS871" t="s">
        <v>4113</v>
      </c>
      <c r="AU871" t="s">
        <v>4128</v>
      </c>
      <c r="AW871">
        <v>16</v>
      </c>
      <c r="AY871" t="s">
        <v>4140</v>
      </c>
      <c r="BA871" t="s">
        <v>4149</v>
      </c>
      <c r="BB871" t="s">
        <v>4154</v>
      </c>
      <c r="BD871" t="s">
        <v>4157</v>
      </c>
      <c r="BE871" t="s">
        <v>4249</v>
      </c>
      <c r="BF871" t="s">
        <v>4281</v>
      </c>
      <c r="BG871" t="s">
        <v>4539</v>
      </c>
      <c r="BM871" t="s">
        <v>4627</v>
      </c>
    </row>
    <row r="872" spans="1:65">
      <c r="A872" s="1">
        <f>HYPERLINK("https://lsnyc.legalserver.org/matter/dynamic-profile/view/1897521","19-1897521")</f>
        <v>0</v>
      </c>
      <c r="B872" t="s">
        <v>86</v>
      </c>
      <c r="C872" t="s">
        <v>93</v>
      </c>
      <c r="D872" t="s">
        <v>226</v>
      </c>
      <c r="F872" t="s">
        <v>829</v>
      </c>
      <c r="G872" t="s">
        <v>1204</v>
      </c>
      <c r="H872" t="s">
        <v>1577</v>
      </c>
      <c r="I872" t="s">
        <v>2138</v>
      </c>
      <c r="J872" t="s">
        <v>2205</v>
      </c>
      <c r="K872">
        <v>11233</v>
      </c>
      <c r="N872" t="s">
        <v>2233</v>
      </c>
      <c r="O872" t="s">
        <v>2774</v>
      </c>
      <c r="P872" t="s">
        <v>2930</v>
      </c>
      <c r="R872">
        <v>1</v>
      </c>
      <c r="S872">
        <v>1</v>
      </c>
      <c r="T872">
        <v>189.24</v>
      </c>
      <c r="W872">
        <v>32000</v>
      </c>
      <c r="X872" t="s">
        <v>3723</v>
      </c>
      <c r="Y872">
        <v>0</v>
      </c>
      <c r="AA872" t="s">
        <v>90</v>
      </c>
      <c r="AC872" t="s">
        <v>3942</v>
      </c>
      <c r="AD872" t="s">
        <v>4035</v>
      </c>
      <c r="AF872" t="s">
        <v>4061</v>
      </c>
      <c r="AH872" t="s">
        <v>3510</v>
      </c>
      <c r="AJ872" t="s">
        <v>3942</v>
      </c>
      <c r="AK872" t="s">
        <v>4084</v>
      </c>
      <c r="AM872" t="s">
        <v>2230</v>
      </c>
      <c r="AO872">
        <v>981</v>
      </c>
      <c r="AQ872">
        <v>359</v>
      </c>
      <c r="AS872" t="s">
        <v>4113</v>
      </c>
      <c r="AT872" t="s">
        <v>4127</v>
      </c>
      <c r="AW872">
        <v>20</v>
      </c>
      <c r="AY872" t="s">
        <v>4140</v>
      </c>
      <c r="BA872" t="s">
        <v>4149</v>
      </c>
      <c r="BB872" t="s">
        <v>4154</v>
      </c>
      <c r="BF872" t="s">
        <v>4281</v>
      </c>
      <c r="BM872" t="s">
        <v>4627</v>
      </c>
    </row>
    <row r="873" spans="1:65">
      <c r="A873" s="1">
        <f>HYPERLINK("https://lsnyc.legalserver.org/matter/dynamic-profile/view/1897518","19-1897518")</f>
        <v>0</v>
      </c>
      <c r="B873" t="s">
        <v>86</v>
      </c>
      <c r="C873" t="s">
        <v>93</v>
      </c>
      <c r="D873" t="s">
        <v>226</v>
      </c>
      <c r="F873" t="s">
        <v>829</v>
      </c>
      <c r="G873" t="s">
        <v>1204</v>
      </c>
      <c r="H873" t="s">
        <v>1577</v>
      </c>
      <c r="I873" t="s">
        <v>2138</v>
      </c>
      <c r="J873" t="s">
        <v>2205</v>
      </c>
      <c r="K873">
        <v>11233</v>
      </c>
      <c r="N873" t="s">
        <v>2233</v>
      </c>
      <c r="O873" t="s">
        <v>2774</v>
      </c>
      <c r="P873" t="s">
        <v>2930</v>
      </c>
      <c r="R873">
        <v>1</v>
      </c>
      <c r="S873">
        <v>1</v>
      </c>
      <c r="T873">
        <v>189.24</v>
      </c>
      <c r="W873">
        <v>32000</v>
      </c>
      <c r="X873" t="s">
        <v>3646</v>
      </c>
      <c r="Y873">
        <v>0</v>
      </c>
      <c r="AA873" t="s">
        <v>90</v>
      </c>
      <c r="AC873" t="s">
        <v>3942</v>
      </c>
      <c r="AD873" t="s">
        <v>3847</v>
      </c>
      <c r="AF873" t="s">
        <v>4059</v>
      </c>
      <c r="AH873" t="s">
        <v>4078</v>
      </c>
      <c r="AJ873" t="s">
        <v>3942</v>
      </c>
      <c r="AL873" t="s">
        <v>4088</v>
      </c>
      <c r="AM873" t="s">
        <v>2230</v>
      </c>
      <c r="AO873">
        <v>981</v>
      </c>
      <c r="AQ873">
        <v>359</v>
      </c>
      <c r="AS873" t="s">
        <v>4113</v>
      </c>
      <c r="AT873" t="s">
        <v>4127</v>
      </c>
      <c r="AW873">
        <v>20</v>
      </c>
      <c r="AY873" t="s">
        <v>4140</v>
      </c>
      <c r="BA873" t="s">
        <v>4149</v>
      </c>
      <c r="BB873" t="s">
        <v>4154</v>
      </c>
      <c r="BF873" t="s">
        <v>4281</v>
      </c>
      <c r="BG873" t="s">
        <v>4539</v>
      </c>
      <c r="BM873" t="s">
        <v>4627</v>
      </c>
    </row>
    <row r="874" spans="1:65">
      <c r="A874" s="1">
        <f>HYPERLINK("https://lsnyc.legalserver.org/matter/dynamic-profile/view/1891511","19-1891511")</f>
        <v>0</v>
      </c>
      <c r="B874" t="s">
        <v>86</v>
      </c>
      <c r="C874" t="s">
        <v>93</v>
      </c>
      <c r="D874" t="s">
        <v>407</v>
      </c>
      <c r="F874" t="s">
        <v>842</v>
      </c>
      <c r="G874" t="s">
        <v>676</v>
      </c>
      <c r="H874" t="s">
        <v>1577</v>
      </c>
      <c r="I874" t="s">
        <v>1987</v>
      </c>
      <c r="J874" t="s">
        <v>2205</v>
      </c>
      <c r="K874">
        <v>11233</v>
      </c>
      <c r="N874" t="s">
        <v>2233</v>
      </c>
      <c r="O874" t="s">
        <v>2687</v>
      </c>
      <c r="P874" t="s">
        <v>2930</v>
      </c>
      <c r="R874">
        <v>1</v>
      </c>
      <c r="S874">
        <v>0</v>
      </c>
      <c r="T874">
        <v>0</v>
      </c>
      <c r="W874">
        <v>0</v>
      </c>
      <c r="X874" t="s">
        <v>3724</v>
      </c>
      <c r="Y874">
        <v>0</v>
      </c>
      <c r="AA874" t="s">
        <v>90</v>
      </c>
      <c r="AC874" t="s">
        <v>3942</v>
      </c>
      <c r="AD874" t="s">
        <v>4035</v>
      </c>
      <c r="AF874" t="s">
        <v>4061</v>
      </c>
      <c r="AH874" t="s">
        <v>3510</v>
      </c>
      <c r="AJ874" t="s">
        <v>3942</v>
      </c>
      <c r="AK874" t="s">
        <v>4084</v>
      </c>
      <c r="AM874" t="s">
        <v>2230</v>
      </c>
      <c r="AN874" t="s">
        <v>4107</v>
      </c>
      <c r="AO874">
        <v>0</v>
      </c>
      <c r="AQ874">
        <v>359</v>
      </c>
      <c r="AS874" t="s">
        <v>4113</v>
      </c>
      <c r="AT874" t="s">
        <v>4127</v>
      </c>
      <c r="AW874">
        <v>14</v>
      </c>
      <c r="AY874" t="s">
        <v>4140</v>
      </c>
      <c r="BA874" t="s">
        <v>4149</v>
      </c>
      <c r="BB874" t="s">
        <v>4154</v>
      </c>
      <c r="BF874" t="s">
        <v>4281</v>
      </c>
      <c r="BG874" t="s">
        <v>4128</v>
      </c>
      <c r="BM874" t="s">
        <v>4627</v>
      </c>
    </row>
    <row r="875" spans="1:65">
      <c r="A875" s="1">
        <f>HYPERLINK("https://lsnyc.legalserver.org/matter/dynamic-profile/view/1891534","19-1891534")</f>
        <v>0</v>
      </c>
      <c r="B875" t="s">
        <v>86</v>
      </c>
      <c r="C875" t="s">
        <v>93</v>
      </c>
      <c r="D875" t="s">
        <v>407</v>
      </c>
      <c r="F875" t="s">
        <v>882</v>
      </c>
      <c r="G875" t="s">
        <v>1412</v>
      </c>
      <c r="H875" t="s">
        <v>1577</v>
      </c>
      <c r="I875" t="s">
        <v>2113</v>
      </c>
      <c r="J875" t="s">
        <v>2205</v>
      </c>
      <c r="K875">
        <v>11233</v>
      </c>
      <c r="N875" t="s">
        <v>2233</v>
      </c>
      <c r="O875" t="s">
        <v>2686</v>
      </c>
      <c r="P875" t="s">
        <v>2930</v>
      </c>
      <c r="R875">
        <v>2</v>
      </c>
      <c r="S875">
        <v>0</v>
      </c>
      <c r="T875">
        <v>0</v>
      </c>
      <c r="W875">
        <v>0</v>
      </c>
      <c r="X875" t="s">
        <v>3725</v>
      </c>
      <c r="Y875">
        <v>0</v>
      </c>
      <c r="AA875" t="s">
        <v>90</v>
      </c>
      <c r="AC875" t="s">
        <v>3942</v>
      </c>
      <c r="AD875" t="s">
        <v>4035</v>
      </c>
      <c r="AF875" t="s">
        <v>4061</v>
      </c>
      <c r="AH875" t="s">
        <v>3510</v>
      </c>
      <c r="AJ875" t="s">
        <v>3942</v>
      </c>
      <c r="AK875" t="s">
        <v>4084</v>
      </c>
      <c r="AM875" t="s">
        <v>2230</v>
      </c>
      <c r="AO875">
        <v>1195</v>
      </c>
      <c r="AQ875">
        <v>359</v>
      </c>
      <c r="AS875" t="s">
        <v>4113</v>
      </c>
      <c r="AU875" t="s">
        <v>4128</v>
      </c>
      <c r="AW875">
        <v>30</v>
      </c>
      <c r="AY875" t="s">
        <v>4140</v>
      </c>
      <c r="BA875" t="s">
        <v>4149</v>
      </c>
      <c r="BB875" t="s">
        <v>4154</v>
      </c>
      <c r="BC875" t="s">
        <v>4128</v>
      </c>
      <c r="BE875" t="s">
        <v>4128</v>
      </c>
      <c r="BF875" t="s">
        <v>4281</v>
      </c>
      <c r="BG875" t="s">
        <v>4128</v>
      </c>
      <c r="BM875" t="s">
        <v>4627</v>
      </c>
    </row>
    <row r="876" spans="1:65">
      <c r="A876" s="1">
        <f>HYPERLINK("https://lsnyc.legalserver.org/matter/dynamic-profile/view/1891861","19-1891861")</f>
        <v>0</v>
      </c>
      <c r="B876" t="s">
        <v>86</v>
      </c>
      <c r="C876" t="s">
        <v>93</v>
      </c>
      <c r="D876" t="s">
        <v>421</v>
      </c>
      <c r="F876" t="s">
        <v>904</v>
      </c>
      <c r="G876" t="s">
        <v>1440</v>
      </c>
      <c r="H876" t="s">
        <v>1577</v>
      </c>
      <c r="I876" t="s">
        <v>2134</v>
      </c>
      <c r="J876" t="s">
        <v>2205</v>
      </c>
      <c r="K876">
        <v>11233</v>
      </c>
      <c r="N876" t="s">
        <v>2233</v>
      </c>
      <c r="O876" t="s">
        <v>2769</v>
      </c>
      <c r="P876" t="s">
        <v>2930</v>
      </c>
      <c r="R876">
        <v>1</v>
      </c>
      <c r="S876">
        <v>0</v>
      </c>
      <c r="T876">
        <v>504.4</v>
      </c>
      <c r="W876">
        <v>63000</v>
      </c>
      <c r="X876" t="s">
        <v>3726</v>
      </c>
      <c r="Y876">
        <v>0</v>
      </c>
      <c r="AA876" t="s">
        <v>90</v>
      </c>
      <c r="AC876" t="s">
        <v>3942</v>
      </c>
      <c r="AD876" t="s">
        <v>4035</v>
      </c>
      <c r="AF876" t="s">
        <v>4061</v>
      </c>
      <c r="AH876" t="s">
        <v>3510</v>
      </c>
      <c r="AJ876" t="s">
        <v>3942</v>
      </c>
      <c r="AK876" t="s">
        <v>4084</v>
      </c>
      <c r="AM876" t="s">
        <v>2230</v>
      </c>
      <c r="AO876">
        <v>680</v>
      </c>
      <c r="AQ876">
        <v>359</v>
      </c>
      <c r="AS876" t="s">
        <v>4113</v>
      </c>
      <c r="AU876" t="s">
        <v>4128</v>
      </c>
      <c r="AW876">
        <v>3</v>
      </c>
      <c r="AY876" t="s">
        <v>4140</v>
      </c>
      <c r="BA876" t="s">
        <v>4149</v>
      </c>
      <c r="BB876" t="s">
        <v>4154</v>
      </c>
      <c r="BF876" t="s">
        <v>4281</v>
      </c>
      <c r="BG876" t="s">
        <v>4128</v>
      </c>
      <c r="BM876" t="s">
        <v>4627</v>
      </c>
    </row>
    <row r="877" spans="1:65">
      <c r="A877" s="1">
        <f>HYPERLINK("https://lsnyc.legalserver.org/matter/dynamic-profile/view/1888217","19-1888217")</f>
        <v>0</v>
      </c>
      <c r="B877" t="s">
        <v>86</v>
      </c>
      <c r="C877" t="s">
        <v>93</v>
      </c>
      <c r="D877" t="s">
        <v>425</v>
      </c>
      <c r="F877" t="s">
        <v>524</v>
      </c>
      <c r="G877" t="s">
        <v>1430</v>
      </c>
      <c r="H877" t="s">
        <v>1832</v>
      </c>
      <c r="I877" t="s">
        <v>1922</v>
      </c>
      <c r="J877" t="s">
        <v>2205</v>
      </c>
      <c r="K877">
        <v>11215</v>
      </c>
      <c r="N877" t="s">
        <v>2233</v>
      </c>
      <c r="O877" t="s">
        <v>2758</v>
      </c>
      <c r="P877" t="s">
        <v>2930</v>
      </c>
      <c r="R877">
        <v>2</v>
      </c>
      <c r="S877">
        <v>0</v>
      </c>
      <c r="T877">
        <v>185.57</v>
      </c>
      <c r="W877">
        <v>31380</v>
      </c>
      <c r="Y877">
        <v>0</v>
      </c>
      <c r="AA877" t="s">
        <v>90</v>
      </c>
      <c r="AC877" t="s">
        <v>3942</v>
      </c>
      <c r="AD877" t="s">
        <v>115</v>
      </c>
      <c r="AF877" t="s">
        <v>4058</v>
      </c>
      <c r="AH877" t="s">
        <v>4076</v>
      </c>
      <c r="AJ877" t="s">
        <v>3942</v>
      </c>
      <c r="AL877" t="s">
        <v>4086</v>
      </c>
      <c r="AM877" t="s">
        <v>2230</v>
      </c>
      <c r="AO877">
        <v>149</v>
      </c>
      <c r="AQ877">
        <v>7</v>
      </c>
      <c r="AS877" t="s">
        <v>4115</v>
      </c>
      <c r="AU877" t="s">
        <v>4128</v>
      </c>
      <c r="AW877">
        <v>42</v>
      </c>
      <c r="AY877" t="s">
        <v>4140</v>
      </c>
      <c r="BA877" t="s">
        <v>4149</v>
      </c>
      <c r="BC877" t="s">
        <v>4155</v>
      </c>
      <c r="BE877" t="s">
        <v>4159</v>
      </c>
      <c r="BF877" t="s">
        <v>4281</v>
      </c>
      <c r="BG877" t="s">
        <v>4546</v>
      </c>
      <c r="BM877" t="s">
        <v>4627</v>
      </c>
    </row>
    <row r="878" spans="1:65">
      <c r="A878" s="1">
        <f>HYPERLINK("https://lsnyc.legalserver.org/matter/dynamic-profile/view/1891717","19-1891717")</f>
        <v>0</v>
      </c>
      <c r="B878" t="s">
        <v>86</v>
      </c>
      <c r="C878" t="s">
        <v>93</v>
      </c>
      <c r="D878" t="s">
        <v>410</v>
      </c>
      <c r="F878" t="s">
        <v>778</v>
      </c>
      <c r="G878" t="s">
        <v>1443</v>
      </c>
      <c r="H878" t="s">
        <v>1577</v>
      </c>
      <c r="I878" t="s">
        <v>2137</v>
      </c>
      <c r="J878" t="s">
        <v>2205</v>
      </c>
      <c r="K878">
        <v>11233</v>
      </c>
      <c r="N878" t="s">
        <v>2233</v>
      </c>
      <c r="O878" t="s">
        <v>2773</v>
      </c>
      <c r="Q878" t="s">
        <v>3335</v>
      </c>
      <c r="R878">
        <v>1</v>
      </c>
      <c r="S878">
        <v>0</v>
      </c>
      <c r="T878">
        <v>185.37</v>
      </c>
      <c r="W878">
        <v>23152.8</v>
      </c>
      <c r="X878" t="s">
        <v>3727</v>
      </c>
      <c r="Y878">
        <v>0</v>
      </c>
      <c r="AA878" t="s">
        <v>90</v>
      </c>
      <c r="AC878" t="s">
        <v>3942</v>
      </c>
      <c r="AD878" t="s">
        <v>4035</v>
      </c>
      <c r="AF878" t="s">
        <v>4061</v>
      </c>
      <c r="AH878" t="s">
        <v>3510</v>
      </c>
      <c r="AJ878" t="s">
        <v>3942</v>
      </c>
      <c r="AK878" t="s">
        <v>4084</v>
      </c>
      <c r="AM878" t="s">
        <v>2230</v>
      </c>
      <c r="AO878">
        <v>1076.55</v>
      </c>
      <c r="AQ878">
        <v>359</v>
      </c>
      <c r="AS878" t="s">
        <v>4113</v>
      </c>
      <c r="AU878" t="s">
        <v>4134</v>
      </c>
      <c r="AW878">
        <v>21</v>
      </c>
      <c r="AY878" t="s">
        <v>4140</v>
      </c>
      <c r="BA878" t="s">
        <v>4149</v>
      </c>
      <c r="BB878" t="s">
        <v>4154</v>
      </c>
      <c r="BF878" t="s">
        <v>4281</v>
      </c>
      <c r="BG878" t="s">
        <v>4159</v>
      </c>
      <c r="BM878" t="s">
        <v>4627</v>
      </c>
    </row>
    <row r="879" spans="1:65">
      <c r="A879" s="1">
        <f>HYPERLINK("https://lsnyc.legalserver.org/matter/dynamic-profile/view/1897171","19-1897171")</f>
        <v>0</v>
      </c>
      <c r="B879" t="s">
        <v>86</v>
      </c>
      <c r="C879" t="s">
        <v>93</v>
      </c>
      <c r="D879" t="s">
        <v>406</v>
      </c>
      <c r="F879" t="s">
        <v>839</v>
      </c>
      <c r="G879" t="s">
        <v>1373</v>
      </c>
      <c r="H879" t="s">
        <v>1633</v>
      </c>
      <c r="I879" t="s">
        <v>2074</v>
      </c>
      <c r="J879" t="s">
        <v>2205</v>
      </c>
      <c r="K879">
        <v>11233</v>
      </c>
      <c r="N879" t="s">
        <v>2233</v>
      </c>
      <c r="O879" t="s">
        <v>2686</v>
      </c>
      <c r="P879" t="s">
        <v>2930</v>
      </c>
      <c r="R879">
        <v>1</v>
      </c>
      <c r="S879">
        <v>0</v>
      </c>
      <c r="T879">
        <v>0</v>
      </c>
      <c r="W879">
        <v>0</v>
      </c>
      <c r="X879" t="s">
        <v>3728</v>
      </c>
      <c r="Y879">
        <v>0</v>
      </c>
      <c r="AA879" t="s">
        <v>70</v>
      </c>
      <c r="AC879" t="s">
        <v>3942</v>
      </c>
      <c r="AD879" t="s">
        <v>4035</v>
      </c>
      <c r="AF879" t="s">
        <v>4061</v>
      </c>
      <c r="AH879" t="s">
        <v>3510</v>
      </c>
      <c r="AJ879" t="s">
        <v>3942</v>
      </c>
      <c r="AL879" t="s">
        <v>4070</v>
      </c>
      <c r="AM879" t="s">
        <v>2230</v>
      </c>
      <c r="AO879">
        <v>1294.06</v>
      </c>
      <c r="AQ879">
        <v>359</v>
      </c>
      <c r="AS879" t="s">
        <v>4113</v>
      </c>
      <c r="AU879" t="s">
        <v>4128</v>
      </c>
      <c r="AW879">
        <v>27</v>
      </c>
      <c r="AY879" t="s">
        <v>4140</v>
      </c>
      <c r="BA879" t="s">
        <v>4149</v>
      </c>
      <c r="BB879" t="s">
        <v>4154</v>
      </c>
      <c r="BF879" t="s">
        <v>4281</v>
      </c>
      <c r="BM879" t="s">
        <v>4627</v>
      </c>
    </row>
    <row r="880" spans="1:65">
      <c r="A880" s="1">
        <f>HYPERLINK("https://lsnyc.legalserver.org/matter/dynamic-profile/view/1892667","19-1892667")</f>
        <v>0</v>
      </c>
      <c r="B880" t="s">
        <v>86</v>
      </c>
      <c r="C880" t="s">
        <v>93</v>
      </c>
      <c r="D880" t="s">
        <v>412</v>
      </c>
      <c r="F880" t="s">
        <v>903</v>
      </c>
      <c r="G880" t="s">
        <v>1439</v>
      </c>
      <c r="H880" t="s">
        <v>1828</v>
      </c>
      <c r="I880" t="s">
        <v>1992</v>
      </c>
      <c r="J880" t="s">
        <v>2205</v>
      </c>
      <c r="K880">
        <v>11233</v>
      </c>
      <c r="N880" t="s">
        <v>2233</v>
      </c>
      <c r="O880" t="s">
        <v>2768</v>
      </c>
      <c r="P880" t="s">
        <v>2930</v>
      </c>
      <c r="R880">
        <v>4</v>
      </c>
      <c r="S880">
        <v>1</v>
      </c>
      <c r="T880">
        <v>178.99</v>
      </c>
      <c r="W880">
        <v>54000</v>
      </c>
      <c r="X880" t="s">
        <v>3634</v>
      </c>
      <c r="Y880">
        <v>0</v>
      </c>
      <c r="AA880" t="s">
        <v>70</v>
      </c>
      <c r="AC880" t="s">
        <v>3942</v>
      </c>
      <c r="AD880" t="s">
        <v>3847</v>
      </c>
      <c r="AF880" t="s">
        <v>4059</v>
      </c>
      <c r="AH880" t="s">
        <v>4078</v>
      </c>
      <c r="AJ880" t="s">
        <v>3942</v>
      </c>
      <c r="AL880" t="s">
        <v>4070</v>
      </c>
      <c r="AM880" t="s">
        <v>2230</v>
      </c>
      <c r="AO880">
        <v>981.97</v>
      </c>
      <c r="AQ880">
        <v>359</v>
      </c>
      <c r="AS880" t="s">
        <v>4113</v>
      </c>
      <c r="AT880" t="s">
        <v>4127</v>
      </c>
      <c r="AV880" t="s">
        <v>4137</v>
      </c>
      <c r="AW880">
        <v>0</v>
      </c>
      <c r="AY880" t="s">
        <v>4142</v>
      </c>
      <c r="BA880" t="s">
        <v>4149</v>
      </c>
      <c r="BB880" t="s">
        <v>4154</v>
      </c>
      <c r="BF880" t="s">
        <v>4281</v>
      </c>
      <c r="BG880" t="s">
        <v>4539</v>
      </c>
      <c r="BM880" t="s">
        <v>4627</v>
      </c>
    </row>
    <row r="881" spans="1:65">
      <c r="A881" s="1">
        <f>HYPERLINK("https://lsnyc.legalserver.org/matter/dynamic-profile/view/1898037","19-1898037")</f>
        <v>0</v>
      </c>
      <c r="B881" t="s">
        <v>86</v>
      </c>
      <c r="C881" t="s">
        <v>93</v>
      </c>
      <c r="D881" t="s">
        <v>428</v>
      </c>
      <c r="F881" t="s">
        <v>905</v>
      </c>
      <c r="G881" t="s">
        <v>1402</v>
      </c>
      <c r="H881" t="s">
        <v>1577</v>
      </c>
      <c r="I881" t="s">
        <v>2139</v>
      </c>
      <c r="J881" t="s">
        <v>2205</v>
      </c>
      <c r="K881">
        <v>11233</v>
      </c>
      <c r="N881" t="s">
        <v>2233</v>
      </c>
      <c r="O881" t="s">
        <v>2775</v>
      </c>
      <c r="P881" t="s">
        <v>2930</v>
      </c>
      <c r="R881">
        <v>2</v>
      </c>
      <c r="S881">
        <v>1</v>
      </c>
      <c r="T881">
        <v>178.15</v>
      </c>
      <c r="W881">
        <v>38000</v>
      </c>
      <c r="X881" t="s">
        <v>3729</v>
      </c>
      <c r="Y881">
        <v>0</v>
      </c>
      <c r="AA881" t="s">
        <v>70</v>
      </c>
      <c r="AC881" t="s">
        <v>3942</v>
      </c>
      <c r="AD881" t="s">
        <v>4035</v>
      </c>
      <c r="AF881" t="s">
        <v>4061</v>
      </c>
      <c r="AH881" t="s">
        <v>3510</v>
      </c>
      <c r="AJ881" t="s">
        <v>3942</v>
      </c>
      <c r="AL881" t="s">
        <v>4070</v>
      </c>
      <c r="AM881" t="s">
        <v>2230</v>
      </c>
      <c r="AO881">
        <v>1059</v>
      </c>
      <c r="AQ881">
        <v>359</v>
      </c>
      <c r="AS881" t="s">
        <v>4113</v>
      </c>
      <c r="AT881" t="s">
        <v>4127</v>
      </c>
      <c r="AW881">
        <v>39</v>
      </c>
      <c r="AY881" t="s">
        <v>4140</v>
      </c>
      <c r="BA881" t="s">
        <v>4149</v>
      </c>
      <c r="BB881" t="s">
        <v>4154</v>
      </c>
      <c r="BF881" t="s">
        <v>4281</v>
      </c>
      <c r="BM881" t="s">
        <v>4627</v>
      </c>
    </row>
    <row r="882" spans="1:65">
      <c r="A882" s="1">
        <f>HYPERLINK("https://lsnyc.legalserver.org/matter/dynamic-profile/view/1898030","19-1898030")</f>
        <v>0</v>
      </c>
      <c r="B882" t="s">
        <v>86</v>
      </c>
      <c r="C882" t="s">
        <v>93</v>
      </c>
      <c r="D882" t="s">
        <v>428</v>
      </c>
      <c r="F882" t="s">
        <v>905</v>
      </c>
      <c r="G882" t="s">
        <v>1402</v>
      </c>
      <c r="H882" t="s">
        <v>1577</v>
      </c>
      <c r="I882" t="s">
        <v>2139</v>
      </c>
      <c r="J882" t="s">
        <v>2205</v>
      </c>
      <c r="K882">
        <v>11233</v>
      </c>
      <c r="N882" t="s">
        <v>2233</v>
      </c>
      <c r="O882" t="s">
        <v>2775</v>
      </c>
      <c r="P882" t="s">
        <v>2930</v>
      </c>
      <c r="R882">
        <v>2</v>
      </c>
      <c r="S882">
        <v>1</v>
      </c>
      <c r="T882">
        <v>178.15</v>
      </c>
      <c r="W882">
        <v>38000</v>
      </c>
      <c r="X882" t="s">
        <v>3634</v>
      </c>
      <c r="Y882">
        <v>0</v>
      </c>
      <c r="AA882" t="s">
        <v>70</v>
      </c>
      <c r="AC882" t="s">
        <v>3942</v>
      </c>
      <c r="AD882" t="s">
        <v>3847</v>
      </c>
      <c r="AF882" t="s">
        <v>4059</v>
      </c>
      <c r="AH882" t="s">
        <v>4078</v>
      </c>
      <c r="AJ882" t="s">
        <v>3942</v>
      </c>
      <c r="AL882" t="s">
        <v>4070</v>
      </c>
      <c r="AM882" t="s">
        <v>2230</v>
      </c>
      <c r="AO882">
        <v>1059</v>
      </c>
      <c r="AQ882">
        <v>359</v>
      </c>
      <c r="AS882" t="s">
        <v>4113</v>
      </c>
      <c r="AT882" t="s">
        <v>4127</v>
      </c>
      <c r="AW882">
        <v>39</v>
      </c>
      <c r="AY882" t="s">
        <v>4140</v>
      </c>
      <c r="BA882" t="s">
        <v>4149</v>
      </c>
      <c r="BB882" t="s">
        <v>4154</v>
      </c>
      <c r="BF882" t="s">
        <v>4281</v>
      </c>
      <c r="BG882" t="s">
        <v>4539</v>
      </c>
      <c r="BM882" t="s">
        <v>4627</v>
      </c>
    </row>
    <row r="883" spans="1:65">
      <c r="A883" s="1">
        <f>HYPERLINK("https://lsnyc.legalserver.org/matter/dynamic-profile/view/1898960","19-1898960")</f>
        <v>0</v>
      </c>
      <c r="B883" t="s">
        <v>86</v>
      </c>
      <c r="C883" t="s">
        <v>93</v>
      </c>
      <c r="D883" t="s">
        <v>199</v>
      </c>
      <c r="F883" t="s">
        <v>906</v>
      </c>
      <c r="G883" t="s">
        <v>1444</v>
      </c>
      <c r="H883" t="s">
        <v>1577</v>
      </c>
      <c r="I883" t="s">
        <v>2140</v>
      </c>
      <c r="J883" t="s">
        <v>2205</v>
      </c>
      <c r="K883">
        <v>11233</v>
      </c>
      <c r="N883" t="s">
        <v>2233</v>
      </c>
      <c r="O883" t="s">
        <v>2776</v>
      </c>
      <c r="P883" t="s">
        <v>2930</v>
      </c>
      <c r="R883">
        <v>2</v>
      </c>
      <c r="S883">
        <v>0</v>
      </c>
      <c r="T883">
        <v>97.5</v>
      </c>
      <c r="W883">
        <v>16488</v>
      </c>
      <c r="X883" t="s">
        <v>3730</v>
      </c>
      <c r="Y883">
        <v>0</v>
      </c>
      <c r="AA883" t="s">
        <v>70</v>
      </c>
      <c r="AC883" t="s">
        <v>3942</v>
      </c>
      <c r="AD883" t="s">
        <v>4035</v>
      </c>
      <c r="AF883" t="s">
        <v>4061</v>
      </c>
      <c r="AH883" t="s">
        <v>3510</v>
      </c>
      <c r="AJ883" t="s">
        <v>3942</v>
      </c>
      <c r="AL883" t="s">
        <v>4070</v>
      </c>
      <c r="AM883" t="s">
        <v>2230</v>
      </c>
      <c r="AO883">
        <v>1041.4</v>
      </c>
      <c r="AQ883">
        <v>359</v>
      </c>
      <c r="AS883" t="s">
        <v>4113</v>
      </c>
      <c r="AT883" t="s">
        <v>4127</v>
      </c>
      <c r="AW883">
        <v>18</v>
      </c>
      <c r="AY883" t="s">
        <v>4140</v>
      </c>
      <c r="BA883" t="s">
        <v>4149</v>
      </c>
      <c r="BB883" t="s">
        <v>4154</v>
      </c>
      <c r="BC883" t="s">
        <v>4128</v>
      </c>
      <c r="BF883" t="s">
        <v>4281</v>
      </c>
      <c r="BM883" t="s">
        <v>4627</v>
      </c>
    </row>
    <row r="884" spans="1:65">
      <c r="A884" s="1">
        <f>HYPERLINK("https://lsnyc.legalserver.org/matter/dynamic-profile/view/1892508","19-1892508")</f>
        <v>0</v>
      </c>
      <c r="B884" t="s">
        <v>86</v>
      </c>
      <c r="C884" t="s">
        <v>93</v>
      </c>
      <c r="D884" t="s">
        <v>408</v>
      </c>
      <c r="F884" t="s">
        <v>544</v>
      </c>
      <c r="G884" t="s">
        <v>1021</v>
      </c>
      <c r="H884" t="s">
        <v>1577</v>
      </c>
      <c r="I884" t="s">
        <v>2141</v>
      </c>
      <c r="J884" t="s">
        <v>2205</v>
      </c>
      <c r="K884">
        <v>11233</v>
      </c>
      <c r="N884" t="s">
        <v>2233</v>
      </c>
      <c r="O884" t="s">
        <v>2777</v>
      </c>
      <c r="P884" t="s">
        <v>2930</v>
      </c>
      <c r="R884">
        <v>2</v>
      </c>
      <c r="S884">
        <v>1</v>
      </c>
      <c r="T884">
        <v>171.84</v>
      </c>
      <c r="W884">
        <v>36653</v>
      </c>
      <c r="X884" t="s">
        <v>3731</v>
      </c>
      <c r="Y884">
        <v>0</v>
      </c>
      <c r="AA884" t="s">
        <v>70</v>
      </c>
      <c r="AC884" t="s">
        <v>3942</v>
      </c>
      <c r="AD884" t="s">
        <v>4035</v>
      </c>
      <c r="AF884" t="s">
        <v>4061</v>
      </c>
      <c r="AH884" t="s">
        <v>3510</v>
      </c>
      <c r="AJ884" t="s">
        <v>3942</v>
      </c>
      <c r="AL884" t="s">
        <v>4070</v>
      </c>
      <c r="AM884" t="s">
        <v>2230</v>
      </c>
      <c r="AO884">
        <v>986</v>
      </c>
      <c r="AQ884">
        <v>359</v>
      </c>
      <c r="AS884" t="s">
        <v>4113</v>
      </c>
      <c r="AU884" t="s">
        <v>4128</v>
      </c>
      <c r="AW884">
        <v>16</v>
      </c>
      <c r="AY884" t="s">
        <v>4140</v>
      </c>
      <c r="BA884" t="s">
        <v>4149</v>
      </c>
      <c r="BB884" t="s">
        <v>4154</v>
      </c>
      <c r="BC884" t="s">
        <v>4128</v>
      </c>
      <c r="BE884" t="s">
        <v>4159</v>
      </c>
      <c r="BF884" t="s">
        <v>4281</v>
      </c>
      <c r="BG884" t="s">
        <v>4128</v>
      </c>
      <c r="BM884" t="s">
        <v>4627</v>
      </c>
    </row>
    <row r="885" spans="1:65">
      <c r="A885" s="1">
        <f>HYPERLINK("https://lsnyc.legalserver.org/matter/dynamic-profile/view/1892505","19-1892505")</f>
        <v>0</v>
      </c>
      <c r="B885" t="s">
        <v>86</v>
      </c>
      <c r="C885" t="s">
        <v>93</v>
      </c>
      <c r="D885" t="s">
        <v>408</v>
      </c>
      <c r="F885" t="s">
        <v>544</v>
      </c>
      <c r="G885" t="s">
        <v>1021</v>
      </c>
      <c r="H885" t="s">
        <v>1577</v>
      </c>
      <c r="I885" t="s">
        <v>2141</v>
      </c>
      <c r="J885" t="s">
        <v>2205</v>
      </c>
      <c r="K885">
        <v>11233</v>
      </c>
      <c r="N885" t="s">
        <v>2233</v>
      </c>
      <c r="O885" t="s">
        <v>2777</v>
      </c>
      <c r="P885" t="s">
        <v>2930</v>
      </c>
      <c r="R885">
        <v>2</v>
      </c>
      <c r="S885">
        <v>1</v>
      </c>
      <c r="T885">
        <v>171.84</v>
      </c>
      <c r="W885">
        <v>36653</v>
      </c>
      <c r="X885" t="s">
        <v>3634</v>
      </c>
      <c r="Y885">
        <v>0</v>
      </c>
      <c r="AA885" t="s">
        <v>70</v>
      </c>
      <c r="AC885" t="s">
        <v>3942</v>
      </c>
      <c r="AD885" t="s">
        <v>3847</v>
      </c>
      <c r="AF885" t="s">
        <v>4059</v>
      </c>
      <c r="AH885" t="s">
        <v>4078</v>
      </c>
      <c r="AJ885" t="s">
        <v>3942</v>
      </c>
      <c r="AL885" t="s">
        <v>4070</v>
      </c>
      <c r="AM885" t="s">
        <v>2230</v>
      </c>
      <c r="AO885">
        <v>986</v>
      </c>
      <c r="AQ885">
        <v>359</v>
      </c>
      <c r="AS885" t="s">
        <v>4113</v>
      </c>
      <c r="AU885" t="s">
        <v>4128</v>
      </c>
      <c r="AW885">
        <v>16</v>
      </c>
      <c r="AY885" t="s">
        <v>4140</v>
      </c>
      <c r="BA885" t="s">
        <v>4149</v>
      </c>
      <c r="BB885" t="s">
        <v>4154</v>
      </c>
      <c r="BC885" t="s">
        <v>4128</v>
      </c>
      <c r="BE885" t="s">
        <v>4159</v>
      </c>
      <c r="BF885" t="s">
        <v>4281</v>
      </c>
      <c r="BG885" t="s">
        <v>4539</v>
      </c>
      <c r="BM885" t="s">
        <v>4627</v>
      </c>
    </row>
    <row r="886" spans="1:65">
      <c r="A886" s="1">
        <f>HYPERLINK("https://lsnyc.legalserver.org/matter/dynamic-profile/view/1892080","19-1892080")</f>
        <v>0</v>
      </c>
      <c r="B886" t="s">
        <v>86</v>
      </c>
      <c r="C886" t="s">
        <v>93</v>
      </c>
      <c r="D886" t="s">
        <v>411</v>
      </c>
      <c r="F886" t="s">
        <v>694</v>
      </c>
      <c r="G886" t="s">
        <v>1445</v>
      </c>
      <c r="H886" t="s">
        <v>1828</v>
      </c>
      <c r="I886" t="s">
        <v>2119</v>
      </c>
      <c r="J886" t="s">
        <v>2205</v>
      </c>
      <c r="K886">
        <v>11233</v>
      </c>
      <c r="N886" t="s">
        <v>2233</v>
      </c>
      <c r="O886" t="s">
        <v>2778</v>
      </c>
      <c r="P886" t="s">
        <v>2930</v>
      </c>
      <c r="R886">
        <v>1</v>
      </c>
      <c r="S886">
        <v>0</v>
      </c>
      <c r="T886">
        <v>113.66</v>
      </c>
      <c r="W886">
        <v>14196</v>
      </c>
      <c r="X886" t="s">
        <v>3635</v>
      </c>
      <c r="Y886">
        <v>0</v>
      </c>
      <c r="AA886" t="s">
        <v>70</v>
      </c>
      <c r="AC886" t="s">
        <v>3942</v>
      </c>
      <c r="AD886" t="s">
        <v>3847</v>
      </c>
      <c r="AF886" t="s">
        <v>4059</v>
      </c>
      <c r="AH886" t="s">
        <v>4078</v>
      </c>
      <c r="AJ886" t="s">
        <v>3942</v>
      </c>
      <c r="AL886" t="s">
        <v>4070</v>
      </c>
      <c r="AM886" t="s">
        <v>2230</v>
      </c>
      <c r="AO886">
        <v>1150</v>
      </c>
      <c r="AQ886">
        <v>359</v>
      </c>
      <c r="AS886" t="s">
        <v>4113</v>
      </c>
      <c r="AT886" t="s">
        <v>4127</v>
      </c>
      <c r="AW886">
        <v>45</v>
      </c>
      <c r="AY886" t="s">
        <v>4140</v>
      </c>
      <c r="BA886" t="s">
        <v>4149</v>
      </c>
      <c r="BB886" t="s">
        <v>4154</v>
      </c>
      <c r="BF886" t="s">
        <v>4281</v>
      </c>
      <c r="BG886" t="s">
        <v>4539</v>
      </c>
      <c r="BM886" t="s">
        <v>4627</v>
      </c>
    </row>
    <row r="887" spans="1:65">
      <c r="A887" s="1">
        <f>HYPERLINK("https://lsnyc.legalserver.org/matter/dynamic-profile/view/1891604","19-1891604")</f>
        <v>0</v>
      </c>
      <c r="B887" t="s">
        <v>86</v>
      </c>
      <c r="C887" t="s">
        <v>93</v>
      </c>
      <c r="D887" t="s">
        <v>410</v>
      </c>
      <c r="F887" t="s">
        <v>907</v>
      </c>
      <c r="G887" t="s">
        <v>1446</v>
      </c>
      <c r="H887" t="s">
        <v>1577</v>
      </c>
      <c r="I887" t="s">
        <v>2039</v>
      </c>
      <c r="J887" t="s">
        <v>2205</v>
      </c>
      <c r="K887">
        <v>11233</v>
      </c>
      <c r="N887" t="s">
        <v>2233</v>
      </c>
      <c r="O887" t="s">
        <v>2779</v>
      </c>
      <c r="P887" t="s">
        <v>2930</v>
      </c>
      <c r="R887">
        <v>1</v>
      </c>
      <c r="S887">
        <v>2</v>
      </c>
      <c r="T887">
        <v>97.52</v>
      </c>
      <c r="W887">
        <v>20800</v>
      </c>
      <c r="X887" t="s">
        <v>3627</v>
      </c>
      <c r="Y887">
        <v>0</v>
      </c>
      <c r="AA887" t="s">
        <v>90</v>
      </c>
      <c r="AC887" t="s">
        <v>3942</v>
      </c>
      <c r="AD887" t="s">
        <v>3847</v>
      </c>
      <c r="AF887" t="s">
        <v>4059</v>
      </c>
      <c r="AH887" t="s">
        <v>4078</v>
      </c>
      <c r="AJ887" t="s">
        <v>3942</v>
      </c>
      <c r="AK887" t="s">
        <v>4084</v>
      </c>
      <c r="AM887" t="s">
        <v>2230</v>
      </c>
      <c r="AO887">
        <v>820</v>
      </c>
      <c r="AQ887">
        <v>359</v>
      </c>
      <c r="AS887" t="s">
        <v>4113</v>
      </c>
      <c r="AT887" t="s">
        <v>4127</v>
      </c>
      <c r="AW887">
        <v>6</v>
      </c>
      <c r="AY887" t="s">
        <v>4140</v>
      </c>
      <c r="BA887" t="s">
        <v>4149</v>
      </c>
      <c r="BB887" t="s">
        <v>4154</v>
      </c>
      <c r="BF887" t="s">
        <v>4281</v>
      </c>
      <c r="BG887" t="s">
        <v>4539</v>
      </c>
      <c r="BM887" t="s">
        <v>4627</v>
      </c>
    </row>
    <row r="888" spans="1:65">
      <c r="A888" s="1">
        <f>HYPERLINK("https://lsnyc.legalserver.org/matter/dynamic-profile/view/1891606","19-1891606")</f>
        <v>0</v>
      </c>
      <c r="B888" t="s">
        <v>86</v>
      </c>
      <c r="C888" t="s">
        <v>93</v>
      </c>
      <c r="D888" t="s">
        <v>410</v>
      </c>
      <c r="F888" t="s">
        <v>907</v>
      </c>
      <c r="G888" t="s">
        <v>1446</v>
      </c>
      <c r="H888" t="s">
        <v>1577</v>
      </c>
      <c r="I888" t="s">
        <v>2039</v>
      </c>
      <c r="J888" t="s">
        <v>2205</v>
      </c>
      <c r="K888">
        <v>11233</v>
      </c>
      <c r="N888" t="s">
        <v>2233</v>
      </c>
      <c r="O888" t="s">
        <v>2779</v>
      </c>
      <c r="P888" t="s">
        <v>2930</v>
      </c>
      <c r="R888">
        <v>1</v>
      </c>
      <c r="S888">
        <v>2</v>
      </c>
      <c r="T888">
        <v>97.52</v>
      </c>
      <c r="W888">
        <v>20800</v>
      </c>
      <c r="X888" t="s">
        <v>3732</v>
      </c>
      <c r="Y888">
        <v>0</v>
      </c>
      <c r="AA888" t="s">
        <v>90</v>
      </c>
      <c r="AC888" t="s">
        <v>3942</v>
      </c>
      <c r="AD888" t="s">
        <v>4035</v>
      </c>
      <c r="AF888" t="s">
        <v>4061</v>
      </c>
      <c r="AH888" t="s">
        <v>3510</v>
      </c>
      <c r="AJ888" t="s">
        <v>3942</v>
      </c>
      <c r="AK888" t="s">
        <v>4084</v>
      </c>
      <c r="AM888" t="s">
        <v>2230</v>
      </c>
      <c r="AO888">
        <v>820</v>
      </c>
      <c r="AQ888">
        <v>359</v>
      </c>
      <c r="AS888" t="s">
        <v>4113</v>
      </c>
      <c r="AT888" t="s">
        <v>4127</v>
      </c>
      <c r="AW888">
        <v>6</v>
      </c>
      <c r="AY888" t="s">
        <v>4140</v>
      </c>
      <c r="BA888" t="s">
        <v>4149</v>
      </c>
      <c r="BB888" t="s">
        <v>4154</v>
      </c>
      <c r="BF888" t="s">
        <v>4281</v>
      </c>
      <c r="BG888" t="s">
        <v>4128</v>
      </c>
      <c r="BM888" t="s">
        <v>4627</v>
      </c>
    </row>
    <row r="889" spans="1:65">
      <c r="A889" s="1">
        <f>HYPERLINK("https://lsnyc.legalserver.org/matter/dynamic-profile/view/1891621","19-1891621")</f>
        <v>0</v>
      </c>
      <c r="B889" t="s">
        <v>86</v>
      </c>
      <c r="C889" t="s">
        <v>93</v>
      </c>
      <c r="D889" t="s">
        <v>410</v>
      </c>
      <c r="F889" t="s">
        <v>651</v>
      </c>
      <c r="G889" t="s">
        <v>972</v>
      </c>
      <c r="H889" t="s">
        <v>1633</v>
      </c>
      <c r="I889" t="s">
        <v>2001</v>
      </c>
      <c r="J889" t="s">
        <v>2205</v>
      </c>
      <c r="K889">
        <v>11233</v>
      </c>
      <c r="N889" t="s">
        <v>2233</v>
      </c>
      <c r="O889" t="s">
        <v>2780</v>
      </c>
      <c r="P889" t="s">
        <v>2930</v>
      </c>
      <c r="R889">
        <v>2</v>
      </c>
      <c r="S889">
        <v>0</v>
      </c>
      <c r="T889">
        <v>543.35</v>
      </c>
      <c r="W889">
        <v>91879.89999999999</v>
      </c>
      <c r="X889" t="s">
        <v>3733</v>
      </c>
      <c r="Y889">
        <v>0</v>
      </c>
      <c r="AA889" t="s">
        <v>70</v>
      </c>
      <c r="AC889" t="s">
        <v>3942</v>
      </c>
      <c r="AD889" t="s">
        <v>3847</v>
      </c>
      <c r="AF889" t="s">
        <v>4061</v>
      </c>
      <c r="AH889" t="s">
        <v>3510</v>
      </c>
      <c r="AJ889" t="s">
        <v>3942</v>
      </c>
      <c r="AL889" t="s">
        <v>4070</v>
      </c>
      <c r="AM889" t="s">
        <v>2230</v>
      </c>
      <c r="AO889">
        <v>776.46</v>
      </c>
      <c r="AQ889">
        <v>359</v>
      </c>
      <c r="AS889" t="s">
        <v>4113</v>
      </c>
      <c r="AU889" t="s">
        <v>4128</v>
      </c>
      <c r="AW889">
        <v>2</v>
      </c>
      <c r="AY889" t="s">
        <v>4140</v>
      </c>
      <c r="BA889" t="s">
        <v>4149</v>
      </c>
      <c r="BB889" t="s">
        <v>4154</v>
      </c>
      <c r="BC889" t="s">
        <v>4128</v>
      </c>
      <c r="BE889" t="s">
        <v>4128</v>
      </c>
      <c r="BF889" t="s">
        <v>4281</v>
      </c>
      <c r="BM889" t="s">
        <v>4627</v>
      </c>
    </row>
    <row r="890" spans="1:65">
      <c r="A890" s="1">
        <f>HYPERLINK("https://lsnyc.legalserver.org/matter/dynamic-profile/view/1891458","19-1891458")</f>
        <v>0</v>
      </c>
      <c r="B890" t="s">
        <v>86</v>
      </c>
      <c r="C890" t="s">
        <v>93</v>
      </c>
      <c r="D890" t="s">
        <v>407</v>
      </c>
      <c r="F890" t="s">
        <v>897</v>
      </c>
      <c r="G890" t="s">
        <v>1431</v>
      </c>
      <c r="H890" t="s">
        <v>1633</v>
      </c>
      <c r="I890" t="s">
        <v>2127</v>
      </c>
      <c r="J890" t="s">
        <v>2205</v>
      </c>
      <c r="K890">
        <v>11233</v>
      </c>
      <c r="N890" t="s">
        <v>2233</v>
      </c>
      <c r="O890" t="s">
        <v>2759</v>
      </c>
      <c r="P890" t="s">
        <v>2930</v>
      </c>
      <c r="R890">
        <v>3</v>
      </c>
      <c r="S890">
        <v>0</v>
      </c>
      <c r="T890">
        <v>909.52</v>
      </c>
      <c r="W890">
        <v>194000</v>
      </c>
      <c r="X890" t="s">
        <v>3734</v>
      </c>
      <c r="Y890">
        <v>0</v>
      </c>
      <c r="AA890" t="s">
        <v>70</v>
      </c>
      <c r="AC890" t="s">
        <v>3942</v>
      </c>
      <c r="AD890" t="s">
        <v>4035</v>
      </c>
      <c r="AF890" t="s">
        <v>4061</v>
      </c>
      <c r="AH890" t="s">
        <v>3510</v>
      </c>
      <c r="AJ890" t="s">
        <v>3942</v>
      </c>
      <c r="AL890" t="s">
        <v>4089</v>
      </c>
      <c r="AM890" t="s">
        <v>2230</v>
      </c>
      <c r="AN890" t="s">
        <v>4107</v>
      </c>
      <c r="AO890">
        <v>0</v>
      </c>
      <c r="AQ890">
        <v>764</v>
      </c>
      <c r="AS890" t="s">
        <v>4113</v>
      </c>
      <c r="AU890" t="s">
        <v>4128</v>
      </c>
      <c r="AV890" t="s">
        <v>4137</v>
      </c>
      <c r="AW890">
        <v>0</v>
      </c>
      <c r="AY890" t="s">
        <v>4140</v>
      </c>
      <c r="BA890" t="s">
        <v>4149</v>
      </c>
      <c r="BB890" t="s">
        <v>4154</v>
      </c>
      <c r="BF890" t="s">
        <v>4281</v>
      </c>
      <c r="BM890" t="s">
        <v>4627</v>
      </c>
    </row>
    <row r="891" spans="1:65">
      <c r="A891" s="1">
        <f>HYPERLINK("https://lsnyc.legalserver.org/matter/dynamic-profile/view/1891718","19-1891718")</f>
        <v>0</v>
      </c>
      <c r="B891" t="s">
        <v>86</v>
      </c>
      <c r="C891" t="s">
        <v>93</v>
      </c>
      <c r="D891" t="s">
        <v>410</v>
      </c>
      <c r="F891" t="s">
        <v>908</v>
      </c>
      <c r="G891" t="s">
        <v>1447</v>
      </c>
      <c r="H891" t="s">
        <v>1577</v>
      </c>
      <c r="I891" t="s">
        <v>2142</v>
      </c>
      <c r="J891" t="s">
        <v>2205</v>
      </c>
      <c r="K891">
        <v>11233</v>
      </c>
      <c r="N891" t="s">
        <v>2233</v>
      </c>
      <c r="O891" t="s">
        <v>2781</v>
      </c>
      <c r="Q891" t="s">
        <v>3336</v>
      </c>
      <c r="R891">
        <v>5</v>
      </c>
      <c r="S891">
        <v>0</v>
      </c>
      <c r="T891">
        <v>169.71</v>
      </c>
      <c r="W891">
        <v>51200</v>
      </c>
      <c r="X891" t="s">
        <v>3735</v>
      </c>
      <c r="Y891">
        <v>0</v>
      </c>
      <c r="AA891" t="s">
        <v>90</v>
      </c>
      <c r="AC891" t="s">
        <v>3942</v>
      </c>
      <c r="AD891" t="s">
        <v>4035</v>
      </c>
      <c r="AF891" t="s">
        <v>4061</v>
      </c>
      <c r="AH891" t="s">
        <v>3510</v>
      </c>
      <c r="AJ891" t="s">
        <v>3942</v>
      </c>
      <c r="AK891" t="s">
        <v>4084</v>
      </c>
      <c r="AM891" t="s">
        <v>2230</v>
      </c>
      <c r="AO891">
        <v>1353.11</v>
      </c>
      <c r="AQ891">
        <v>359</v>
      </c>
      <c r="AS891" t="s">
        <v>4113</v>
      </c>
      <c r="AU891" t="s">
        <v>4128</v>
      </c>
      <c r="AW891">
        <v>24</v>
      </c>
      <c r="AY891" t="s">
        <v>4140</v>
      </c>
      <c r="BA891" t="s">
        <v>4149</v>
      </c>
      <c r="BB891" t="s">
        <v>4154</v>
      </c>
      <c r="BF891" t="s">
        <v>4281</v>
      </c>
      <c r="BG891" t="s">
        <v>4159</v>
      </c>
      <c r="BM891" t="s">
        <v>4627</v>
      </c>
    </row>
    <row r="892" spans="1:65">
      <c r="A892" s="1">
        <f>HYPERLINK("https://lsnyc.legalserver.org/matter/dynamic-profile/view/1890634","19-1890634")</f>
        <v>0</v>
      </c>
      <c r="B892" t="s">
        <v>86</v>
      </c>
      <c r="C892" t="s">
        <v>93</v>
      </c>
      <c r="D892" t="s">
        <v>414</v>
      </c>
      <c r="F892" t="s">
        <v>651</v>
      </c>
      <c r="G892" t="s">
        <v>972</v>
      </c>
      <c r="H892" t="s">
        <v>1633</v>
      </c>
      <c r="I892" t="s">
        <v>2001</v>
      </c>
      <c r="J892" t="s">
        <v>2205</v>
      </c>
      <c r="K892">
        <v>11233</v>
      </c>
      <c r="N892" t="s">
        <v>2233</v>
      </c>
      <c r="O892" t="s">
        <v>2780</v>
      </c>
      <c r="P892" t="s">
        <v>2930</v>
      </c>
      <c r="R892">
        <v>2</v>
      </c>
      <c r="S892">
        <v>0</v>
      </c>
      <c r="T892">
        <v>543.35</v>
      </c>
      <c r="W892">
        <v>91879.89999999999</v>
      </c>
      <c r="X892" t="s">
        <v>3736</v>
      </c>
      <c r="Y892">
        <v>0</v>
      </c>
      <c r="AA892" t="s">
        <v>70</v>
      </c>
      <c r="AC892" t="s">
        <v>3942</v>
      </c>
      <c r="AD892" t="s">
        <v>3847</v>
      </c>
      <c r="AF892" t="s">
        <v>4059</v>
      </c>
      <c r="AH892" t="s">
        <v>4078</v>
      </c>
      <c r="AJ892" t="s">
        <v>3942</v>
      </c>
      <c r="AL892" t="s">
        <v>4070</v>
      </c>
      <c r="AM892" t="s">
        <v>2230</v>
      </c>
      <c r="AO892">
        <v>776.46</v>
      </c>
      <c r="AQ892">
        <v>359</v>
      </c>
      <c r="AS892" t="s">
        <v>4113</v>
      </c>
      <c r="AU892" t="s">
        <v>4128</v>
      </c>
      <c r="AW892">
        <v>2</v>
      </c>
      <c r="AY892" t="s">
        <v>4140</v>
      </c>
      <c r="BA892" t="s">
        <v>4149</v>
      </c>
      <c r="BB892" t="s">
        <v>4154</v>
      </c>
      <c r="BC892" t="s">
        <v>4128</v>
      </c>
      <c r="BF892" t="s">
        <v>4281</v>
      </c>
      <c r="BG892" t="s">
        <v>4538</v>
      </c>
      <c r="BM892" t="s">
        <v>4627</v>
      </c>
    </row>
    <row r="893" spans="1:65">
      <c r="A893" s="1">
        <f>HYPERLINK("https://lsnyc.legalserver.org/matter/dynamic-profile/view/1902048","19-1902048")</f>
        <v>0</v>
      </c>
      <c r="B893" t="s">
        <v>86</v>
      </c>
      <c r="C893" t="s">
        <v>93</v>
      </c>
      <c r="D893" t="s">
        <v>240</v>
      </c>
      <c r="F893" t="s">
        <v>909</v>
      </c>
      <c r="G893" t="s">
        <v>1448</v>
      </c>
      <c r="H893" t="s">
        <v>1577</v>
      </c>
      <c r="I893" t="s">
        <v>2143</v>
      </c>
      <c r="J893" t="s">
        <v>2205</v>
      </c>
      <c r="K893">
        <v>11233</v>
      </c>
      <c r="N893" t="s">
        <v>2233</v>
      </c>
      <c r="O893" t="s">
        <v>2782</v>
      </c>
      <c r="P893" t="s">
        <v>2930</v>
      </c>
      <c r="R893">
        <v>1</v>
      </c>
      <c r="S893">
        <v>2</v>
      </c>
      <c r="T893">
        <v>164.09</v>
      </c>
      <c r="W893">
        <v>35000</v>
      </c>
      <c r="X893" t="s">
        <v>3737</v>
      </c>
      <c r="Y893">
        <v>0</v>
      </c>
      <c r="AA893" t="s">
        <v>70</v>
      </c>
      <c r="AC893" t="s">
        <v>3942</v>
      </c>
      <c r="AD893" t="s">
        <v>3847</v>
      </c>
      <c r="AF893" t="s">
        <v>4059</v>
      </c>
      <c r="AH893" t="s">
        <v>4078</v>
      </c>
      <c r="AJ893" t="s">
        <v>3942</v>
      </c>
      <c r="AL893" t="s">
        <v>4070</v>
      </c>
      <c r="AM893" t="s">
        <v>2230</v>
      </c>
      <c r="AO893">
        <v>787</v>
      </c>
      <c r="AQ893">
        <v>359</v>
      </c>
      <c r="AS893" t="s">
        <v>4113</v>
      </c>
      <c r="AT893" t="s">
        <v>4127</v>
      </c>
      <c r="AW893">
        <v>10</v>
      </c>
      <c r="AY893" t="s">
        <v>4140</v>
      </c>
      <c r="BA893" t="s">
        <v>4149</v>
      </c>
      <c r="BB893" t="s">
        <v>4154</v>
      </c>
      <c r="BC893" t="s">
        <v>4128</v>
      </c>
      <c r="BF893" t="s">
        <v>4281</v>
      </c>
      <c r="BG893" t="s">
        <v>4539</v>
      </c>
      <c r="BM893" t="s">
        <v>4627</v>
      </c>
    </row>
    <row r="894" spans="1:65">
      <c r="A894" s="1">
        <f>HYPERLINK("https://lsnyc.legalserver.org/matter/dynamic-profile/view/1898826","19-1898826")</f>
        <v>0</v>
      </c>
      <c r="B894" t="s">
        <v>86</v>
      </c>
      <c r="C894" t="s">
        <v>93</v>
      </c>
      <c r="D894" t="s">
        <v>195</v>
      </c>
      <c r="F894" t="s">
        <v>625</v>
      </c>
      <c r="G894" t="s">
        <v>1449</v>
      </c>
      <c r="H894" t="s">
        <v>1829</v>
      </c>
      <c r="I894" t="s">
        <v>2144</v>
      </c>
      <c r="J894" t="s">
        <v>2205</v>
      </c>
      <c r="K894">
        <v>11233</v>
      </c>
      <c r="N894" t="s">
        <v>2233</v>
      </c>
      <c r="O894" t="s">
        <v>2783</v>
      </c>
      <c r="P894" t="s">
        <v>2930</v>
      </c>
      <c r="R894">
        <v>1</v>
      </c>
      <c r="S894">
        <v>0</v>
      </c>
      <c r="T894">
        <v>511.84</v>
      </c>
      <c r="W894">
        <v>63929</v>
      </c>
      <c r="X894" t="s">
        <v>3624</v>
      </c>
      <c r="Y894">
        <v>0</v>
      </c>
      <c r="AA894" t="s">
        <v>70</v>
      </c>
      <c r="AC894" t="s">
        <v>3942</v>
      </c>
      <c r="AD894" t="s">
        <v>3847</v>
      </c>
      <c r="AF894" t="s">
        <v>4059</v>
      </c>
      <c r="AH894" t="s">
        <v>4078</v>
      </c>
      <c r="AJ894" t="s">
        <v>3942</v>
      </c>
      <c r="AL894" t="s">
        <v>4070</v>
      </c>
      <c r="AM894" t="s">
        <v>2230</v>
      </c>
      <c r="AO894">
        <v>950</v>
      </c>
      <c r="AQ894">
        <v>359</v>
      </c>
      <c r="AS894" t="s">
        <v>4113</v>
      </c>
      <c r="AT894" t="s">
        <v>4127</v>
      </c>
      <c r="AW894">
        <v>9</v>
      </c>
      <c r="AY894" t="s">
        <v>4140</v>
      </c>
      <c r="BA894" t="s">
        <v>4149</v>
      </c>
      <c r="BB894" t="s">
        <v>4154</v>
      </c>
      <c r="BF894" t="s">
        <v>4281</v>
      </c>
      <c r="BG894" t="s">
        <v>4538</v>
      </c>
      <c r="BM894" t="s">
        <v>4627</v>
      </c>
    </row>
    <row r="895" spans="1:65">
      <c r="A895" s="1">
        <f>HYPERLINK("https://lsnyc.legalserver.org/matter/dynamic-profile/view/1891715","19-1891715")</f>
        <v>0</v>
      </c>
      <c r="B895" t="s">
        <v>86</v>
      </c>
      <c r="C895" t="s">
        <v>93</v>
      </c>
      <c r="D895" t="s">
        <v>410</v>
      </c>
      <c r="F895" t="s">
        <v>910</v>
      </c>
      <c r="G895" t="s">
        <v>1226</v>
      </c>
      <c r="H895" t="s">
        <v>1828</v>
      </c>
      <c r="I895" t="s">
        <v>2145</v>
      </c>
      <c r="J895" t="s">
        <v>2205</v>
      </c>
      <c r="K895">
        <v>11233</v>
      </c>
      <c r="N895" t="s">
        <v>2233</v>
      </c>
      <c r="O895" t="s">
        <v>2686</v>
      </c>
      <c r="Q895" t="s">
        <v>3337</v>
      </c>
      <c r="R895">
        <v>1</v>
      </c>
      <c r="S895">
        <v>0</v>
      </c>
      <c r="T895">
        <v>168.13</v>
      </c>
      <c r="W895">
        <v>21000</v>
      </c>
      <c r="X895" t="s">
        <v>3738</v>
      </c>
      <c r="Y895">
        <v>0</v>
      </c>
      <c r="AA895" t="s">
        <v>90</v>
      </c>
      <c r="AC895" t="s">
        <v>3942</v>
      </c>
      <c r="AD895" t="s">
        <v>4035</v>
      </c>
      <c r="AF895" t="s">
        <v>4061</v>
      </c>
      <c r="AH895" t="s">
        <v>3510</v>
      </c>
      <c r="AJ895" t="s">
        <v>3942</v>
      </c>
      <c r="AK895" t="s">
        <v>4084</v>
      </c>
      <c r="AM895" t="s">
        <v>2230</v>
      </c>
      <c r="AO895">
        <v>446</v>
      </c>
      <c r="AQ895">
        <v>359</v>
      </c>
      <c r="AS895" t="s">
        <v>4113</v>
      </c>
      <c r="AU895" t="s">
        <v>4129</v>
      </c>
      <c r="AV895" t="s">
        <v>4137</v>
      </c>
      <c r="AW895">
        <v>0</v>
      </c>
      <c r="AY895" t="s">
        <v>4140</v>
      </c>
      <c r="BA895" t="s">
        <v>4149</v>
      </c>
      <c r="BB895" t="s">
        <v>4154</v>
      </c>
      <c r="BF895" t="s">
        <v>4281</v>
      </c>
      <c r="BG895" t="s">
        <v>4159</v>
      </c>
      <c r="BM895" t="s">
        <v>4627</v>
      </c>
    </row>
    <row r="896" spans="1:65">
      <c r="A896" s="1">
        <f>HYPERLINK("https://lsnyc.legalserver.org/matter/dynamic-profile/view/1907897","19-1907897")</f>
        <v>0</v>
      </c>
      <c r="B896" t="s">
        <v>86</v>
      </c>
      <c r="C896" t="s">
        <v>93</v>
      </c>
      <c r="D896" t="s">
        <v>429</v>
      </c>
      <c r="F896" t="s">
        <v>911</v>
      </c>
      <c r="G896" t="s">
        <v>1450</v>
      </c>
      <c r="H896" t="s">
        <v>1836</v>
      </c>
      <c r="I896" t="s">
        <v>1927</v>
      </c>
      <c r="J896" t="s">
        <v>2205</v>
      </c>
      <c r="K896">
        <v>11233</v>
      </c>
      <c r="N896" t="s">
        <v>2233</v>
      </c>
      <c r="O896" t="s">
        <v>2784</v>
      </c>
      <c r="Q896" t="s">
        <v>3338</v>
      </c>
      <c r="R896">
        <v>2</v>
      </c>
      <c r="S896">
        <v>2</v>
      </c>
      <c r="T896">
        <v>166.99</v>
      </c>
      <c r="W896">
        <v>43000</v>
      </c>
      <c r="Y896">
        <v>1.6</v>
      </c>
      <c r="Z896" t="s">
        <v>3843</v>
      </c>
      <c r="AA896" t="s">
        <v>86</v>
      </c>
      <c r="AC896" t="s">
        <v>3942</v>
      </c>
      <c r="AD896" t="s">
        <v>429</v>
      </c>
      <c r="AF896" t="s">
        <v>4061</v>
      </c>
      <c r="AH896" t="s">
        <v>3510</v>
      </c>
      <c r="AJ896" t="s">
        <v>3943</v>
      </c>
      <c r="AL896" t="s">
        <v>4086</v>
      </c>
      <c r="AM896" t="s">
        <v>2230</v>
      </c>
      <c r="AO896">
        <v>482.02</v>
      </c>
      <c r="AQ896">
        <v>8</v>
      </c>
      <c r="AS896" t="s">
        <v>4121</v>
      </c>
      <c r="AT896" t="s">
        <v>4127</v>
      </c>
      <c r="AW896">
        <v>13</v>
      </c>
      <c r="AY896" t="s">
        <v>4140</v>
      </c>
      <c r="BA896" t="s">
        <v>4149</v>
      </c>
      <c r="BC896" t="s">
        <v>4155</v>
      </c>
      <c r="BF896" t="s">
        <v>4281</v>
      </c>
      <c r="BG896" t="s">
        <v>4128</v>
      </c>
      <c r="BM896" t="s">
        <v>4627</v>
      </c>
    </row>
    <row r="897" spans="1:65">
      <c r="A897" s="1">
        <f>HYPERLINK("https://lsnyc.legalserver.org/matter/dynamic-profile/view/1891624","19-1891624")</f>
        <v>0</v>
      </c>
      <c r="B897" t="s">
        <v>86</v>
      </c>
      <c r="C897" t="s">
        <v>93</v>
      </c>
      <c r="D897" t="s">
        <v>410</v>
      </c>
      <c r="F897" t="s">
        <v>486</v>
      </c>
      <c r="G897" t="s">
        <v>1441</v>
      </c>
      <c r="H897" t="s">
        <v>1633</v>
      </c>
      <c r="I897" t="s">
        <v>2135</v>
      </c>
      <c r="J897" t="s">
        <v>2205</v>
      </c>
      <c r="K897">
        <v>11233</v>
      </c>
      <c r="N897" t="s">
        <v>2233</v>
      </c>
      <c r="O897" t="s">
        <v>2771</v>
      </c>
      <c r="P897" t="s">
        <v>2930</v>
      </c>
      <c r="R897">
        <v>1</v>
      </c>
      <c r="S897">
        <v>0</v>
      </c>
      <c r="T897">
        <v>166.73</v>
      </c>
      <c r="W897">
        <v>20824.62</v>
      </c>
      <c r="X897" t="s">
        <v>3739</v>
      </c>
      <c r="Y897">
        <v>0</v>
      </c>
      <c r="AA897" t="s">
        <v>70</v>
      </c>
      <c r="AC897" t="s">
        <v>3942</v>
      </c>
      <c r="AD897" t="s">
        <v>4035</v>
      </c>
      <c r="AF897" t="s">
        <v>4061</v>
      </c>
      <c r="AH897" t="s">
        <v>3510</v>
      </c>
      <c r="AJ897" t="s">
        <v>3942</v>
      </c>
      <c r="AL897" t="s">
        <v>4070</v>
      </c>
      <c r="AM897" t="s">
        <v>2230</v>
      </c>
      <c r="AO897">
        <v>1148.69</v>
      </c>
      <c r="AQ897">
        <v>359</v>
      </c>
      <c r="AS897" t="s">
        <v>4113</v>
      </c>
      <c r="AU897" t="s">
        <v>4128</v>
      </c>
      <c r="AW897">
        <v>34</v>
      </c>
      <c r="AY897" t="s">
        <v>4140</v>
      </c>
      <c r="BA897" t="s">
        <v>4149</v>
      </c>
      <c r="BB897" t="s">
        <v>4154</v>
      </c>
      <c r="BC897" t="s">
        <v>4128</v>
      </c>
      <c r="BF897" t="s">
        <v>4281</v>
      </c>
      <c r="BM897" t="s">
        <v>4627</v>
      </c>
    </row>
    <row r="898" spans="1:65">
      <c r="A898" s="1">
        <f>HYPERLINK("https://lsnyc.legalserver.org/matter/dynamic-profile/view/1892085","19-1892085")</f>
        <v>0</v>
      </c>
      <c r="B898" t="s">
        <v>86</v>
      </c>
      <c r="C898" t="s">
        <v>93</v>
      </c>
      <c r="D898" t="s">
        <v>411</v>
      </c>
      <c r="F898" t="s">
        <v>694</v>
      </c>
      <c r="G898" t="s">
        <v>1445</v>
      </c>
      <c r="H898" t="s">
        <v>1828</v>
      </c>
      <c r="I898" t="s">
        <v>2119</v>
      </c>
      <c r="J898" t="s">
        <v>2205</v>
      </c>
      <c r="K898">
        <v>11233</v>
      </c>
      <c r="N898" t="s">
        <v>2233</v>
      </c>
      <c r="O898" t="s">
        <v>2778</v>
      </c>
      <c r="P898" t="s">
        <v>2930</v>
      </c>
      <c r="R898">
        <v>1</v>
      </c>
      <c r="S898">
        <v>0</v>
      </c>
      <c r="T898">
        <v>113.66</v>
      </c>
      <c r="W898">
        <v>14196</v>
      </c>
      <c r="X898" t="s">
        <v>3740</v>
      </c>
      <c r="Y898">
        <v>0</v>
      </c>
      <c r="AA898" t="s">
        <v>70</v>
      </c>
      <c r="AC898" t="s">
        <v>3942</v>
      </c>
      <c r="AD898" t="s">
        <v>4035</v>
      </c>
      <c r="AF898" t="s">
        <v>4061</v>
      </c>
      <c r="AH898" t="s">
        <v>3510</v>
      </c>
      <c r="AJ898" t="s">
        <v>3942</v>
      </c>
      <c r="AL898" t="s">
        <v>4070</v>
      </c>
      <c r="AM898" t="s">
        <v>2230</v>
      </c>
      <c r="AO898">
        <v>1150</v>
      </c>
      <c r="AQ898">
        <v>359</v>
      </c>
      <c r="AS898" t="s">
        <v>4113</v>
      </c>
      <c r="AT898" t="s">
        <v>4127</v>
      </c>
      <c r="AW898">
        <v>45</v>
      </c>
      <c r="AY898" t="s">
        <v>4140</v>
      </c>
      <c r="BA898" t="s">
        <v>4149</v>
      </c>
      <c r="BB898" t="s">
        <v>4154</v>
      </c>
      <c r="BF898" t="s">
        <v>4281</v>
      </c>
      <c r="BM898" t="s">
        <v>4627</v>
      </c>
    </row>
    <row r="899" spans="1:65">
      <c r="A899" s="1">
        <f>HYPERLINK("https://lsnyc.legalserver.org/matter/dynamic-profile/view/1902021","19-1902021")</f>
        <v>0</v>
      </c>
      <c r="B899" t="s">
        <v>86</v>
      </c>
      <c r="C899" t="s">
        <v>93</v>
      </c>
      <c r="D899" t="s">
        <v>240</v>
      </c>
      <c r="F899" t="s">
        <v>685</v>
      </c>
      <c r="G899" t="s">
        <v>1395</v>
      </c>
      <c r="H899" t="s">
        <v>1577</v>
      </c>
      <c r="I899" t="s">
        <v>2096</v>
      </c>
      <c r="J899" t="s">
        <v>2205</v>
      </c>
      <c r="K899">
        <v>11233</v>
      </c>
      <c r="N899" t="s">
        <v>2233</v>
      </c>
      <c r="O899" t="s">
        <v>2715</v>
      </c>
      <c r="P899" t="s">
        <v>2930</v>
      </c>
      <c r="R899">
        <v>1</v>
      </c>
      <c r="S899">
        <v>0</v>
      </c>
      <c r="T899">
        <v>0</v>
      </c>
      <c r="W899">
        <v>0</v>
      </c>
      <c r="X899" t="s">
        <v>3741</v>
      </c>
      <c r="Y899">
        <v>0</v>
      </c>
      <c r="AA899" t="s">
        <v>70</v>
      </c>
      <c r="AC899" t="s">
        <v>3942</v>
      </c>
      <c r="AD899" t="s">
        <v>4035</v>
      </c>
      <c r="AF899" t="s">
        <v>4061</v>
      </c>
      <c r="AH899" t="s">
        <v>3510</v>
      </c>
      <c r="AJ899" t="s">
        <v>3942</v>
      </c>
      <c r="AL899" t="s">
        <v>4070</v>
      </c>
      <c r="AM899" t="s">
        <v>2230</v>
      </c>
      <c r="AO899">
        <v>1126</v>
      </c>
      <c r="AQ899">
        <v>359</v>
      </c>
      <c r="AS899" t="s">
        <v>4113</v>
      </c>
      <c r="AT899" t="s">
        <v>4127</v>
      </c>
      <c r="AW899">
        <v>45</v>
      </c>
      <c r="AY899" t="s">
        <v>4140</v>
      </c>
      <c r="BA899" t="s">
        <v>4149</v>
      </c>
      <c r="BB899" t="s">
        <v>4154</v>
      </c>
      <c r="BC899" t="s">
        <v>4128</v>
      </c>
      <c r="BF899" t="s">
        <v>4281</v>
      </c>
      <c r="BG899" t="s">
        <v>4054</v>
      </c>
      <c r="BM899" t="s">
        <v>4627</v>
      </c>
    </row>
    <row r="900" spans="1:65">
      <c r="A900" s="1">
        <f>HYPERLINK("https://lsnyc.legalserver.org/matter/dynamic-profile/view/1898956","19-1898956")</f>
        <v>0</v>
      </c>
      <c r="B900" t="s">
        <v>86</v>
      </c>
      <c r="C900" t="s">
        <v>93</v>
      </c>
      <c r="D900" t="s">
        <v>199</v>
      </c>
      <c r="F900" t="s">
        <v>906</v>
      </c>
      <c r="G900" t="s">
        <v>1444</v>
      </c>
      <c r="H900" t="s">
        <v>1577</v>
      </c>
      <c r="I900" t="s">
        <v>2140</v>
      </c>
      <c r="J900" t="s">
        <v>2205</v>
      </c>
      <c r="K900">
        <v>11233</v>
      </c>
      <c r="N900" t="s">
        <v>2233</v>
      </c>
      <c r="O900" t="s">
        <v>2776</v>
      </c>
      <c r="P900" t="s">
        <v>2930</v>
      </c>
      <c r="R900">
        <v>2</v>
      </c>
      <c r="S900">
        <v>0</v>
      </c>
      <c r="T900">
        <v>97.5</v>
      </c>
      <c r="W900">
        <v>16488</v>
      </c>
      <c r="X900" t="s">
        <v>3624</v>
      </c>
      <c r="Y900">
        <v>0</v>
      </c>
      <c r="AA900" t="s">
        <v>70</v>
      </c>
      <c r="AC900" t="s">
        <v>3942</v>
      </c>
      <c r="AD900" t="s">
        <v>3847</v>
      </c>
      <c r="AF900" t="s">
        <v>4059</v>
      </c>
      <c r="AH900" t="s">
        <v>4078</v>
      </c>
      <c r="AJ900" t="s">
        <v>3942</v>
      </c>
      <c r="AL900" t="s">
        <v>4070</v>
      </c>
      <c r="AM900" t="s">
        <v>2230</v>
      </c>
      <c r="AO900">
        <v>1041.4</v>
      </c>
      <c r="AQ900">
        <v>359</v>
      </c>
      <c r="AS900" t="s">
        <v>4113</v>
      </c>
      <c r="AT900" t="s">
        <v>4127</v>
      </c>
      <c r="AW900">
        <v>18</v>
      </c>
      <c r="AY900" t="s">
        <v>4140</v>
      </c>
      <c r="BA900" t="s">
        <v>4149</v>
      </c>
      <c r="BB900" t="s">
        <v>4154</v>
      </c>
      <c r="BC900" t="s">
        <v>4128</v>
      </c>
      <c r="BF900" t="s">
        <v>4281</v>
      </c>
      <c r="BG900" t="s">
        <v>4539</v>
      </c>
      <c r="BM900" t="s">
        <v>4627</v>
      </c>
    </row>
    <row r="901" spans="1:65">
      <c r="A901" s="1">
        <f>HYPERLINK("https://lsnyc.legalserver.org/matter/dynamic-profile/view/1886536","18-1886536")</f>
        <v>0</v>
      </c>
      <c r="B901" t="s">
        <v>86</v>
      </c>
      <c r="C901" t="s">
        <v>93</v>
      </c>
      <c r="D901" t="s">
        <v>107</v>
      </c>
      <c r="F901" t="s">
        <v>910</v>
      </c>
      <c r="G901" t="s">
        <v>1226</v>
      </c>
      <c r="H901" t="s">
        <v>1828</v>
      </c>
      <c r="I901" t="s">
        <v>2145</v>
      </c>
      <c r="J901" t="s">
        <v>2205</v>
      </c>
      <c r="K901">
        <v>11233</v>
      </c>
      <c r="N901" t="s">
        <v>2233</v>
      </c>
      <c r="O901" t="s">
        <v>2686</v>
      </c>
      <c r="Q901" t="s">
        <v>3337</v>
      </c>
      <c r="R901">
        <v>1</v>
      </c>
      <c r="S901">
        <v>0</v>
      </c>
      <c r="T901">
        <v>172.98</v>
      </c>
      <c r="W901">
        <v>21000</v>
      </c>
      <c r="Y901">
        <v>0</v>
      </c>
      <c r="AA901" t="s">
        <v>70</v>
      </c>
      <c r="AC901" t="s">
        <v>3942</v>
      </c>
      <c r="AD901" t="s">
        <v>4000</v>
      </c>
      <c r="AF901" t="s">
        <v>4059</v>
      </c>
      <c r="AH901" t="s">
        <v>4078</v>
      </c>
      <c r="AJ901" t="s">
        <v>3942</v>
      </c>
      <c r="AL901" t="s">
        <v>4094</v>
      </c>
      <c r="AM901" t="s">
        <v>2230</v>
      </c>
      <c r="AO901">
        <v>446</v>
      </c>
      <c r="AQ901">
        <v>764</v>
      </c>
      <c r="AS901" t="s">
        <v>4113</v>
      </c>
      <c r="AU901" t="s">
        <v>4129</v>
      </c>
      <c r="AV901" t="s">
        <v>4137</v>
      </c>
      <c r="AW901">
        <v>0</v>
      </c>
      <c r="AY901" t="s">
        <v>4140</v>
      </c>
      <c r="BA901" t="s">
        <v>4149</v>
      </c>
      <c r="BB901" t="s">
        <v>4154</v>
      </c>
      <c r="BF901" t="s">
        <v>4281</v>
      </c>
      <c r="BG901" t="s">
        <v>4539</v>
      </c>
      <c r="BM901" t="s">
        <v>4627</v>
      </c>
    </row>
    <row r="902" spans="1:65">
      <c r="A902" s="1">
        <f>HYPERLINK("https://lsnyc.legalserver.org/matter/dynamic-profile/view/1891605","19-1891605")</f>
        <v>0</v>
      </c>
      <c r="B902" t="s">
        <v>86</v>
      </c>
      <c r="C902" t="s">
        <v>93</v>
      </c>
      <c r="D902" t="s">
        <v>410</v>
      </c>
      <c r="F902" t="s">
        <v>901</v>
      </c>
      <c r="G902" t="s">
        <v>1437</v>
      </c>
      <c r="H902" t="s">
        <v>1633</v>
      </c>
      <c r="I902" t="s">
        <v>2132</v>
      </c>
      <c r="J902" t="s">
        <v>2205</v>
      </c>
      <c r="K902">
        <v>11233</v>
      </c>
      <c r="N902" t="s">
        <v>2233</v>
      </c>
      <c r="O902" t="s">
        <v>2766</v>
      </c>
      <c r="P902" t="s">
        <v>2930</v>
      </c>
      <c r="R902">
        <v>2</v>
      </c>
      <c r="S902">
        <v>0</v>
      </c>
      <c r="T902">
        <v>159.67</v>
      </c>
      <c r="W902">
        <v>27000</v>
      </c>
      <c r="X902" t="s">
        <v>3742</v>
      </c>
      <c r="Y902">
        <v>0</v>
      </c>
      <c r="AA902" t="s">
        <v>70</v>
      </c>
      <c r="AC902" t="s">
        <v>3942</v>
      </c>
      <c r="AD902" t="s">
        <v>4035</v>
      </c>
      <c r="AF902" t="s">
        <v>4061</v>
      </c>
      <c r="AH902" t="s">
        <v>3510</v>
      </c>
      <c r="AJ902" t="s">
        <v>3942</v>
      </c>
      <c r="AL902" t="s">
        <v>4070</v>
      </c>
      <c r="AM902" t="s">
        <v>2230</v>
      </c>
      <c r="AO902">
        <v>1034</v>
      </c>
      <c r="AQ902">
        <v>359</v>
      </c>
      <c r="AS902" t="s">
        <v>4113</v>
      </c>
      <c r="AU902" t="s">
        <v>4128</v>
      </c>
      <c r="AW902">
        <v>37</v>
      </c>
      <c r="AY902" t="s">
        <v>4140</v>
      </c>
      <c r="BA902" t="s">
        <v>4149</v>
      </c>
      <c r="BB902" t="s">
        <v>4154</v>
      </c>
      <c r="BF902" t="s">
        <v>4281</v>
      </c>
      <c r="BM902" t="s">
        <v>4627</v>
      </c>
    </row>
    <row r="903" spans="1:65">
      <c r="A903" s="1">
        <f>HYPERLINK("https://lsnyc.legalserver.org/matter/dynamic-profile/view/1898383","19-1898383")</f>
        <v>0</v>
      </c>
      <c r="B903" t="s">
        <v>86</v>
      </c>
      <c r="C903" t="s">
        <v>93</v>
      </c>
      <c r="D903" t="s">
        <v>320</v>
      </c>
      <c r="F903" t="s">
        <v>912</v>
      </c>
      <c r="G903" t="s">
        <v>1451</v>
      </c>
      <c r="H903" t="s">
        <v>1829</v>
      </c>
      <c r="I903" t="s">
        <v>2146</v>
      </c>
      <c r="J903" t="s">
        <v>2205</v>
      </c>
      <c r="K903">
        <v>11233</v>
      </c>
      <c r="N903" t="s">
        <v>2233</v>
      </c>
      <c r="O903" t="s">
        <v>2785</v>
      </c>
      <c r="P903" t="s">
        <v>2930</v>
      </c>
      <c r="R903">
        <v>1</v>
      </c>
      <c r="S903">
        <v>0</v>
      </c>
      <c r="T903">
        <v>160.13</v>
      </c>
      <c r="W903">
        <v>20000</v>
      </c>
      <c r="X903" t="s">
        <v>3624</v>
      </c>
      <c r="Y903">
        <v>0</v>
      </c>
      <c r="AA903" t="s">
        <v>70</v>
      </c>
      <c r="AC903" t="s">
        <v>3942</v>
      </c>
      <c r="AD903" t="s">
        <v>3847</v>
      </c>
      <c r="AF903" t="s">
        <v>4059</v>
      </c>
      <c r="AH903" t="s">
        <v>4078</v>
      </c>
      <c r="AJ903" t="s">
        <v>3942</v>
      </c>
      <c r="AL903" t="s">
        <v>4070</v>
      </c>
      <c r="AM903" t="s">
        <v>2230</v>
      </c>
      <c r="AO903">
        <v>628.51</v>
      </c>
      <c r="AQ903">
        <v>359</v>
      </c>
      <c r="AS903" t="s">
        <v>4113</v>
      </c>
      <c r="AT903" t="s">
        <v>4127</v>
      </c>
      <c r="AW903">
        <v>7</v>
      </c>
      <c r="AY903" t="s">
        <v>4140</v>
      </c>
      <c r="BA903" t="s">
        <v>4149</v>
      </c>
      <c r="BB903" t="s">
        <v>4154</v>
      </c>
      <c r="BF903" t="s">
        <v>4281</v>
      </c>
      <c r="BG903" t="s">
        <v>4538</v>
      </c>
      <c r="BM903" t="s">
        <v>4627</v>
      </c>
    </row>
    <row r="904" spans="1:65">
      <c r="A904" s="1">
        <f>HYPERLINK("https://lsnyc.legalserver.org/matter/dynamic-profile/view/1909089","19-1909089")</f>
        <v>0</v>
      </c>
      <c r="B904" t="s">
        <v>86</v>
      </c>
      <c r="C904" t="s">
        <v>93</v>
      </c>
      <c r="D904" t="s">
        <v>193</v>
      </c>
      <c r="F904" t="s">
        <v>913</v>
      </c>
      <c r="G904" t="s">
        <v>1452</v>
      </c>
      <c r="H904" t="s">
        <v>1633</v>
      </c>
      <c r="I904" t="s">
        <v>1937</v>
      </c>
      <c r="J904" t="s">
        <v>2205</v>
      </c>
      <c r="K904">
        <v>11233</v>
      </c>
      <c r="N904" t="s">
        <v>2233</v>
      </c>
      <c r="O904" t="s">
        <v>2786</v>
      </c>
      <c r="P904" t="s">
        <v>2930</v>
      </c>
      <c r="R904">
        <v>1</v>
      </c>
      <c r="S904">
        <v>0</v>
      </c>
      <c r="T904">
        <v>160.13</v>
      </c>
      <c r="W904">
        <v>20000</v>
      </c>
      <c r="X904" t="s">
        <v>3743</v>
      </c>
      <c r="Y904">
        <v>0</v>
      </c>
      <c r="AA904" t="s">
        <v>70</v>
      </c>
      <c r="AC904" t="s">
        <v>3942</v>
      </c>
      <c r="AD904" t="s">
        <v>3960</v>
      </c>
      <c r="AF904" t="s">
        <v>4059</v>
      </c>
      <c r="AH904" t="s">
        <v>4078</v>
      </c>
      <c r="AJ904" t="s">
        <v>3942</v>
      </c>
      <c r="AL904" t="s">
        <v>4070</v>
      </c>
      <c r="AM904" t="s">
        <v>2230</v>
      </c>
      <c r="AO904">
        <v>879</v>
      </c>
      <c r="AQ904">
        <v>359</v>
      </c>
      <c r="AS904" t="s">
        <v>4113</v>
      </c>
      <c r="AU904" t="s">
        <v>4128</v>
      </c>
      <c r="AW904">
        <v>28</v>
      </c>
      <c r="AY904" t="s">
        <v>4140</v>
      </c>
      <c r="BA904" t="s">
        <v>4149</v>
      </c>
      <c r="BB904" t="s">
        <v>4154</v>
      </c>
      <c r="BC904" t="s">
        <v>4128</v>
      </c>
      <c r="BG904" t="s">
        <v>4544</v>
      </c>
      <c r="BM904" t="s">
        <v>4627</v>
      </c>
    </row>
    <row r="905" spans="1:65">
      <c r="A905" s="1">
        <f>HYPERLINK("https://lsnyc.legalserver.org/matter/dynamic-profile/view/1892650","19-1892650")</f>
        <v>0</v>
      </c>
      <c r="B905" t="s">
        <v>86</v>
      </c>
      <c r="C905" t="s">
        <v>93</v>
      </c>
      <c r="D905" t="s">
        <v>412</v>
      </c>
      <c r="F905" t="s">
        <v>754</v>
      </c>
      <c r="G905" t="s">
        <v>1453</v>
      </c>
      <c r="H905" t="s">
        <v>1828</v>
      </c>
      <c r="I905" t="s">
        <v>2147</v>
      </c>
      <c r="J905" t="s">
        <v>2205</v>
      </c>
      <c r="K905">
        <v>11233</v>
      </c>
      <c r="N905" t="s">
        <v>2233</v>
      </c>
      <c r="O905" t="s">
        <v>2787</v>
      </c>
      <c r="P905" t="s">
        <v>2930</v>
      </c>
      <c r="R905">
        <v>1</v>
      </c>
      <c r="S905">
        <v>3</v>
      </c>
      <c r="T905">
        <v>89.8</v>
      </c>
      <c r="W905">
        <v>23124</v>
      </c>
      <c r="X905" t="s">
        <v>3634</v>
      </c>
      <c r="Y905">
        <v>0</v>
      </c>
      <c r="AA905" t="s">
        <v>70</v>
      </c>
      <c r="AC905" t="s">
        <v>3942</v>
      </c>
      <c r="AD905" t="s">
        <v>3847</v>
      </c>
      <c r="AF905" t="s">
        <v>4059</v>
      </c>
      <c r="AH905" t="s">
        <v>4078</v>
      </c>
      <c r="AJ905" t="s">
        <v>3942</v>
      </c>
      <c r="AL905" t="s">
        <v>4070</v>
      </c>
      <c r="AM905" t="s">
        <v>2230</v>
      </c>
      <c r="AO905">
        <v>1321</v>
      </c>
      <c r="AQ905">
        <v>359</v>
      </c>
      <c r="AS905" t="s">
        <v>4113</v>
      </c>
      <c r="AT905" t="s">
        <v>4127</v>
      </c>
      <c r="AW905">
        <v>34</v>
      </c>
      <c r="AY905" t="s">
        <v>4140</v>
      </c>
      <c r="BA905" t="s">
        <v>4149</v>
      </c>
      <c r="BB905" t="s">
        <v>4154</v>
      </c>
      <c r="BF905" t="s">
        <v>4281</v>
      </c>
      <c r="BG905" t="s">
        <v>4539</v>
      </c>
      <c r="BM905" t="s">
        <v>4627</v>
      </c>
    </row>
    <row r="906" spans="1:65">
      <c r="A906" s="1">
        <f>HYPERLINK("https://lsnyc.legalserver.org/matter/dynamic-profile/view/1891871","19-1891871")</f>
        <v>0</v>
      </c>
      <c r="B906" t="s">
        <v>86</v>
      </c>
      <c r="C906" t="s">
        <v>93</v>
      </c>
      <c r="D906" t="s">
        <v>421</v>
      </c>
      <c r="F906" t="s">
        <v>685</v>
      </c>
      <c r="G906" t="s">
        <v>1454</v>
      </c>
      <c r="H906" t="s">
        <v>1577</v>
      </c>
      <c r="I906" t="s">
        <v>1937</v>
      </c>
      <c r="J906" t="s">
        <v>2205</v>
      </c>
      <c r="K906">
        <v>11233</v>
      </c>
      <c r="N906" t="s">
        <v>2233</v>
      </c>
      <c r="O906" t="s">
        <v>2788</v>
      </c>
      <c r="P906" t="s">
        <v>2930</v>
      </c>
      <c r="R906">
        <v>1</v>
      </c>
      <c r="S906">
        <v>0</v>
      </c>
      <c r="T906">
        <v>176.86</v>
      </c>
      <c r="W906">
        <v>22090</v>
      </c>
      <c r="X906" t="s">
        <v>3697</v>
      </c>
      <c r="Y906">
        <v>0</v>
      </c>
      <c r="AA906" t="s">
        <v>90</v>
      </c>
      <c r="AC906" t="s">
        <v>3942</v>
      </c>
      <c r="AD906" t="s">
        <v>4035</v>
      </c>
      <c r="AF906" t="s">
        <v>4061</v>
      </c>
      <c r="AH906" t="s">
        <v>3510</v>
      </c>
      <c r="AJ906" t="s">
        <v>3942</v>
      </c>
      <c r="AK906" t="s">
        <v>4084</v>
      </c>
      <c r="AM906" t="s">
        <v>2230</v>
      </c>
      <c r="AO906">
        <v>875</v>
      </c>
      <c r="AQ906">
        <v>359</v>
      </c>
      <c r="AS906" t="s">
        <v>4113</v>
      </c>
      <c r="AU906" t="s">
        <v>4128</v>
      </c>
      <c r="AW906">
        <v>40</v>
      </c>
      <c r="AY906" t="s">
        <v>4140</v>
      </c>
      <c r="BA906" t="s">
        <v>4149</v>
      </c>
      <c r="BB906" t="s">
        <v>4154</v>
      </c>
      <c r="BC906" t="s">
        <v>4128</v>
      </c>
      <c r="BE906" t="s">
        <v>4128</v>
      </c>
      <c r="BF906" t="s">
        <v>4281</v>
      </c>
      <c r="BG906" t="s">
        <v>4128</v>
      </c>
      <c r="BM906" t="s">
        <v>4627</v>
      </c>
    </row>
    <row r="907" spans="1:65">
      <c r="A907" s="1">
        <f>HYPERLINK("https://lsnyc.legalserver.org/matter/dynamic-profile/view/1890572","19-1890572")</f>
        <v>0</v>
      </c>
      <c r="B907" t="s">
        <v>86</v>
      </c>
      <c r="C907" t="s">
        <v>93</v>
      </c>
      <c r="D907" t="s">
        <v>414</v>
      </c>
      <c r="F907" t="s">
        <v>685</v>
      </c>
      <c r="G907" t="s">
        <v>1454</v>
      </c>
      <c r="H907" t="s">
        <v>1577</v>
      </c>
      <c r="I907" t="s">
        <v>1937</v>
      </c>
      <c r="J907" t="s">
        <v>2205</v>
      </c>
      <c r="K907">
        <v>11233</v>
      </c>
      <c r="N907" t="s">
        <v>2233</v>
      </c>
      <c r="O907" t="s">
        <v>2788</v>
      </c>
      <c r="P907" t="s">
        <v>2930</v>
      </c>
      <c r="R907">
        <v>1</v>
      </c>
      <c r="S907">
        <v>0</v>
      </c>
      <c r="T907">
        <v>176.86</v>
      </c>
      <c r="W907">
        <v>22090</v>
      </c>
      <c r="X907" t="s">
        <v>3648</v>
      </c>
      <c r="Y907">
        <v>0</v>
      </c>
      <c r="AA907" t="s">
        <v>90</v>
      </c>
      <c r="AC907" t="s">
        <v>3942</v>
      </c>
      <c r="AD907" t="s">
        <v>4041</v>
      </c>
      <c r="AF907" t="s">
        <v>4059</v>
      </c>
      <c r="AH907" t="s">
        <v>4078</v>
      </c>
      <c r="AJ907" t="s">
        <v>3942</v>
      </c>
      <c r="AL907" t="s">
        <v>4088</v>
      </c>
      <c r="AM907" t="s">
        <v>2230</v>
      </c>
      <c r="AO907">
        <v>875</v>
      </c>
      <c r="AQ907">
        <v>359</v>
      </c>
      <c r="AS907" t="s">
        <v>4113</v>
      </c>
      <c r="AU907" t="s">
        <v>4128</v>
      </c>
      <c r="AW907">
        <v>40</v>
      </c>
      <c r="AY907" t="s">
        <v>4140</v>
      </c>
      <c r="BA907" t="s">
        <v>4149</v>
      </c>
      <c r="BB907" t="s">
        <v>4154</v>
      </c>
      <c r="BC907" t="s">
        <v>4128</v>
      </c>
      <c r="BE907" t="s">
        <v>4128</v>
      </c>
      <c r="BF907" t="s">
        <v>4281</v>
      </c>
      <c r="BG907" t="s">
        <v>4539</v>
      </c>
      <c r="BM907" t="s">
        <v>4627</v>
      </c>
    </row>
    <row r="908" spans="1:65">
      <c r="A908" s="1">
        <f>HYPERLINK("https://lsnyc.legalserver.org/matter/dynamic-profile/view/1892653","19-1892653")</f>
        <v>0</v>
      </c>
      <c r="B908" t="s">
        <v>86</v>
      </c>
      <c r="C908" t="s">
        <v>93</v>
      </c>
      <c r="D908" t="s">
        <v>412</v>
      </c>
      <c r="F908" t="s">
        <v>754</v>
      </c>
      <c r="G908" t="s">
        <v>1453</v>
      </c>
      <c r="H908" t="s">
        <v>1828</v>
      </c>
      <c r="I908" t="s">
        <v>2147</v>
      </c>
      <c r="J908" t="s">
        <v>2205</v>
      </c>
      <c r="K908">
        <v>11233</v>
      </c>
      <c r="N908" t="s">
        <v>2233</v>
      </c>
      <c r="O908" t="s">
        <v>2787</v>
      </c>
      <c r="P908" t="s">
        <v>2930</v>
      </c>
      <c r="R908">
        <v>1</v>
      </c>
      <c r="S908">
        <v>3</v>
      </c>
      <c r="T908">
        <v>89.8</v>
      </c>
      <c r="W908">
        <v>23124</v>
      </c>
      <c r="X908" t="s">
        <v>3744</v>
      </c>
      <c r="Y908">
        <v>0</v>
      </c>
      <c r="AA908" t="s">
        <v>70</v>
      </c>
      <c r="AC908" t="s">
        <v>3942</v>
      </c>
      <c r="AD908" t="s">
        <v>4035</v>
      </c>
      <c r="AF908" t="s">
        <v>4061</v>
      </c>
      <c r="AH908" t="s">
        <v>3510</v>
      </c>
      <c r="AJ908" t="s">
        <v>3942</v>
      </c>
      <c r="AL908" t="s">
        <v>4070</v>
      </c>
      <c r="AM908" t="s">
        <v>2230</v>
      </c>
      <c r="AO908">
        <v>1321</v>
      </c>
      <c r="AQ908">
        <v>359</v>
      </c>
      <c r="AS908" t="s">
        <v>4113</v>
      </c>
      <c r="AT908" t="s">
        <v>4127</v>
      </c>
      <c r="AW908">
        <v>34</v>
      </c>
      <c r="AY908" t="s">
        <v>4140</v>
      </c>
      <c r="BA908" t="s">
        <v>4149</v>
      </c>
      <c r="BB908" t="s">
        <v>4154</v>
      </c>
      <c r="BF908" t="s">
        <v>4281</v>
      </c>
      <c r="BM908" t="s">
        <v>4627</v>
      </c>
    </row>
    <row r="909" spans="1:65">
      <c r="A909" s="1">
        <f>HYPERLINK("https://lsnyc.legalserver.org/matter/dynamic-profile/view/1890579","19-1890579")</f>
        <v>0</v>
      </c>
      <c r="B909" t="s">
        <v>86</v>
      </c>
      <c r="C909" t="s">
        <v>93</v>
      </c>
      <c r="D909" t="s">
        <v>414</v>
      </c>
      <c r="F909" t="s">
        <v>914</v>
      </c>
      <c r="G909" t="s">
        <v>1455</v>
      </c>
      <c r="H909" t="s">
        <v>1577</v>
      </c>
      <c r="I909" t="s">
        <v>2148</v>
      </c>
      <c r="J909" t="s">
        <v>2205</v>
      </c>
      <c r="K909">
        <v>11233</v>
      </c>
      <c r="N909" t="s">
        <v>2233</v>
      </c>
      <c r="O909" t="s">
        <v>2789</v>
      </c>
      <c r="P909" t="s">
        <v>2930</v>
      </c>
      <c r="R909">
        <v>1</v>
      </c>
      <c r="S909">
        <v>0</v>
      </c>
      <c r="T909">
        <v>192.53</v>
      </c>
      <c r="W909">
        <v>24046.8</v>
      </c>
      <c r="X909" t="s">
        <v>3648</v>
      </c>
      <c r="Y909">
        <v>0</v>
      </c>
      <c r="AA909" t="s">
        <v>90</v>
      </c>
      <c r="AC909" t="s">
        <v>3942</v>
      </c>
      <c r="AD909" t="s">
        <v>3847</v>
      </c>
      <c r="AF909" t="s">
        <v>4059</v>
      </c>
      <c r="AH909" t="s">
        <v>4078</v>
      </c>
      <c r="AJ909" t="s">
        <v>3942</v>
      </c>
      <c r="AL909" t="s">
        <v>4088</v>
      </c>
      <c r="AM909" t="s">
        <v>2230</v>
      </c>
      <c r="AO909">
        <v>965.96</v>
      </c>
      <c r="AQ909">
        <v>359</v>
      </c>
      <c r="AS909" t="s">
        <v>4113</v>
      </c>
      <c r="AT909" t="s">
        <v>4127</v>
      </c>
      <c r="AW909">
        <v>42</v>
      </c>
      <c r="AY909" t="s">
        <v>4140</v>
      </c>
      <c r="BA909" t="s">
        <v>4149</v>
      </c>
      <c r="BB909" t="s">
        <v>4154</v>
      </c>
      <c r="BF909" t="s">
        <v>4281</v>
      </c>
      <c r="BG909" t="s">
        <v>4128</v>
      </c>
      <c r="BM909" t="s">
        <v>4627</v>
      </c>
    </row>
    <row r="910" spans="1:65">
      <c r="A910" s="1">
        <f>HYPERLINK("https://lsnyc.legalserver.org/matter/dynamic-profile/view/1901995","19-1901995")</f>
        <v>0</v>
      </c>
      <c r="B910" t="s">
        <v>86</v>
      </c>
      <c r="C910" t="s">
        <v>93</v>
      </c>
      <c r="D910" t="s">
        <v>240</v>
      </c>
      <c r="F910" t="s">
        <v>860</v>
      </c>
      <c r="G910" t="s">
        <v>1391</v>
      </c>
      <c r="H910" t="s">
        <v>1577</v>
      </c>
      <c r="I910" t="s">
        <v>2093</v>
      </c>
      <c r="J910" t="s">
        <v>2205</v>
      </c>
      <c r="K910">
        <v>11233</v>
      </c>
      <c r="N910" t="s">
        <v>2233</v>
      </c>
      <c r="O910" t="s">
        <v>2709</v>
      </c>
      <c r="P910" t="s">
        <v>2930</v>
      </c>
      <c r="R910">
        <v>1</v>
      </c>
      <c r="S910">
        <v>0</v>
      </c>
      <c r="T910">
        <v>0</v>
      </c>
      <c r="W910">
        <v>0</v>
      </c>
      <c r="X910" t="s">
        <v>3745</v>
      </c>
      <c r="Y910">
        <v>0</v>
      </c>
      <c r="AA910" t="s">
        <v>70</v>
      </c>
      <c r="AC910" t="s">
        <v>3942</v>
      </c>
      <c r="AD910" t="s">
        <v>4035</v>
      </c>
      <c r="AF910" t="s">
        <v>4061</v>
      </c>
      <c r="AH910" t="s">
        <v>3510</v>
      </c>
      <c r="AJ910" t="s">
        <v>3942</v>
      </c>
      <c r="AL910" t="s">
        <v>4070</v>
      </c>
      <c r="AM910" t="s">
        <v>2230</v>
      </c>
      <c r="AO910">
        <v>840</v>
      </c>
      <c r="AQ910">
        <v>359</v>
      </c>
      <c r="AS910" t="s">
        <v>4113</v>
      </c>
      <c r="AT910" t="s">
        <v>4127</v>
      </c>
      <c r="AW910">
        <v>9</v>
      </c>
      <c r="AY910" t="s">
        <v>4140</v>
      </c>
      <c r="BA910" t="s">
        <v>4149</v>
      </c>
      <c r="BB910" t="s">
        <v>4154</v>
      </c>
      <c r="BC910" t="s">
        <v>4128</v>
      </c>
      <c r="BF910" t="s">
        <v>4281</v>
      </c>
      <c r="BG910" t="s">
        <v>4054</v>
      </c>
      <c r="BM910" t="s">
        <v>4627</v>
      </c>
    </row>
    <row r="911" spans="1:65">
      <c r="A911" s="1">
        <f>HYPERLINK("https://lsnyc.legalserver.org/matter/dynamic-profile/view/1890630","19-1890630")</f>
        <v>0</v>
      </c>
      <c r="B911" t="s">
        <v>86</v>
      </c>
      <c r="C911" t="s">
        <v>93</v>
      </c>
      <c r="D911" t="s">
        <v>414</v>
      </c>
      <c r="F911" t="s">
        <v>915</v>
      </c>
      <c r="G911" t="s">
        <v>1456</v>
      </c>
      <c r="H911" t="s">
        <v>1577</v>
      </c>
      <c r="I911" t="s">
        <v>2149</v>
      </c>
      <c r="J911" t="s">
        <v>2205</v>
      </c>
      <c r="K911">
        <v>11233</v>
      </c>
      <c r="N911" t="s">
        <v>2233</v>
      </c>
      <c r="O911" t="s">
        <v>2790</v>
      </c>
      <c r="P911" t="s">
        <v>2930</v>
      </c>
      <c r="R911">
        <v>3</v>
      </c>
      <c r="S911">
        <v>1</v>
      </c>
      <c r="T911">
        <v>174.76</v>
      </c>
      <c r="W911">
        <v>45000</v>
      </c>
      <c r="X911" t="s">
        <v>3624</v>
      </c>
      <c r="Y911">
        <v>0</v>
      </c>
      <c r="AA911" t="s">
        <v>70</v>
      </c>
      <c r="AC911" t="s">
        <v>3942</v>
      </c>
      <c r="AD911" t="s">
        <v>3847</v>
      </c>
      <c r="AF911" t="s">
        <v>4059</v>
      </c>
      <c r="AH911" t="s">
        <v>4078</v>
      </c>
      <c r="AJ911" t="s">
        <v>3942</v>
      </c>
      <c r="AL911" t="s">
        <v>4070</v>
      </c>
      <c r="AM911" t="s">
        <v>2230</v>
      </c>
      <c r="AO911">
        <v>1200</v>
      </c>
      <c r="AQ911">
        <v>359</v>
      </c>
      <c r="AS911" t="s">
        <v>4113</v>
      </c>
      <c r="AU911" t="s">
        <v>4128</v>
      </c>
      <c r="AW911">
        <v>10</v>
      </c>
      <c r="AY911" t="s">
        <v>4140</v>
      </c>
      <c r="BA911" t="s">
        <v>4149</v>
      </c>
      <c r="BB911" t="s">
        <v>4154</v>
      </c>
      <c r="BF911" t="s">
        <v>4281</v>
      </c>
      <c r="BG911" t="s">
        <v>4539</v>
      </c>
      <c r="BM911" t="s">
        <v>4627</v>
      </c>
    </row>
    <row r="912" spans="1:65">
      <c r="A912" s="1">
        <f>HYPERLINK("https://lsnyc.legalserver.org/matter/dynamic-profile/view/1897843","19-1897843")</f>
        <v>0</v>
      </c>
      <c r="B912" t="s">
        <v>86</v>
      </c>
      <c r="C912" t="s">
        <v>93</v>
      </c>
      <c r="D912" t="s">
        <v>430</v>
      </c>
      <c r="F912" t="s">
        <v>916</v>
      </c>
      <c r="G912" t="s">
        <v>1111</v>
      </c>
      <c r="H912" t="s">
        <v>1577</v>
      </c>
      <c r="I912" t="s">
        <v>2150</v>
      </c>
      <c r="J912" t="s">
        <v>2205</v>
      </c>
      <c r="K912">
        <v>11233</v>
      </c>
      <c r="N912" t="s">
        <v>2233</v>
      </c>
      <c r="O912" t="s">
        <v>2791</v>
      </c>
      <c r="P912" t="s">
        <v>2930</v>
      </c>
      <c r="R912">
        <v>2</v>
      </c>
      <c r="S912">
        <v>1</v>
      </c>
      <c r="T912">
        <v>93.76000000000001</v>
      </c>
      <c r="W912">
        <v>20000</v>
      </c>
      <c r="X912" t="s">
        <v>3624</v>
      </c>
      <c r="Y912">
        <v>0</v>
      </c>
      <c r="AA912" t="s">
        <v>70</v>
      </c>
      <c r="AC912" t="s">
        <v>3942</v>
      </c>
      <c r="AD912" t="s">
        <v>3847</v>
      </c>
      <c r="AF912" t="s">
        <v>4059</v>
      </c>
      <c r="AH912" t="s">
        <v>4078</v>
      </c>
      <c r="AJ912" t="s">
        <v>3942</v>
      </c>
      <c r="AL912" t="s">
        <v>4070</v>
      </c>
      <c r="AM912" t="s">
        <v>2230</v>
      </c>
      <c r="AO912">
        <v>1300</v>
      </c>
      <c r="AQ912">
        <v>359</v>
      </c>
      <c r="AS912" t="s">
        <v>4113</v>
      </c>
      <c r="AT912" t="s">
        <v>4127</v>
      </c>
      <c r="AW912">
        <v>3</v>
      </c>
      <c r="AY912" t="s">
        <v>4140</v>
      </c>
      <c r="BA912" t="s">
        <v>4149</v>
      </c>
      <c r="BB912" t="s">
        <v>4154</v>
      </c>
      <c r="BF912" t="s">
        <v>4281</v>
      </c>
      <c r="BG912" t="s">
        <v>4539</v>
      </c>
      <c r="BM912" t="s">
        <v>4627</v>
      </c>
    </row>
    <row r="913" spans="1:65">
      <c r="A913" s="1">
        <f>HYPERLINK("https://lsnyc.legalserver.org/matter/dynamic-profile/view/1897985","19-1897985")</f>
        <v>0</v>
      </c>
      <c r="B913" t="s">
        <v>86</v>
      </c>
      <c r="C913" t="s">
        <v>93</v>
      </c>
      <c r="D913" t="s">
        <v>428</v>
      </c>
      <c r="F913" t="s">
        <v>916</v>
      </c>
      <c r="G913" t="s">
        <v>1111</v>
      </c>
      <c r="H913" t="s">
        <v>1577</v>
      </c>
      <c r="I913" t="s">
        <v>2150</v>
      </c>
      <c r="J913" t="s">
        <v>2205</v>
      </c>
      <c r="K913">
        <v>11233</v>
      </c>
      <c r="N913" t="s">
        <v>2233</v>
      </c>
      <c r="O913" t="s">
        <v>2791</v>
      </c>
      <c r="P913" t="s">
        <v>2930</v>
      </c>
      <c r="R913">
        <v>2</v>
      </c>
      <c r="S913">
        <v>1</v>
      </c>
      <c r="T913">
        <v>93.76000000000001</v>
      </c>
      <c r="W913">
        <v>20000</v>
      </c>
      <c r="X913" t="s">
        <v>3746</v>
      </c>
      <c r="Y913">
        <v>0</v>
      </c>
      <c r="AA913" t="s">
        <v>70</v>
      </c>
      <c r="AC913" t="s">
        <v>3942</v>
      </c>
      <c r="AD913" t="s">
        <v>4035</v>
      </c>
      <c r="AF913" t="s">
        <v>4061</v>
      </c>
      <c r="AH913" t="s">
        <v>3510</v>
      </c>
      <c r="AJ913" t="s">
        <v>3942</v>
      </c>
      <c r="AL913" t="s">
        <v>4070</v>
      </c>
      <c r="AM913" t="s">
        <v>2230</v>
      </c>
      <c r="AO913">
        <v>1300</v>
      </c>
      <c r="AQ913">
        <v>359</v>
      </c>
      <c r="AS913" t="s">
        <v>4113</v>
      </c>
      <c r="AT913" t="s">
        <v>4127</v>
      </c>
      <c r="AW913">
        <v>3</v>
      </c>
      <c r="AY913" t="s">
        <v>4140</v>
      </c>
      <c r="BA913" t="s">
        <v>4149</v>
      </c>
      <c r="BB913" t="s">
        <v>4154</v>
      </c>
      <c r="BF913" t="s">
        <v>4281</v>
      </c>
      <c r="BM913" t="s">
        <v>4627</v>
      </c>
    </row>
    <row r="914" spans="1:65">
      <c r="A914" s="1">
        <f>HYPERLINK("https://lsnyc.legalserver.org/matter/dynamic-profile/view/1898386","19-1898386")</f>
        <v>0</v>
      </c>
      <c r="B914" t="s">
        <v>86</v>
      </c>
      <c r="C914" t="s">
        <v>93</v>
      </c>
      <c r="D914" t="s">
        <v>320</v>
      </c>
      <c r="F914" t="s">
        <v>912</v>
      </c>
      <c r="G914" t="s">
        <v>1451</v>
      </c>
      <c r="H914" t="s">
        <v>1829</v>
      </c>
      <c r="I914" t="s">
        <v>2146</v>
      </c>
      <c r="J914" t="s">
        <v>2205</v>
      </c>
      <c r="K914">
        <v>11233</v>
      </c>
      <c r="N914" t="s">
        <v>2233</v>
      </c>
      <c r="O914" t="s">
        <v>2785</v>
      </c>
      <c r="P914" t="s">
        <v>2930</v>
      </c>
      <c r="R914">
        <v>1</v>
      </c>
      <c r="S914">
        <v>0</v>
      </c>
      <c r="T914">
        <v>160.13</v>
      </c>
      <c r="W914">
        <v>20000</v>
      </c>
      <c r="X914" t="s">
        <v>3747</v>
      </c>
      <c r="Y914">
        <v>0</v>
      </c>
      <c r="AA914" t="s">
        <v>70</v>
      </c>
      <c r="AC914" t="s">
        <v>3942</v>
      </c>
      <c r="AD914" t="s">
        <v>4035</v>
      </c>
      <c r="AF914" t="s">
        <v>4061</v>
      </c>
      <c r="AH914" t="s">
        <v>3510</v>
      </c>
      <c r="AJ914" t="s">
        <v>3942</v>
      </c>
      <c r="AL914" t="s">
        <v>4070</v>
      </c>
      <c r="AM914" t="s">
        <v>2230</v>
      </c>
      <c r="AO914">
        <v>628.51</v>
      </c>
      <c r="AQ914">
        <v>359</v>
      </c>
      <c r="AS914" t="s">
        <v>4113</v>
      </c>
      <c r="AT914" t="s">
        <v>4127</v>
      </c>
      <c r="AW914">
        <v>7</v>
      </c>
      <c r="AY914" t="s">
        <v>4140</v>
      </c>
      <c r="BA914" t="s">
        <v>4149</v>
      </c>
      <c r="BB914" t="s">
        <v>4154</v>
      </c>
      <c r="BF914" t="s">
        <v>4281</v>
      </c>
      <c r="BM914" t="s">
        <v>4627</v>
      </c>
    </row>
    <row r="915" spans="1:65">
      <c r="A915" s="1">
        <f>HYPERLINK("https://lsnyc.legalserver.org/matter/dynamic-profile/view/1887097","19-1887097")</f>
        <v>0</v>
      </c>
      <c r="B915" t="s">
        <v>86</v>
      </c>
      <c r="C915" t="s">
        <v>93</v>
      </c>
      <c r="D915" t="s">
        <v>422</v>
      </c>
      <c r="F915" t="s">
        <v>908</v>
      </c>
      <c r="G915" t="s">
        <v>1447</v>
      </c>
      <c r="H915" t="s">
        <v>1577</v>
      </c>
      <c r="I915" t="s">
        <v>2142</v>
      </c>
      <c r="J915" t="s">
        <v>2205</v>
      </c>
      <c r="K915">
        <v>11233</v>
      </c>
      <c r="N915" t="s">
        <v>2233</v>
      </c>
      <c r="O915" t="s">
        <v>2781</v>
      </c>
      <c r="Q915" t="s">
        <v>3336</v>
      </c>
      <c r="R915">
        <v>5</v>
      </c>
      <c r="S915">
        <v>0</v>
      </c>
      <c r="T915">
        <v>174.03</v>
      </c>
      <c r="W915">
        <v>51200</v>
      </c>
      <c r="Y915">
        <v>0</v>
      </c>
      <c r="AA915" t="s">
        <v>90</v>
      </c>
      <c r="AC915" t="s">
        <v>3942</v>
      </c>
      <c r="AD915" t="s">
        <v>4039</v>
      </c>
      <c r="AF915" t="s">
        <v>4059</v>
      </c>
      <c r="AH915" t="s">
        <v>4078</v>
      </c>
      <c r="AJ915" t="s">
        <v>3942</v>
      </c>
      <c r="AL915" t="s">
        <v>4089</v>
      </c>
      <c r="AM915" t="s">
        <v>2230</v>
      </c>
      <c r="AO915">
        <v>1353.11</v>
      </c>
      <c r="AQ915">
        <v>764</v>
      </c>
      <c r="AS915" t="s">
        <v>4113</v>
      </c>
      <c r="AU915" t="s">
        <v>4128</v>
      </c>
      <c r="AW915">
        <v>24</v>
      </c>
      <c r="AY915" t="s">
        <v>4140</v>
      </c>
      <c r="BA915" t="s">
        <v>4149</v>
      </c>
      <c r="BB915" t="s">
        <v>4154</v>
      </c>
      <c r="BE915" t="s">
        <v>4128</v>
      </c>
      <c r="BF915" t="s">
        <v>4281</v>
      </c>
      <c r="BG915" t="s">
        <v>4539</v>
      </c>
      <c r="BM915" t="s">
        <v>4627</v>
      </c>
    </row>
    <row r="916" spans="1:65">
      <c r="A916" s="1">
        <f>HYPERLINK("https://lsnyc.legalserver.org/matter/dynamic-profile/view/1897154","19-1897154")</f>
        <v>0</v>
      </c>
      <c r="B916" t="s">
        <v>86</v>
      </c>
      <c r="C916" t="s">
        <v>93</v>
      </c>
      <c r="D916" t="s">
        <v>406</v>
      </c>
      <c r="F916" t="s">
        <v>917</v>
      </c>
      <c r="G916" t="s">
        <v>1059</v>
      </c>
      <c r="H916" t="s">
        <v>1577</v>
      </c>
      <c r="I916" t="s">
        <v>2151</v>
      </c>
      <c r="J916" t="s">
        <v>2205</v>
      </c>
      <c r="K916">
        <v>11233</v>
      </c>
      <c r="N916" t="s">
        <v>2233</v>
      </c>
      <c r="O916" t="s">
        <v>2792</v>
      </c>
      <c r="P916" t="s">
        <v>2930</v>
      </c>
      <c r="R916">
        <v>1</v>
      </c>
      <c r="S916">
        <v>1</v>
      </c>
      <c r="T916">
        <v>95.8</v>
      </c>
      <c r="W916">
        <v>16200</v>
      </c>
      <c r="X916" t="s">
        <v>3624</v>
      </c>
      <c r="Y916">
        <v>0</v>
      </c>
      <c r="AA916" t="s">
        <v>70</v>
      </c>
      <c r="AC916" t="s">
        <v>3942</v>
      </c>
      <c r="AD916" t="s">
        <v>3847</v>
      </c>
      <c r="AF916" t="s">
        <v>4059</v>
      </c>
      <c r="AH916" t="s">
        <v>4078</v>
      </c>
      <c r="AJ916" t="s">
        <v>3942</v>
      </c>
      <c r="AL916" t="s">
        <v>4070</v>
      </c>
      <c r="AM916" t="s">
        <v>2230</v>
      </c>
      <c r="AO916">
        <v>1100</v>
      </c>
      <c r="AQ916">
        <v>359</v>
      </c>
      <c r="AS916" t="s">
        <v>4113</v>
      </c>
      <c r="AU916" t="s">
        <v>4128</v>
      </c>
      <c r="AW916">
        <v>32</v>
      </c>
      <c r="AY916" t="s">
        <v>4140</v>
      </c>
      <c r="BA916" t="s">
        <v>4149</v>
      </c>
      <c r="BB916" t="s">
        <v>4154</v>
      </c>
      <c r="BF916" t="s">
        <v>4281</v>
      </c>
      <c r="BG916" t="s">
        <v>4539</v>
      </c>
      <c r="BM916" t="s">
        <v>4627</v>
      </c>
    </row>
    <row r="917" spans="1:65">
      <c r="A917" s="1">
        <f>HYPERLINK("https://lsnyc.legalserver.org/matter/dynamic-profile/view/1897159","19-1897159")</f>
        <v>0</v>
      </c>
      <c r="B917" t="s">
        <v>86</v>
      </c>
      <c r="C917" t="s">
        <v>93</v>
      </c>
      <c r="D917" t="s">
        <v>406</v>
      </c>
      <c r="F917" t="s">
        <v>917</v>
      </c>
      <c r="G917" t="s">
        <v>1059</v>
      </c>
      <c r="H917" t="s">
        <v>1577</v>
      </c>
      <c r="I917" t="s">
        <v>2151</v>
      </c>
      <c r="J917" t="s">
        <v>2205</v>
      </c>
      <c r="K917">
        <v>11233</v>
      </c>
      <c r="N917" t="s">
        <v>2233</v>
      </c>
      <c r="O917" t="s">
        <v>2792</v>
      </c>
      <c r="P917" t="s">
        <v>2930</v>
      </c>
      <c r="R917">
        <v>1</v>
      </c>
      <c r="S917">
        <v>1</v>
      </c>
      <c r="T917">
        <v>95.8</v>
      </c>
      <c r="W917">
        <v>16200</v>
      </c>
      <c r="X917" t="s">
        <v>3748</v>
      </c>
      <c r="Y917">
        <v>0</v>
      </c>
      <c r="AA917" t="s">
        <v>70</v>
      </c>
      <c r="AC917" t="s">
        <v>3942</v>
      </c>
      <c r="AD917" t="s">
        <v>4035</v>
      </c>
      <c r="AF917" t="s">
        <v>4061</v>
      </c>
      <c r="AH917" t="s">
        <v>3510</v>
      </c>
      <c r="AJ917" t="s">
        <v>3942</v>
      </c>
      <c r="AL917" t="s">
        <v>4070</v>
      </c>
      <c r="AM917" t="s">
        <v>2230</v>
      </c>
      <c r="AO917">
        <v>1100</v>
      </c>
      <c r="AQ917">
        <v>359</v>
      </c>
      <c r="AS917" t="s">
        <v>4113</v>
      </c>
      <c r="AU917" t="s">
        <v>4128</v>
      </c>
      <c r="AW917">
        <v>32</v>
      </c>
      <c r="AY917" t="s">
        <v>4140</v>
      </c>
      <c r="BA917" t="s">
        <v>4149</v>
      </c>
      <c r="BB917" t="s">
        <v>4154</v>
      </c>
      <c r="BF917" t="s">
        <v>4281</v>
      </c>
      <c r="BM917" t="s">
        <v>4627</v>
      </c>
    </row>
    <row r="918" spans="1:65">
      <c r="A918" s="1">
        <f>HYPERLINK("https://lsnyc.legalserver.org/matter/dynamic-profile/view/1891875","19-1891875")</f>
        <v>0</v>
      </c>
      <c r="B918" t="s">
        <v>86</v>
      </c>
      <c r="C918" t="s">
        <v>93</v>
      </c>
      <c r="D918" t="s">
        <v>421</v>
      </c>
      <c r="F918" t="s">
        <v>915</v>
      </c>
      <c r="G918" t="s">
        <v>1456</v>
      </c>
      <c r="H918" t="s">
        <v>1577</v>
      </c>
      <c r="I918" t="s">
        <v>2149</v>
      </c>
      <c r="J918" t="s">
        <v>2205</v>
      </c>
      <c r="K918">
        <v>11233</v>
      </c>
      <c r="N918" t="s">
        <v>2233</v>
      </c>
      <c r="O918" t="s">
        <v>2790</v>
      </c>
      <c r="P918" t="s">
        <v>2930</v>
      </c>
      <c r="R918">
        <v>3</v>
      </c>
      <c r="S918">
        <v>1</v>
      </c>
      <c r="T918">
        <v>174.76</v>
      </c>
      <c r="W918">
        <v>45000</v>
      </c>
      <c r="X918" t="s">
        <v>3749</v>
      </c>
      <c r="Y918">
        <v>0</v>
      </c>
      <c r="AA918" t="s">
        <v>90</v>
      </c>
      <c r="AC918" t="s">
        <v>3942</v>
      </c>
      <c r="AD918" t="s">
        <v>4035</v>
      </c>
      <c r="AF918" t="s">
        <v>4061</v>
      </c>
      <c r="AH918" t="s">
        <v>3510</v>
      </c>
      <c r="AJ918" t="s">
        <v>3942</v>
      </c>
      <c r="AK918" t="s">
        <v>4084</v>
      </c>
      <c r="AM918" t="s">
        <v>2230</v>
      </c>
      <c r="AO918">
        <v>1200</v>
      </c>
      <c r="AQ918">
        <v>359</v>
      </c>
      <c r="AS918" t="s">
        <v>4113</v>
      </c>
      <c r="AU918" t="s">
        <v>4128</v>
      </c>
      <c r="AW918">
        <v>10</v>
      </c>
      <c r="AY918" t="s">
        <v>4140</v>
      </c>
      <c r="BA918" t="s">
        <v>4149</v>
      </c>
      <c r="BB918" t="s">
        <v>4154</v>
      </c>
      <c r="BF918" t="s">
        <v>4281</v>
      </c>
      <c r="BG918" t="s">
        <v>4159</v>
      </c>
      <c r="BM918" t="s">
        <v>4627</v>
      </c>
    </row>
    <row r="919" spans="1:65">
      <c r="A919" s="1">
        <f>HYPERLINK("https://lsnyc.legalserver.org/matter/dynamic-profile/view/1891872","19-1891872")</f>
        <v>0</v>
      </c>
      <c r="B919" t="s">
        <v>86</v>
      </c>
      <c r="C919" t="s">
        <v>93</v>
      </c>
      <c r="D919" t="s">
        <v>421</v>
      </c>
      <c r="F919" t="s">
        <v>914</v>
      </c>
      <c r="G919" t="s">
        <v>1455</v>
      </c>
      <c r="H919" t="s">
        <v>1577</v>
      </c>
      <c r="I919" t="s">
        <v>2148</v>
      </c>
      <c r="J919" t="s">
        <v>2205</v>
      </c>
      <c r="K919">
        <v>11233</v>
      </c>
      <c r="N919" t="s">
        <v>2233</v>
      </c>
      <c r="O919" t="s">
        <v>2789</v>
      </c>
      <c r="P919" t="s">
        <v>2930</v>
      </c>
      <c r="R919">
        <v>1</v>
      </c>
      <c r="S919">
        <v>0</v>
      </c>
      <c r="T919">
        <v>192.53</v>
      </c>
      <c r="W919">
        <v>24046.8</v>
      </c>
      <c r="X919" t="s">
        <v>3750</v>
      </c>
      <c r="Y919">
        <v>0</v>
      </c>
      <c r="AA919" t="s">
        <v>90</v>
      </c>
      <c r="AC919" t="s">
        <v>3942</v>
      </c>
      <c r="AD919" t="s">
        <v>4035</v>
      </c>
      <c r="AF919" t="s">
        <v>4061</v>
      </c>
      <c r="AH919" t="s">
        <v>3510</v>
      </c>
      <c r="AJ919" t="s">
        <v>3942</v>
      </c>
      <c r="AK919" t="s">
        <v>4084</v>
      </c>
      <c r="AM919" t="s">
        <v>2230</v>
      </c>
      <c r="AO919">
        <v>965.96</v>
      </c>
      <c r="AQ919">
        <v>359</v>
      </c>
      <c r="AS919" t="s">
        <v>4113</v>
      </c>
      <c r="AT919" t="s">
        <v>4127</v>
      </c>
      <c r="AW919">
        <v>42</v>
      </c>
      <c r="AY919" t="s">
        <v>4140</v>
      </c>
      <c r="BA919" t="s">
        <v>4149</v>
      </c>
      <c r="BB919" t="s">
        <v>4154</v>
      </c>
      <c r="BF919" t="s">
        <v>4281</v>
      </c>
      <c r="BG919" t="s">
        <v>4128</v>
      </c>
      <c r="BM919" t="s">
        <v>4627</v>
      </c>
    </row>
    <row r="920" spans="1:65">
      <c r="A920" s="1">
        <f>HYPERLINK("https://lsnyc.legalserver.org/matter/dynamic-profile/view/1891983","19-1891983")</f>
        <v>0</v>
      </c>
      <c r="B920" t="s">
        <v>86</v>
      </c>
      <c r="C920" t="s">
        <v>93</v>
      </c>
      <c r="D920" t="s">
        <v>416</v>
      </c>
      <c r="F920" t="s">
        <v>673</v>
      </c>
      <c r="G920" t="s">
        <v>1457</v>
      </c>
      <c r="H920" t="s">
        <v>1633</v>
      </c>
      <c r="I920" t="s">
        <v>2152</v>
      </c>
      <c r="J920" t="s">
        <v>2205</v>
      </c>
      <c r="K920">
        <v>11233</v>
      </c>
      <c r="N920" t="s">
        <v>2233</v>
      </c>
      <c r="O920" t="s">
        <v>2793</v>
      </c>
      <c r="P920" t="s">
        <v>2930</v>
      </c>
      <c r="R920">
        <v>2</v>
      </c>
      <c r="S920">
        <v>0</v>
      </c>
      <c r="T920">
        <v>567.71</v>
      </c>
      <c r="W920">
        <v>96000</v>
      </c>
      <c r="X920" t="s">
        <v>3751</v>
      </c>
      <c r="Y920">
        <v>0</v>
      </c>
      <c r="AA920" t="s">
        <v>70</v>
      </c>
      <c r="AC920" t="s">
        <v>3942</v>
      </c>
      <c r="AD920" t="s">
        <v>3847</v>
      </c>
      <c r="AF920" t="s">
        <v>4059</v>
      </c>
      <c r="AH920" t="s">
        <v>4078</v>
      </c>
      <c r="AJ920" t="s">
        <v>3942</v>
      </c>
      <c r="AL920" t="s">
        <v>4070</v>
      </c>
      <c r="AM920" t="s">
        <v>2230</v>
      </c>
      <c r="AO920">
        <v>989.35</v>
      </c>
      <c r="AQ920">
        <v>359</v>
      </c>
      <c r="AS920" t="s">
        <v>4113</v>
      </c>
      <c r="AU920" t="s">
        <v>4128</v>
      </c>
      <c r="AW920">
        <v>16</v>
      </c>
      <c r="AY920" t="s">
        <v>4140</v>
      </c>
      <c r="BA920" t="s">
        <v>4149</v>
      </c>
      <c r="BB920" t="s">
        <v>4154</v>
      </c>
      <c r="BF920" t="s">
        <v>4281</v>
      </c>
      <c r="BG920" t="s">
        <v>4538</v>
      </c>
      <c r="BM920" t="s">
        <v>4627</v>
      </c>
    </row>
    <row r="921" spans="1:65">
      <c r="A921" s="1">
        <f>HYPERLINK("https://lsnyc.legalserver.org/matter/dynamic-profile/view/1898394","19-1898394")</f>
        <v>0</v>
      </c>
      <c r="B921" t="s">
        <v>86</v>
      </c>
      <c r="C921" t="s">
        <v>93</v>
      </c>
      <c r="D921" t="s">
        <v>320</v>
      </c>
      <c r="F921" t="s">
        <v>918</v>
      </c>
      <c r="G921" t="s">
        <v>1458</v>
      </c>
      <c r="H921" t="s">
        <v>1577</v>
      </c>
      <c r="I921" t="s">
        <v>2153</v>
      </c>
      <c r="J921" t="s">
        <v>2205</v>
      </c>
      <c r="K921">
        <v>11233</v>
      </c>
      <c r="N921" t="s">
        <v>2233</v>
      </c>
      <c r="O921" t="s">
        <v>2794</v>
      </c>
      <c r="P921" t="s">
        <v>2930</v>
      </c>
      <c r="R921">
        <v>2</v>
      </c>
      <c r="S921">
        <v>0</v>
      </c>
      <c r="T921">
        <v>502.66</v>
      </c>
      <c r="W921">
        <v>85000</v>
      </c>
      <c r="X921" t="s">
        <v>3624</v>
      </c>
      <c r="Y921">
        <v>0</v>
      </c>
      <c r="AA921" t="s">
        <v>70</v>
      </c>
      <c r="AC921" t="s">
        <v>3942</v>
      </c>
      <c r="AD921" t="s">
        <v>3847</v>
      </c>
      <c r="AF921" t="s">
        <v>4059</v>
      </c>
      <c r="AH921" t="s">
        <v>4078</v>
      </c>
      <c r="AJ921" t="s">
        <v>3942</v>
      </c>
      <c r="AL921" t="s">
        <v>4070</v>
      </c>
      <c r="AM921" t="s">
        <v>2230</v>
      </c>
      <c r="AO921">
        <v>1170.14</v>
      </c>
      <c r="AQ921">
        <v>359</v>
      </c>
      <c r="AS921" t="s">
        <v>4113</v>
      </c>
      <c r="AT921" t="s">
        <v>4127</v>
      </c>
      <c r="AW921">
        <v>19</v>
      </c>
      <c r="AY921" t="s">
        <v>4140</v>
      </c>
      <c r="BA921" t="s">
        <v>4149</v>
      </c>
      <c r="BB921" t="s">
        <v>4154</v>
      </c>
      <c r="BF921" t="s">
        <v>4281</v>
      </c>
      <c r="BG921" t="s">
        <v>4539</v>
      </c>
      <c r="BM921" t="s">
        <v>4627</v>
      </c>
    </row>
    <row r="922" spans="1:65">
      <c r="A922" s="1">
        <f>HYPERLINK("https://lsnyc.legalserver.org/matter/dynamic-profile/view/1897702","19-1897702")</f>
        <v>0</v>
      </c>
      <c r="B922" t="s">
        <v>86</v>
      </c>
      <c r="C922" t="s">
        <v>93</v>
      </c>
      <c r="D922" t="s">
        <v>431</v>
      </c>
      <c r="F922" t="s">
        <v>919</v>
      </c>
      <c r="G922" t="s">
        <v>1459</v>
      </c>
      <c r="H922" t="s">
        <v>1829</v>
      </c>
      <c r="I922" t="s">
        <v>2154</v>
      </c>
      <c r="J922" t="s">
        <v>2205</v>
      </c>
      <c r="K922">
        <v>11233</v>
      </c>
      <c r="N922" t="s">
        <v>2233</v>
      </c>
      <c r="O922" t="s">
        <v>2795</v>
      </c>
      <c r="P922" t="s">
        <v>2930</v>
      </c>
      <c r="R922">
        <v>4</v>
      </c>
      <c r="S922">
        <v>2</v>
      </c>
      <c r="T922">
        <v>130.1</v>
      </c>
      <c r="W922">
        <v>45000</v>
      </c>
      <c r="X922" t="s">
        <v>3737</v>
      </c>
      <c r="Y922">
        <v>0</v>
      </c>
      <c r="AA922" t="s">
        <v>70</v>
      </c>
      <c r="AC922" t="s">
        <v>3942</v>
      </c>
      <c r="AD922" t="s">
        <v>3847</v>
      </c>
      <c r="AF922" t="s">
        <v>4059</v>
      </c>
      <c r="AH922" t="s">
        <v>4078</v>
      </c>
      <c r="AJ922" t="s">
        <v>3942</v>
      </c>
      <c r="AL922" t="s">
        <v>4070</v>
      </c>
      <c r="AM922" t="s">
        <v>2230</v>
      </c>
      <c r="AO922">
        <v>1330</v>
      </c>
      <c r="AQ922">
        <v>359</v>
      </c>
      <c r="AS922" t="s">
        <v>4113</v>
      </c>
      <c r="AT922" t="s">
        <v>4127</v>
      </c>
      <c r="AW922">
        <v>24</v>
      </c>
      <c r="AY922" t="s">
        <v>4070</v>
      </c>
      <c r="BA922" t="s">
        <v>4149</v>
      </c>
      <c r="BB922" t="s">
        <v>4154</v>
      </c>
      <c r="BF922" t="s">
        <v>4281</v>
      </c>
      <c r="BG922" t="s">
        <v>4538</v>
      </c>
      <c r="BM922" t="s">
        <v>4627</v>
      </c>
    </row>
    <row r="923" spans="1:65">
      <c r="A923" s="1">
        <f>HYPERLINK("https://lsnyc.legalserver.org/matter/dynamic-profile/view/1890561","19-1890561")</f>
        <v>0</v>
      </c>
      <c r="B923" t="s">
        <v>86</v>
      </c>
      <c r="C923" t="s">
        <v>93</v>
      </c>
      <c r="D923" t="s">
        <v>414</v>
      </c>
      <c r="F923" t="s">
        <v>910</v>
      </c>
      <c r="G923" t="s">
        <v>1460</v>
      </c>
      <c r="H923" t="s">
        <v>1577</v>
      </c>
      <c r="I923" t="s">
        <v>2155</v>
      </c>
      <c r="J923" t="s">
        <v>2205</v>
      </c>
      <c r="K923">
        <v>11233</v>
      </c>
      <c r="N923" t="s">
        <v>2233</v>
      </c>
      <c r="O923" t="s">
        <v>2796</v>
      </c>
      <c r="P923" t="s">
        <v>2930</v>
      </c>
      <c r="R923">
        <v>2</v>
      </c>
      <c r="S923">
        <v>3</v>
      </c>
      <c r="T923">
        <v>222.07</v>
      </c>
      <c r="W923">
        <v>67000</v>
      </c>
      <c r="X923" t="s">
        <v>3624</v>
      </c>
      <c r="Y923">
        <v>0</v>
      </c>
      <c r="AA923" t="s">
        <v>70</v>
      </c>
      <c r="AC923" t="s">
        <v>3942</v>
      </c>
      <c r="AD923" t="s">
        <v>3847</v>
      </c>
      <c r="AF923" t="s">
        <v>4059</v>
      </c>
      <c r="AH923" t="s">
        <v>4078</v>
      </c>
      <c r="AJ923" t="s">
        <v>3942</v>
      </c>
      <c r="AL923" t="s">
        <v>4070</v>
      </c>
      <c r="AM923" t="s">
        <v>2230</v>
      </c>
      <c r="AO923">
        <v>1031.53</v>
      </c>
      <c r="AQ923">
        <v>359</v>
      </c>
      <c r="AS923" t="s">
        <v>4113</v>
      </c>
      <c r="AU923" t="s">
        <v>4128</v>
      </c>
      <c r="AW923">
        <v>21</v>
      </c>
      <c r="AY923" t="s">
        <v>4140</v>
      </c>
      <c r="BA923" t="s">
        <v>4149</v>
      </c>
      <c r="BB923" t="s">
        <v>4154</v>
      </c>
      <c r="BF923" t="s">
        <v>4281</v>
      </c>
      <c r="BG923" t="s">
        <v>4539</v>
      </c>
      <c r="BM923" t="s">
        <v>4627</v>
      </c>
    </row>
    <row r="924" spans="1:65">
      <c r="A924" s="1">
        <f>HYPERLINK("https://lsnyc.legalserver.org/matter/dynamic-profile/view/1898027","19-1898027")</f>
        <v>0</v>
      </c>
      <c r="B924" t="s">
        <v>86</v>
      </c>
      <c r="C924" t="s">
        <v>93</v>
      </c>
      <c r="D924" t="s">
        <v>428</v>
      </c>
      <c r="F924" t="s">
        <v>920</v>
      </c>
      <c r="G924" t="s">
        <v>1461</v>
      </c>
      <c r="H924" t="s">
        <v>1829</v>
      </c>
      <c r="I924" t="s">
        <v>2156</v>
      </c>
      <c r="J924" t="s">
        <v>2205</v>
      </c>
      <c r="K924">
        <v>11233</v>
      </c>
      <c r="N924" t="s">
        <v>2233</v>
      </c>
      <c r="O924" t="s">
        <v>2797</v>
      </c>
      <c r="Q924" t="s">
        <v>3339</v>
      </c>
      <c r="R924">
        <v>1</v>
      </c>
      <c r="S924">
        <v>0</v>
      </c>
      <c r="T924">
        <v>216.17</v>
      </c>
      <c r="W924">
        <v>27000</v>
      </c>
      <c r="X924" t="s">
        <v>3752</v>
      </c>
      <c r="Y924">
        <v>0</v>
      </c>
      <c r="AA924" t="s">
        <v>70</v>
      </c>
      <c r="AC924" t="s">
        <v>3942</v>
      </c>
      <c r="AD924" t="s">
        <v>4035</v>
      </c>
      <c r="AF924" t="s">
        <v>4061</v>
      </c>
      <c r="AH924" t="s">
        <v>3510</v>
      </c>
      <c r="AJ924" t="s">
        <v>3942</v>
      </c>
      <c r="AL924" t="s">
        <v>4070</v>
      </c>
      <c r="AM924" t="s">
        <v>2230</v>
      </c>
      <c r="AO924">
        <v>836.36</v>
      </c>
      <c r="AQ924">
        <v>359</v>
      </c>
      <c r="AS924" t="s">
        <v>4113</v>
      </c>
      <c r="AT924" t="s">
        <v>4127</v>
      </c>
      <c r="AW924">
        <v>16</v>
      </c>
      <c r="AY924" t="s">
        <v>4140</v>
      </c>
      <c r="BA924" t="s">
        <v>4149</v>
      </c>
      <c r="BB924" t="s">
        <v>4154</v>
      </c>
      <c r="BF924" t="s">
        <v>4281</v>
      </c>
      <c r="BM924" t="s">
        <v>4627</v>
      </c>
    </row>
    <row r="925" spans="1:65">
      <c r="A925" s="1">
        <f>HYPERLINK("https://lsnyc.legalserver.org/matter/dynamic-profile/view/1898022","19-1898022")</f>
        <v>0</v>
      </c>
      <c r="B925" t="s">
        <v>86</v>
      </c>
      <c r="C925" t="s">
        <v>93</v>
      </c>
      <c r="D925" t="s">
        <v>428</v>
      </c>
      <c r="F925" t="s">
        <v>920</v>
      </c>
      <c r="G925" t="s">
        <v>1461</v>
      </c>
      <c r="H925" t="s">
        <v>1829</v>
      </c>
      <c r="I925" t="s">
        <v>2156</v>
      </c>
      <c r="J925" t="s">
        <v>2205</v>
      </c>
      <c r="K925">
        <v>11233</v>
      </c>
      <c r="N925" t="s">
        <v>2233</v>
      </c>
      <c r="O925" t="s">
        <v>2797</v>
      </c>
      <c r="Q925" t="s">
        <v>3339</v>
      </c>
      <c r="R925">
        <v>1</v>
      </c>
      <c r="S925">
        <v>0</v>
      </c>
      <c r="T925">
        <v>216.17</v>
      </c>
      <c r="W925">
        <v>27000</v>
      </c>
      <c r="X925" t="s">
        <v>3753</v>
      </c>
      <c r="Y925">
        <v>0</v>
      </c>
      <c r="AA925" t="s">
        <v>70</v>
      </c>
      <c r="AC925" t="s">
        <v>3942</v>
      </c>
      <c r="AD925" t="s">
        <v>3847</v>
      </c>
      <c r="AF925" t="s">
        <v>4059</v>
      </c>
      <c r="AH925" t="s">
        <v>4078</v>
      </c>
      <c r="AJ925" t="s">
        <v>3942</v>
      </c>
      <c r="AL925" t="s">
        <v>4070</v>
      </c>
      <c r="AM925" t="s">
        <v>2230</v>
      </c>
      <c r="AO925">
        <v>836.36</v>
      </c>
      <c r="AQ925">
        <v>359</v>
      </c>
      <c r="AS925" t="s">
        <v>4113</v>
      </c>
      <c r="AT925" t="s">
        <v>4127</v>
      </c>
      <c r="AW925">
        <v>16</v>
      </c>
      <c r="AY925" t="s">
        <v>4140</v>
      </c>
      <c r="BA925" t="s">
        <v>4149</v>
      </c>
      <c r="BB925" t="s">
        <v>4154</v>
      </c>
      <c r="BF925" t="s">
        <v>4281</v>
      </c>
      <c r="BG925" t="s">
        <v>4538</v>
      </c>
      <c r="BM925" t="s">
        <v>4627</v>
      </c>
    </row>
    <row r="926" spans="1:65">
      <c r="A926" s="1">
        <f>HYPERLINK("https://lsnyc.legalserver.org/matter/dynamic-profile/view/1891502","19-1891502")</f>
        <v>0</v>
      </c>
      <c r="B926" t="s">
        <v>86</v>
      </c>
      <c r="C926" t="s">
        <v>93</v>
      </c>
      <c r="D926" t="s">
        <v>407</v>
      </c>
      <c r="F926" t="s">
        <v>921</v>
      </c>
      <c r="G926" t="s">
        <v>1431</v>
      </c>
      <c r="H926" t="s">
        <v>1633</v>
      </c>
      <c r="I926" t="s">
        <v>2148</v>
      </c>
      <c r="J926" t="s">
        <v>2205</v>
      </c>
      <c r="K926">
        <v>11233</v>
      </c>
      <c r="N926" t="s">
        <v>2233</v>
      </c>
      <c r="O926" t="s">
        <v>2798</v>
      </c>
      <c r="P926" t="s">
        <v>2930</v>
      </c>
      <c r="R926">
        <v>2</v>
      </c>
      <c r="S926">
        <v>1</v>
      </c>
      <c r="T926">
        <v>215.66</v>
      </c>
      <c r="U926" t="s">
        <v>274</v>
      </c>
      <c r="V926" t="s">
        <v>3458</v>
      </c>
      <c r="W926">
        <v>46000</v>
      </c>
      <c r="X926" t="s">
        <v>3754</v>
      </c>
      <c r="Y926">
        <v>0</v>
      </c>
      <c r="AA926" t="s">
        <v>90</v>
      </c>
      <c r="AC926" t="s">
        <v>3942</v>
      </c>
      <c r="AD926" t="s">
        <v>4035</v>
      </c>
      <c r="AF926" t="s">
        <v>4061</v>
      </c>
      <c r="AH926" t="s">
        <v>3510</v>
      </c>
      <c r="AJ926" t="s">
        <v>3942</v>
      </c>
      <c r="AK926" t="s">
        <v>4084</v>
      </c>
      <c r="AM926" t="s">
        <v>2230</v>
      </c>
      <c r="AO926">
        <v>997</v>
      </c>
      <c r="AQ926">
        <v>359</v>
      </c>
      <c r="AS926" t="s">
        <v>4113</v>
      </c>
      <c r="AT926" t="s">
        <v>4127</v>
      </c>
      <c r="AW926">
        <v>40</v>
      </c>
      <c r="AY926" t="s">
        <v>4140</v>
      </c>
      <c r="BA926" t="s">
        <v>4149</v>
      </c>
      <c r="BB926" t="s">
        <v>4154</v>
      </c>
      <c r="BF926" t="s">
        <v>4281</v>
      </c>
      <c r="BG926" t="s">
        <v>4128</v>
      </c>
      <c r="BM926" t="s">
        <v>4627</v>
      </c>
    </row>
    <row r="927" spans="1:65">
      <c r="A927" s="1">
        <f>HYPERLINK("https://lsnyc.legalserver.org/matter/dynamic-profile/view/1891865","19-1891865")</f>
        <v>0</v>
      </c>
      <c r="B927" t="s">
        <v>86</v>
      </c>
      <c r="C927" t="s">
        <v>93</v>
      </c>
      <c r="D927" t="s">
        <v>421</v>
      </c>
      <c r="F927" t="s">
        <v>852</v>
      </c>
      <c r="G927" t="s">
        <v>1383</v>
      </c>
      <c r="H927" t="s">
        <v>1577</v>
      </c>
      <c r="I927" t="s">
        <v>2083</v>
      </c>
      <c r="J927" t="s">
        <v>2205</v>
      </c>
      <c r="K927">
        <v>11233</v>
      </c>
      <c r="N927" t="s">
        <v>2233</v>
      </c>
      <c r="O927" t="s">
        <v>2699</v>
      </c>
      <c r="P927" t="s">
        <v>2930</v>
      </c>
      <c r="R927">
        <v>2</v>
      </c>
      <c r="S927">
        <v>2</v>
      </c>
      <c r="T927">
        <v>129.51</v>
      </c>
      <c r="W927">
        <v>33348</v>
      </c>
      <c r="X927" t="s">
        <v>3755</v>
      </c>
      <c r="Y927">
        <v>0</v>
      </c>
      <c r="AA927" t="s">
        <v>90</v>
      </c>
      <c r="AC927" t="s">
        <v>3942</v>
      </c>
      <c r="AD927" t="s">
        <v>4035</v>
      </c>
      <c r="AF927" t="s">
        <v>4061</v>
      </c>
      <c r="AH927" t="s">
        <v>3510</v>
      </c>
      <c r="AJ927" t="s">
        <v>3942</v>
      </c>
      <c r="AK927" t="s">
        <v>4084</v>
      </c>
      <c r="AM927" t="s">
        <v>2230</v>
      </c>
      <c r="AO927">
        <v>915</v>
      </c>
      <c r="AQ927">
        <v>359</v>
      </c>
      <c r="AS927" t="s">
        <v>4113</v>
      </c>
      <c r="AU927" t="s">
        <v>4128</v>
      </c>
      <c r="AW927">
        <v>6</v>
      </c>
      <c r="AY927" t="s">
        <v>4140</v>
      </c>
      <c r="BA927" t="s">
        <v>4149</v>
      </c>
      <c r="BB927" t="s">
        <v>4154</v>
      </c>
      <c r="BF927" t="s">
        <v>4281</v>
      </c>
      <c r="BG927" t="s">
        <v>4128</v>
      </c>
      <c r="BM927" t="s">
        <v>4627</v>
      </c>
    </row>
    <row r="928" spans="1:65">
      <c r="A928" s="1">
        <f>HYPERLINK("https://lsnyc.legalserver.org/matter/dynamic-profile/view/1891867","19-1891867")</f>
        <v>0</v>
      </c>
      <c r="B928" t="s">
        <v>86</v>
      </c>
      <c r="C928" t="s">
        <v>93</v>
      </c>
      <c r="D928" t="s">
        <v>421</v>
      </c>
      <c r="F928" t="s">
        <v>910</v>
      </c>
      <c r="G928" t="s">
        <v>1460</v>
      </c>
      <c r="H928" t="s">
        <v>1577</v>
      </c>
      <c r="I928" t="s">
        <v>2155</v>
      </c>
      <c r="J928" t="s">
        <v>2205</v>
      </c>
      <c r="K928">
        <v>11233</v>
      </c>
      <c r="N928" t="s">
        <v>2233</v>
      </c>
      <c r="O928" t="s">
        <v>2796</v>
      </c>
      <c r="P928" t="s">
        <v>2930</v>
      </c>
      <c r="R928">
        <v>2</v>
      </c>
      <c r="S928">
        <v>3</v>
      </c>
      <c r="T928">
        <v>222.07</v>
      </c>
      <c r="W928">
        <v>67000</v>
      </c>
      <c r="X928" t="s">
        <v>3756</v>
      </c>
      <c r="Y928">
        <v>0</v>
      </c>
      <c r="AA928" t="s">
        <v>90</v>
      </c>
      <c r="AC928" t="s">
        <v>3942</v>
      </c>
      <c r="AD928" t="s">
        <v>4035</v>
      </c>
      <c r="AF928" t="s">
        <v>4061</v>
      </c>
      <c r="AH928" t="s">
        <v>3510</v>
      </c>
      <c r="AJ928" t="s">
        <v>3942</v>
      </c>
      <c r="AK928" t="s">
        <v>4084</v>
      </c>
      <c r="AM928" t="s">
        <v>2230</v>
      </c>
      <c r="AO928">
        <v>1031.53</v>
      </c>
      <c r="AQ928">
        <v>359</v>
      </c>
      <c r="AS928" t="s">
        <v>4113</v>
      </c>
      <c r="AU928" t="s">
        <v>4128</v>
      </c>
      <c r="AW928">
        <v>21</v>
      </c>
      <c r="AY928" t="s">
        <v>4140</v>
      </c>
      <c r="BA928" t="s">
        <v>4149</v>
      </c>
      <c r="BB928" t="s">
        <v>4154</v>
      </c>
      <c r="BF928" t="s">
        <v>4281</v>
      </c>
      <c r="BM928" t="s">
        <v>4627</v>
      </c>
    </row>
    <row r="929" spans="1:65">
      <c r="A929" s="1">
        <f>HYPERLINK("https://lsnyc.legalserver.org/matter/dynamic-profile/view/1891500","19-1891500")</f>
        <v>0</v>
      </c>
      <c r="B929" t="s">
        <v>86</v>
      </c>
      <c r="C929" t="s">
        <v>93</v>
      </c>
      <c r="D929" t="s">
        <v>407</v>
      </c>
      <c r="F929" t="s">
        <v>921</v>
      </c>
      <c r="G929" t="s">
        <v>1431</v>
      </c>
      <c r="H929" t="s">
        <v>1633</v>
      </c>
      <c r="I929" t="s">
        <v>2148</v>
      </c>
      <c r="J929" t="s">
        <v>2205</v>
      </c>
      <c r="K929">
        <v>11233</v>
      </c>
      <c r="N929" t="s">
        <v>2233</v>
      </c>
      <c r="O929" t="s">
        <v>2798</v>
      </c>
      <c r="P929" t="s">
        <v>2930</v>
      </c>
      <c r="R929">
        <v>2</v>
      </c>
      <c r="S929">
        <v>1</v>
      </c>
      <c r="T929">
        <v>215.66</v>
      </c>
      <c r="U929" t="s">
        <v>274</v>
      </c>
      <c r="V929" t="s">
        <v>3458</v>
      </c>
      <c r="W929">
        <v>46000</v>
      </c>
      <c r="X929" t="s">
        <v>3627</v>
      </c>
      <c r="Y929">
        <v>0</v>
      </c>
      <c r="AA929" t="s">
        <v>90</v>
      </c>
      <c r="AC929" t="s">
        <v>3942</v>
      </c>
      <c r="AD929" t="s">
        <v>3847</v>
      </c>
      <c r="AF929" t="s">
        <v>4059</v>
      </c>
      <c r="AH929" t="s">
        <v>4078</v>
      </c>
      <c r="AJ929" t="s">
        <v>3942</v>
      </c>
      <c r="AK929" t="s">
        <v>4084</v>
      </c>
      <c r="AM929" t="s">
        <v>2230</v>
      </c>
      <c r="AO929">
        <v>997</v>
      </c>
      <c r="AQ929">
        <v>359</v>
      </c>
      <c r="AS929" t="s">
        <v>4113</v>
      </c>
      <c r="AT929" t="s">
        <v>4127</v>
      </c>
      <c r="AW929">
        <v>40</v>
      </c>
      <c r="AY929" t="s">
        <v>4140</v>
      </c>
      <c r="BA929" t="s">
        <v>4149</v>
      </c>
      <c r="BB929" t="s">
        <v>4154</v>
      </c>
      <c r="BF929" t="s">
        <v>4281</v>
      </c>
      <c r="BG929" t="s">
        <v>4538</v>
      </c>
      <c r="BM929" t="s">
        <v>4627</v>
      </c>
    </row>
    <row r="930" spans="1:65">
      <c r="A930" s="1">
        <f>HYPERLINK("https://lsnyc.legalserver.org/matter/dynamic-profile/view/1892008","19-1892008")</f>
        <v>0</v>
      </c>
      <c r="B930" t="s">
        <v>86</v>
      </c>
      <c r="C930" t="s">
        <v>93</v>
      </c>
      <c r="D930" t="s">
        <v>416</v>
      </c>
      <c r="F930" t="s">
        <v>922</v>
      </c>
      <c r="G930" t="s">
        <v>1462</v>
      </c>
      <c r="H930" t="s">
        <v>1577</v>
      </c>
      <c r="I930" t="s">
        <v>1989</v>
      </c>
      <c r="J930" t="s">
        <v>2205</v>
      </c>
      <c r="K930">
        <v>11233</v>
      </c>
      <c r="N930" t="s">
        <v>2233</v>
      </c>
      <c r="O930" t="s">
        <v>2799</v>
      </c>
      <c r="P930" t="s">
        <v>2930</v>
      </c>
      <c r="R930">
        <v>1</v>
      </c>
      <c r="S930">
        <v>1</v>
      </c>
      <c r="T930">
        <v>76.88</v>
      </c>
      <c r="W930">
        <v>13000</v>
      </c>
      <c r="X930" t="s">
        <v>3757</v>
      </c>
      <c r="Y930">
        <v>0</v>
      </c>
      <c r="AA930" t="s">
        <v>70</v>
      </c>
      <c r="AC930" t="s">
        <v>3942</v>
      </c>
      <c r="AD930" t="s">
        <v>4035</v>
      </c>
      <c r="AF930" t="s">
        <v>4061</v>
      </c>
      <c r="AH930" t="s">
        <v>3510</v>
      </c>
      <c r="AJ930" t="s">
        <v>3942</v>
      </c>
      <c r="AL930" t="s">
        <v>4070</v>
      </c>
      <c r="AM930" t="s">
        <v>2230</v>
      </c>
      <c r="AO930">
        <v>654.65</v>
      </c>
      <c r="AQ930">
        <v>359</v>
      </c>
      <c r="AS930" t="s">
        <v>4113</v>
      </c>
      <c r="AU930" t="s">
        <v>4128</v>
      </c>
      <c r="AW930">
        <v>17</v>
      </c>
      <c r="AY930" t="s">
        <v>4140</v>
      </c>
      <c r="BA930" t="s">
        <v>4149</v>
      </c>
      <c r="BB930" t="s">
        <v>4154</v>
      </c>
      <c r="BF930" t="s">
        <v>4281</v>
      </c>
      <c r="BM930" t="s">
        <v>4627</v>
      </c>
    </row>
    <row r="931" spans="1:65">
      <c r="A931" s="1">
        <f>HYPERLINK("https://lsnyc.legalserver.org/matter/dynamic-profile/view/1890540","19-1890540")</f>
        <v>0</v>
      </c>
      <c r="B931" t="s">
        <v>86</v>
      </c>
      <c r="C931" t="s">
        <v>93</v>
      </c>
      <c r="D931" t="s">
        <v>414</v>
      </c>
      <c r="F931" t="s">
        <v>923</v>
      </c>
      <c r="G931" t="s">
        <v>1463</v>
      </c>
      <c r="H931" t="s">
        <v>1577</v>
      </c>
      <c r="I931" t="s">
        <v>2157</v>
      </c>
      <c r="J931" t="s">
        <v>2205</v>
      </c>
      <c r="K931">
        <v>11233</v>
      </c>
      <c r="N931" t="s">
        <v>2233</v>
      </c>
      <c r="O931" t="s">
        <v>2800</v>
      </c>
      <c r="P931" t="s">
        <v>2930</v>
      </c>
      <c r="R931">
        <v>4</v>
      </c>
      <c r="S931">
        <v>0</v>
      </c>
      <c r="T931">
        <v>193.03</v>
      </c>
      <c r="W931">
        <v>49705</v>
      </c>
      <c r="X931" t="s">
        <v>3676</v>
      </c>
      <c r="Y931">
        <v>0</v>
      </c>
      <c r="AA931" t="s">
        <v>90</v>
      </c>
      <c r="AC931" t="s">
        <v>3942</v>
      </c>
      <c r="AD931" t="s">
        <v>3847</v>
      </c>
      <c r="AF931" t="s">
        <v>4059</v>
      </c>
      <c r="AH931" t="s">
        <v>4078</v>
      </c>
      <c r="AJ931" t="s">
        <v>3942</v>
      </c>
      <c r="AL931" t="s">
        <v>4088</v>
      </c>
      <c r="AM931" t="s">
        <v>2230</v>
      </c>
      <c r="AO931">
        <v>950</v>
      </c>
      <c r="AQ931">
        <v>359</v>
      </c>
      <c r="AS931" t="s">
        <v>4113</v>
      </c>
      <c r="AU931" t="s">
        <v>4128</v>
      </c>
      <c r="AW931">
        <v>15</v>
      </c>
      <c r="AY931" t="s">
        <v>4140</v>
      </c>
      <c r="BA931" t="s">
        <v>4149</v>
      </c>
      <c r="BB931" t="s">
        <v>4154</v>
      </c>
      <c r="BF931" t="s">
        <v>4281</v>
      </c>
      <c r="BG931" t="s">
        <v>4539</v>
      </c>
      <c r="BM931" t="s">
        <v>4627</v>
      </c>
    </row>
    <row r="932" spans="1:65">
      <c r="A932" s="1">
        <f>HYPERLINK("https://lsnyc.legalserver.org/matter/dynamic-profile/view/1898379","19-1898379")</f>
        <v>0</v>
      </c>
      <c r="B932" t="s">
        <v>86</v>
      </c>
      <c r="C932" t="s">
        <v>93</v>
      </c>
      <c r="D932" t="s">
        <v>320</v>
      </c>
      <c r="F932" t="s">
        <v>924</v>
      </c>
      <c r="G932" t="s">
        <v>1464</v>
      </c>
      <c r="H932" t="s">
        <v>1577</v>
      </c>
      <c r="I932" t="s">
        <v>2158</v>
      </c>
      <c r="J932" t="s">
        <v>2205</v>
      </c>
      <c r="K932">
        <v>11233</v>
      </c>
      <c r="N932" t="s">
        <v>2233</v>
      </c>
      <c r="O932" t="s">
        <v>2801</v>
      </c>
      <c r="P932" t="s">
        <v>2930</v>
      </c>
      <c r="R932">
        <v>2</v>
      </c>
      <c r="S932">
        <v>0</v>
      </c>
      <c r="T932">
        <v>212.89</v>
      </c>
      <c r="W932">
        <v>36000</v>
      </c>
      <c r="X932" t="s">
        <v>3758</v>
      </c>
      <c r="Y932">
        <v>0</v>
      </c>
      <c r="AA932" t="s">
        <v>70</v>
      </c>
      <c r="AC932" t="s">
        <v>3942</v>
      </c>
      <c r="AD932" t="s">
        <v>4035</v>
      </c>
      <c r="AF932" t="s">
        <v>4061</v>
      </c>
      <c r="AH932" t="s">
        <v>3510</v>
      </c>
      <c r="AJ932" t="s">
        <v>3942</v>
      </c>
      <c r="AL932" t="s">
        <v>4070</v>
      </c>
      <c r="AM932" t="s">
        <v>2230</v>
      </c>
      <c r="AO932">
        <v>1082.69</v>
      </c>
      <c r="AQ932">
        <v>359</v>
      </c>
      <c r="AS932" t="s">
        <v>4113</v>
      </c>
      <c r="AT932" t="s">
        <v>4127</v>
      </c>
      <c r="AW932">
        <v>39</v>
      </c>
      <c r="AY932" t="s">
        <v>4140</v>
      </c>
      <c r="BA932" t="s">
        <v>4149</v>
      </c>
      <c r="BB932" t="s">
        <v>4154</v>
      </c>
      <c r="BF932" t="s">
        <v>4281</v>
      </c>
      <c r="BM932" t="s">
        <v>4627</v>
      </c>
    </row>
    <row r="933" spans="1:65">
      <c r="A933" s="1">
        <f>HYPERLINK("https://lsnyc.legalserver.org/matter/dynamic-profile/view/1898376","19-1898376")</f>
        <v>0</v>
      </c>
      <c r="B933" t="s">
        <v>86</v>
      </c>
      <c r="C933" t="s">
        <v>93</v>
      </c>
      <c r="D933" t="s">
        <v>320</v>
      </c>
      <c r="F933" t="s">
        <v>924</v>
      </c>
      <c r="G933" t="s">
        <v>1464</v>
      </c>
      <c r="H933" t="s">
        <v>1577</v>
      </c>
      <c r="I933" t="s">
        <v>2158</v>
      </c>
      <c r="J933" t="s">
        <v>2205</v>
      </c>
      <c r="K933">
        <v>11233</v>
      </c>
      <c r="N933" t="s">
        <v>2233</v>
      </c>
      <c r="O933" t="s">
        <v>2801</v>
      </c>
      <c r="P933" t="s">
        <v>2930</v>
      </c>
      <c r="R933">
        <v>2</v>
      </c>
      <c r="S933">
        <v>0</v>
      </c>
      <c r="T933">
        <v>212.89</v>
      </c>
      <c r="W933">
        <v>36000</v>
      </c>
      <c r="X933" t="s">
        <v>3624</v>
      </c>
      <c r="Y933">
        <v>0</v>
      </c>
      <c r="AA933" t="s">
        <v>70</v>
      </c>
      <c r="AC933" t="s">
        <v>3942</v>
      </c>
      <c r="AD933" t="s">
        <v>3847</v>
      </c>
      <c r="AF933" t="s">
        <v>4059</v>
      </c>
      <c r="AH933" t="s">
        <v>4078</v>
      </c>
      <c r="AJ933" t="s">
        <v>3942</v>
      </c>
      <c r="AL933" t="s">
        <v>4070</v>
      </c>
      <c r="AM933" t="s">
        <v>2230</v>
      </c>
      <c r="AO933">
        <v>1082.69</v>
      </c>
      <c r="AQ933">
        <v>359</v>
      </c>
      <c r="AS933" t="s">
        <v>4113</v>
      </c>
      <c r="AT933" t="s">
        <v>4127</v>
      </c>
      <c r="AW933">
        <v>39</v>
      </c>
      <c r="AY933" t="s">
        <v>4140</v>
      </c>
      <c r="BA933" t="s">
        <v>4149</v>
      </c>
      <c r="BB933" t="s">
        <v>4154</v>
      </c>
      <c r="BF933" t="s">
        <v>4281</v>
      </c>
      <c r="BG933" t="s">
        <v>4539</v>
      </c>
      <c r="BM933" t="s">
        <v>4627</v>
      </c>
    </row>
    <row r="934" spans="1:65">
      <c r="A934" s="1">
        <f>HYPERLINK("https://lsnyc.legalserver.org/matter/dynamic-profile/view/1891991","19-1891991")</f>
        <v>0</v>
      </c>
      <c r="B934" t="s">
        <v>86</v>
      </c>
      <c r="C934" t="s">
        <v>93</v>
      </c>
      <c r="D934" t="s">
        <v>416</v>
      </c>
      <c r="F934" t="s">
        <v>884</v>
      </c>
      <c r="G934" t="s">
        <v>1465</v>
      </c>
      <c r="H934" t="s">
        <v>1828</v>
      </c>
      <c r="I934" t="s">
        <v>2159</v>
      </c>
      <c r="J934" t="s">
        <v>2205</v>
      </c>
      <c r="K934">
        <v>11233</v>
      </c>
      <c r="N934" t="s">
        <v>2233</v>
      </c>
      <c r="O934" t="s">
        <v>2802</v>
      </c>
      <c r="P934" t="s">
        <v>2930</v>
      </c>
      <c r="R934">
        <v>2</v>
      </c>
      <c r="S934">
        <v>0</v>
      </c>
      <c r="T934">
        <v>77.31999999999999</v>
      </c>
      <c r="W934">
        <v>13074</v>
      </c>
      <c r="X934" t="s">
        <v>3759</v>
      </c>
      <c r="Y934">
        <v>0</v>
      </c>
      <c r="AA934" t="s">
        <v>70</v>
      </c>
      <c r="AC934" t="s">
        <v>3942</v>
      </c>
      <c r="AD934" t="s">
        <v>3847</v>
      </c>
      <c r="AF934" t="s">
        <v>4059</v>
      </c>
      <c r="AH934" t="s">
        <v>4078</v>
      </c>
      <c r="AJ934" t="s">
        <v>3942</v>
      </c>
      <c r="AL934" t="s">
        <v>4070</v>
      </c>
      <c r="AM934" t="s">
        <v>2230</v>
      </c>
      <c r="AO934">
        <v>1040.6</v>
      </c>
      <c r="AQ934">
        <v>359</v>
      </c>
      <c r="AS934" t="s">
        <v>4113</v>
      </c>
      <c r="AU934" t="s">
        <v>4129</v>
      </c>
      <c r="AW934">
        <v>29</v>
      </c>
      <c r="AY934" t="s">
        <v>4140</v>
      </c>
      <c r="BA934" t="s">
        <v>4149</v>
      </c>
      <c r="BB934" t="s">
        <v>4154</v>
      </c>
      <c r="BF934" t="s">
        <v>4281</v>
      </c>
      <c r="BG934" t="s">
        <v>4539</v>
      </c>
      <c r="BM934" t="s">
        <v>4627</v>
      </c>
    </row>
    <row r="935" spans="1:65">
      <c r="A935" s="1">
        <f>HYPERLINK("https://lsnyc.legalserver.org/matter/dynamic-profile/view/1891999","19-1891999")</f>
        <v>0</v>
      </c>
      <c r="B935" t="s">
        <v>86</v>
      </c>
      <c r="C935" t="s">
        <v>93</v>
      </c>
      <c r="D935" t="s">
        <v>416</v>
      </c>
      <c r="F935" t="s">
        <v>884</v>
      </c>
      <c r="G935" t="s">
        <v>1465</v>
      </c>
      <c r="H935" t="s">
        <v>1828</v>
      </c>
      <c r="I935" t="s">
        <v>2159</v>
      </c>
      <c r="J935" t="s">
        <v>2205</v>
      </c>
      <c r="K935">
        <v>11233</v>
      </c>
      <c r="N935" t="s">
        <v>2233</v>
      </c>
      <c r="O935" t="s">
        <v>2802</v>
      </c>
      <c r="P935" t="s">
        <v>2930</v>
      </c>
      <c r="R935">
        <v>2</v>
      </c>
      <c r="S935">
        <v>0</v>
      </c>
      <c r="T935">
        <v>77.31999999999999</v>
      </c>
      <c r="W935">
        <v>13074</v>
      </c>
      <c r="X935" t="s">
        <v>3760</v>
      </c>
      <c r="Y935">
        <v>0</v>
      </c>
      <c r="AA935" t="s">
        <v>70</v>
      </c>
      <c r="AC935" t="s">
        <v>3942</v>
      </c>
      <c r="AD935" t="s">
        <v>4035</v>
      </c>
      <c r="AF935" t="s">
        <v>4061</v>
      </c>
      <c r="AH935" t="s">
        <v>3510</v>
      </c>
      <c r="AJ935" t="s">
        <v>3942</v>
      </c>
      <c r="AL935" t="s">
        <v>4070</v>
      </c>
      <c r="AM935" t="s">
        <v>2230</v>
      </c>
      <c r="AO935">
        <v>1040.6</v>
      </c>
      <c r="AQ935">
        <v>359</v>
      </c>
      <c r="AS935" t="s">
        <v>4113</v>
      </c>
      <c r="AU935" t="s">
        <v>4129</v>
      </c>
      <c r="AW935">
        <v>29</v>
      </c>
      <c r="AY935" t="s">
        <v>4140</v>
      </c>
      <c r="BA935" t="s">
        <v>4149</v>
      </c>
      <c r="BB935" t="s">
        <v>4154</v>
      </c>
      <c r="BF935" t="s">
        <v>4281</v>
      </c>
      <c r="BM935" t="s">
        <v>4627</v>
      </c>
    </row>
    <row r="936" spans="1:65">
      <c r="A936" s="1">
        <f>HYPERLINK("https://lsnyc.legalserver.org/matter/dynamic-profile/view/1892004","19-1892004")</f>
        <v>0</v>
      </c>
      <c r="B936" t="s">
        <v>86</v>
      </c>
      <c r="C936" t="s">
        <v>93</v>
      </c>
      <c r="D936" t="s">
        <v>416</v>
      </c>
      <c r="F936" t="s">
        <v>922</v>
      </c>
      <c r="G936" t="s">
        <v>1462</v>
      </c>
      <c r="H936" t="s">
        <v>1577</v>
      </c>
      <c r="I936" t="s">
        <v>1989</v>
      </c>
      <c r="J936" t="s">
        <v>2205</v>
      </c>
      <c r="K936">
        <v>11233</v>
      </c>
      <c r="N936" t="s">
        <v>2233</v>
      </c>
      <c r="O936" t="s">
        <v>2799</v>
      </c>
      <c r="P936" t="s">
        <v>2930</v>
      </c>
      <c r="R936">
        <v>1</v>
      </c>
      <c r="S936">
        <v>1</v>
      </c>
      <c r="T936">
        <v>76.88</v>
      </c>
      <c r="W936">
        <v>13000</v>
      </c>
      <c r="X936" t="s">
        <v>3635</v>
      </c>
      <c r="Y936">
        <v>0</v>
      </c>
      <c r="AA936" t="s">
        <v>70</v>
      </c>
      <c r="AC936" t="s">
        <v>3942</v>
      </c>
      <c r="AD936" t="s">
        <v>3847</v>
      </c>
      <c r="AF936" t="s">
        <v>4059</v>
      </c>
      <c r="AH936" t="s">
        <v>4078</v>
      </c>
      <c r="AJ936" t="s">
        <v>3942</v>
      </c>
      <c r="AL936" t="s">
        <v>4070</v>
      </c>
      <c r="AM936" t="s">
        <v>2230</v>
      </c>
      <c r="AO936">
        <v>654.65</v>
      </c>
      <c r="AQ936">
        <v>359</v>
      </c>
      <c r="AS936" t="s">
        <v>4113</v>
      </c>
      <c r="AU936" t="s">
        <v>4128</v>
      </c>
      <c r="AW936">
        <v>17</v>
      </c>
      <c r="AY936" t="s">
        <v>4140</v>
      </c>
      <c r="BA936" t="s">
        <v>4149</v>
      </c>
      <c r="BB936" t="s">
        <v>4154</v>
      </c>
      <c r="BF936" t="s">
        <v>4281</v>
      </c>
      <c r="BG936" t="s">
        <v>4539</v>
      </c>
      <c r="BM936" t="s">
        <v>4627</v>
      </c>
    </row>
    <row r="937" spans="1:65">
      <c r="A937" s="1">
        <f>HYPERLINK("https://lsnyc.legalserver.org/matter/dynamic-profile/view/1891447","19-1891447")</f>
        <v>0</v>
      </c>
      <c r="B937" t="s">
        <v>86</v>
      </c>
      <c r="C937" t="s">
        <v>93</v>
      </c>
      <c r="D937" t="s">
        <v>407</v>
      </c>
      <c r="F937" t="s">
        <v>925</v>
      </c>
      <c r="G937" t="s">
        <v>1194</v>
      </c>
      <c r="H937" t="s">
        <v>1633</v>
      </c>
      <c r="I937" t="s">
        <v>2114</v>
      </c>
      <c r="J937" t="s">
        <v>2205</v>
      </c>
      <c r="K937">
        <v>11233</v>
      </c>
      <c r="N937" t="s">
        <v>2233</v>
      </c>
      <c r="O937" t="s">
        <v>2803</v>
      </c>
      <c r="P937" t="s">
        <v>2930</v>
      </c>
      <c r="R937">
        <v>1</v>
      </c>
      <c r="S937">
        <v>0</v>
      </c>
      <c r="T937">
        <v>224.18</v>
      </c>
      <c r="U937" t="s">
        <v>274</v>
      </c>
      <c r="V937" t="s">
        <v>3458</v>
      </c>
      <c r="W937">
        <v>28000</v>
      </c>
      <c r="X937" t="s">
        <v>3761</v>
      </c>
      <c r="Y937">
        <v>0</v>
      </c>
      <c r="AA937" t="s">
        <v>70</v>
      </c>
      <c r="AC937" t="s">
        <v>3942</v>
      </c>
      <c r="AD937" t="s">
        <v>4035</v>
      </c>
      <c r="AF937" t="s">
        <v>4061</v>
      </c>
      <c r="AH937" t="s">
        <v>3510</v>
      </c>
      <c r="AJ937" t="s">
        <v>3942</v>
      </c>
      <c r="AL937" t="s">
        <v>4089</v>
      </c>
      <c r="AM937" t="s">
        <v>2230</v>
      </c>
      <c r="AO937">
        <v>1094</v>
      </c>
      <c r="AQ937">
        <v>764</v>
      </c>
      <c r="AS937" t="s">
        <v>4113</v>
      </c>
      <c r="AU937" t="s">
        <v>4128</v>
      </c>
      <c r="AW937">
        <v>40</v>
      </c>
      <c r="AY937" t="s">
        <v>4140</v>
      </c>
      <c r="BA937" t="s">
        <v>4149</v>
      </c>
      <c r="BB937" t="s">
        <v>4154</v>
      </c>
      <c r="BF937" t="s">
        <v>4281</v>
      </c>
      <c r="BM937" t="s">
        <v>4627</v>
      </c>
    </row>
    <row r="938" spans="1:65">
      <c r="A938" s="1">
        <f>HYPERLINK("https://lsnyc.legalserver.org/matter/dynamic-profile/view/1898821","19-1898821")</f>
        <v>0</v>
      </c>
      <c r="B938" t="s">
        <v>86</v>
      </c>
      <c r="C938" t="s">
        <v>93</v>
      </c>
      <c r="D938" t="s">
        <v>195</v>
      </c>
      <c r="F938" t="s">
        <v>926</v>
      </c>
      <c r="G938" t="s">
        <v>961</v>
      </c>
      <c r="H938" t="s">
        <v>1829</v>
      </c>
      <c r="I938" t="s">
        <v>2160</v>
      </c>
      <c r="J938" t="s">
        <v>2205</v>
      </c>
      <c r="K938">
        <v>11233</v>
      </c>
      <c r="N938" t="s">
        <v>2233</v>
      </c>
      <c r="O938" t="s">
        <v>2804</v>
      </c>
      <c r="P938" t="s">
        <v>2930</v>
      </c>
      <c r="R938">
        <v>1</v>
      </c>
      <c r="S938">
        <v>1</v>
      </c>
      <c r="T938">
        <v>70.95999999999999</v>
      </c>
      <c r="W938">
        <v>12000</v>
      </c>
      <c r="X938" t="s">
        <v>3762</v>
      </c>
      <c r="Y938">
        <v>0</v>
      </c>
      <c r="AA938" t="s">
        <v>70</v>
      </c>
      <c r="AC938" t="s">
        <v>3942</v>
      </c>
      <c r="AD938" t="s">
        <v>4035</v>
      </c>
      <c r="AF938" t="s">
        <v>4061</v>
      </c>
      <c r="AH938" t="s">
        <v>3510</v>
      </c>
      <c r="AJ938" t="s">
        <v>3942</v>
      </c>
      <c r="AL938" t="s">
        <v>4070</v>
      </c>
      <c r="AM938" t="s">
        <v>2230</v>
      </c>
      <c r="AO938">
        <v>615</v>
      </c>
      <c r="AQ938">
        <v>359</v>
      </c>
      <c r="AS938" t="s">
        <v>4113</v>
      </c>
      <c r="AT938" t="s">
        <v>4127</v>
      </c>
      <c r="AW938">
        <v>10</v>
      </c>
      <c r="AY938" t="s">
        <v>4140</v>
      </c>
      <c r="BA938" t="s">
        <v>4149</v>
      </c>
      <c r="BB938" t="s">
        <v>4154</v>
      </c>
      <c r="BF938" t="s">
        <v>4281</v>
      </c>
      <c r="BM938" t="s">
        <v>4627</v>
      </c>
    </row>
    <row r="939" spans="1:65">
      <c r="A939" s="1">
        <f>HYPERLINK("https://lsnyc.legalserver.org/matter/dynamic-profile/view/1898732","19-1898732")</f>
        <v>0</v>
      </c>
      <c r="B939" t="s">
        <v>86</v>
      </c>
      <c r="C939" t="s">
        <v>93</v>
      </c>
      <c r="D939" t="s">
        <v>432</v>
      </c>
      <c r="F939" t="s">
        <v>926</v>
      </c>
      <c r="G939" t="s">
        <v>961</v>
      </c>
      <c r="H939" t="s">
        <v>1829</v>
      </c>
      <c r="I939" t="s">
        <v>2160</v>
      </c>
      <c r="J939" t="s">
        <v>2205</v>
      </c>
      <c r="K939">
        <v>11233</v>
      </c>
      <c r="N939" t="s">
        <v>2233</v>
      </c>
      <c r="O939" t="s">
        <v>2804</v>
      </c>
      <c r="P939" t="s">
        <v>2930</v>
      </c>
      <c r="R939">
        <v>1</v>
      </c>
      <c r="S939">
        <v>1</v>
      </c>
      <c r="T939">
        <v>70.95999999999999</v>
      </c>
      <c r="W939">
        <v>12000</v>
      </c>
      <c r="X939" t="s">
        <v>3624</v>
      </c>
      <c r="Y939">
        <v>0</v>
      </c>
      <c r="AA939" t="s">
        <v>70</v>
      </c>
      <c r="AC939" t="s">
        <v>3942</v>
      </c>
      <c r="AD939" t="s">
        <v>3847</v>
      </c>
      <c r="AF939" t="s">
        <v>4059</v>
      </c>
      <c r="AH939" t="s">
        <v>4078</v>
      </c>
      <c r="AJ939" t="s">
        <v>3942</v>
      </c>
      <c r="AL939" t="s">
        <v>4070</v>
      </c>
      <c r="AM939" t="s">
        <v>2230</v>
      </c>
      <c r="AO939">
        <v>615</v>
      </c>
      <c r="AQ939">
        <v>359</v>
      </c>
      <c r="AS939" t="s">
        <v>4113</v>
      </c>
      <c r="AT939" t="s">
        <v>4127</v>
      </c>
      <c r="AW939">
        <v>10</v>
      </c>
      <c r="AY939" t="s">
        <v>4140</v>
      </c>
      <c r="BA939" t="s">
        <v>4149</v>
      </c>
      <c r="BB939" t="s">
        <v>4154</v>
      </c>
      <c r="BF939" t="s">
        <v>4281</v>
      </c>
      <c r="BG939" t="s">
        <v>4538</v>
      </c>
      <c r="BM939" t="s">
        <v>4627</v>
      </c>
    </row>
    <row r="940" spans="1:65">
      <c r="A940" s="1">
        <f>HYPERLINK("https://lsnyc.legalserver.org/matter/dynamic-profile/view/1898979","19-1898979")</f>
        <v>0</v>
      </c>
      <c r="B940" t="s">
        <v>86</v>
      </c>
      <c r="C940" t="s">
        <v>93</v>
      </c>
      <c r="D940" t="s">
        <v>199</v>
      </c>
      <c r="F940" t="s">
        <v>927</v>
      </c>
      <c r="G940" t="s">
        <v>1466</v>
      </c>
      <c r="H940" t="s">
        <v>1828</v>
      </c>
      <c r="I940" t="s">
        <v>2161</v>
      </c>
      <c r="J940" t="s">
        <v>2205</v>
      </c>
      <c r="K940">
        <v>11233</v>
      </c>
      <c r="N940" t="s">
        <v>2233</v>
      </c>
      <c r="O940" t="s">
        <v>2805</v>
      </c>
      <c r="P940" t="s">
        <v>2930</v>
      </c>
      <c r="R940">
        <v>2</v>
      </c>
      <c r="S940">
        <v>0</v>
      </c>
      <c r="T940">
        <v>236.55</v>
      </c>
      <c r="W940">
        <v>40000</v>
      </c>
      <c r="X940" t="s">
        <v>3763</v>
      </c>
      <c r="Y940">
        <v>0</v>
      </c>
      <c r="AA940" t="s">
        <v>70</v>
      </c>
      <c r="AC940" t="s">
        <v>3942</v>
      </c>
      <c r="AD940" t="s">
        <v>4035</v>
      </c>
      <c r="AF940" t="s">
        <v>4061</v>
      </c>
      <c r="AH940" t="s">
        <v>3510</v>
      </c>
      <c r="AJ940" t="s">
        <v>3942</v>
      </c>
      <c r="AL940" t="s">
        <v>4070</v>
      </c>
      <c r="AM940" t="s">
        <v>2230</v>
      </c>
      <c r="AO940">
        <v>1400</v>
      </c>
      <c r="AQ940">
        <v>359</v>
      </c>
      <c r="AS940" t="s">
        <v>4113</v>
      </c>
      <c r="AT940" t="s">
        <v>4127</v>
      </c>
      <c r="AV940" t="s">
        <v>4137</v>
      </c>
      <c r="AW940">
        <v>0</v>
      </c>
      <c r="AY940" t="s">
        <v>4140</v>
      </c>
      <c r="BA940" t="s">
        <v>4149</v>
      </c>
      <c r="BB940" t="s">
        <v>4154</v>
      </c>
      <c r="BC940" t="s">
        <v>4128</v>
      </c>
      <c r="BF940" t="s">
        <v>4281</v>
      </c>
      <c r="BM940" t="s">
        <v>4627</v>
      </c>
    </row>
    <row r="941" spans="1:65">
      <c r="A941" s="1">
        <f>HYPERLINK("https://lsnyc.legalserver.org/matter/dynamic-profile/view/1891460","19-1891460")</f>
        <v>0</v>
      </c>
      <c r="B941" t="s">
        <v>86</v>
      </c>
      <c r="C941" t="s">
        <v>93</v>
      </c>
      <c r="D941" t="s">
        <v>407</v>
      </c>
      <c r="F941" t="s">
        <v>665</v>
      </c>
      <c r="G941" t="s">
        <v>1467</v>
      </c>
      <c r="H941" t="s">
        <v>1633</v>
      </c>
      <c r="I941" t="s">
        <v>2162</v>
      </c>
      <c r="J941" t="s">
        <v>2205</v>
      </c>
      <c r="K941">
        <v>11233</v>
      </c>
      <c r="N941" t="s">
        <v>2233</v>
      </c>
      <c r="O941" t="s">
        <v>2806</v>
      </c>
      <c r="Q941" t="s">
        <v>3340</v>
      </c>
      <c r="R941">
        <v>1</v>
      </c>
      <c r="S941">
        <v>0</v>
      </c>
      <c r="T941">
        <v>133.64</v>
      </c>
      <c r="W941">
        <v>16692</v>
      </c>
      <c r="X941" t="s">
        <v>3764</v>
      </c>
      <c r="Y941">
        <v>0</v>
      </c>
      <c r="AA941" t="s">
        <v>70</v>
      </c>
      <c r="AC941" t="s">
        <v>3942</v>
      </c>
      <c r="AD941" t="s">
        <v>4035</v>
      </c>
      <c r="AF941" t="s">
        <v>4061</v>
      </c>
      <c r="AH941" t="s">
        <v>3510</v>
      </c>
      <c r="AJ941" t="s">
        <v>3942</v>
      </c>
      <c r="AL941" t="s">
        <v>4094</v>
      </c>
      <c r="AM941" t="s">
        <v>2230</v>
      </c>
      <c r="AO941">
        <v>841.4299999999999</v>
      </c>
      <c r="AQ941">
        <v>764</v>
      </c>
      <c r="AS941" t="s">
        <v>4113</v>
      </c>
      <c r="AU941" t="s">
        <v>4129</v>
      </c>
      <c r="AW941">
        <v>31</v>
      </c>
      <c r="AY941" t="s">
        <v>4140</v>
      </c>
      <c r="BA941" t="s">
        <v>4149</v>
      </c>
      <c r="BB941" t="s">
        <v>4154</v>
      </c>
      <c r="BF941" t="s">
        <v>4281</v>
      </c>
      <c r="BM941" t="s">
        <v>4627</v>
      </c>
    </row>
    <row r="942" spans="1:65">
      <c r="A942" s="1">
        <f>HYPERLINK("https://lsnyc.legalserver.org/matter/dynamic-profile/view/1897400","19-1897400")</f>
        <v>0</v>
      </c>
      <c r="B942" t="s">
        <v>86</v>
      </c>
      <c r="C942" t="s">
        <v>93</v>
      </c>
      <c r="D942" t="s">
        <v>409</v>
      </c>
      <c r="F942" t="s">
        <v>928</v>
      </c>
      <c r="G942" t="s">
        <v>1468</v>
      </c>
      <c r="H942" t="s">
        <v>1577</v>
      </c>
      <c r="I942" t="s">
        <v>2163</v>
      </c>
      <c r="J942" t="s">
        <v>2205</v>
      </c>
      <c r="K942">
        <v>11233</v>
      </c>
      <c r="N942" t="s">
        <v>2233</v>
      </c>
      <c r="O942" t="s">
        <v>2807</v>
      </c>
      <c r="P942" t="s">
        <v>2930</v>
      </c>
      <c r="R942">
        <v>2</v>
      </c>
      <c r="S942">
        <v>0</v>
      </c>
      <c r="T942">
        <v>236.55</v>
      </c>
      <c r="W942">
        <v>40000</v>
      </c>
      <c r="X942" t="s">
        <v>3646</v>
      </c>
      <c r="Y942">
        <v>0</v>
      </c>
      <c r="AA942" t="s">
        <v>90</v>
      </c>
      <c r="AC942" t="s">
        <v>3942</v>
      </c>
      <c r="AD942" t="s">
        <v>4035</v>
      </c>
      <c r="AF942" t="s">
        <v>4061</v>
      </c>
      <c r="AH942" t="s">
        <v>3510</v>
      </c>
      <c r="AJ942" t="s">
        <v>3942</v>
      </c>
      <c r="AL942" t="s">
        <v>4088</v>
      </c>
      <c r="AM942" t="s">
        <v>2230</v>
      </c>
      <c r="AO942">
        <v>924.1799999999999</v>
      </c>
      <c r="AQ942">
        <v>359</v>
      </c>
      <c r="AS942" t="s">
        <v>4113</v>
      </c>
      <c r="AT942" t="s">
        <v>4127</v>
      </c>
      <c r="AW942">
        <v>3</v>
      </c>
      <c r="AY942" t="s">
        <v>4140</v>
      </c>
      <c r="BA942" t="s">
        <v>4149</v>
      </c>
      <c r="BB942" t="s">
        <v>4154</v>
      </c>
      <c r="BF942" t="s">
        <v>4281</v>
      </c>
      <c r="BM942" t="s">
        <v>4627</v>
      </c>
    </row>
    <row r="943" spans="1:65">
      <c r="A943" s="1">
        <f>HYPERLINK("https://lsnyc.legalserver.org/matter/dynamic-profile/view/1897516","19-1897516")</f>
        <v>0</v>
      </c>
      <c r="B943" t="s">
        <v>86</v>
      </c>
      <c r="C943" t="s">
        <v>93</v>
      </c>
      <c r="D943" t="s">
        <v>226</v>
      </c>
      <c r="F943" t="s">
        <v>929</v>
      </c>
      <c r="G943" t="s">
        <v>1469</v>
      </c>
      <c r="H943" t="s">
        <v>1577</v>
      </c>
      <c r="I943" t="s">
        <v>2164</v>
      </c>
      <c r="J943" t="s">
        <v>2205</v>
      </c>
      <c r="K943">
        <v>11233</v>
      </c>
      <c r="N943" t="s">
        <v>2233</v>
      </c>
      <c r="O943" t="s">
        <v>2808</v>
      </c>
      <c r="P943" t="s">
        <v>2930</v>
      </c>
      <c r="R943">
        <v>2</v>
      </c>
      <c r="S943">
        <v>3</v>
      </c>
      <c r="T943">
        <v>142.53</v>
      </c>
      <c r="W943">
        <v>43000</v>
      </c>
      <c r="X943" t="s">
        <v>3646</v>
      </c>
      <c r="Y943">
        <v>0</v>
      </c>
      <c r="AA943" t="s">
        <v>90</v>
      </c>
      <c r="AC943" t="s">
        <v>3942</v>
      </c>
      <c r="AD943" t="s">
        <v>3847</v>
      </c>
      <c r="AF943" t="s">
        <v>4059</v>
      </c>
      <c r="AH943" t="s">
        <v>4078</v>
      </c>
      <c r="AJ943" t="s">
        <v>3942</v>
      </c>
      <c r="AK943" t="s">
        <v>4084</v>
      </c>
      <c r="AM943" t="s">
        <v>2230</v>
      </c>
      <c r="AN943" t="s">
        <v>4107</v>
      </c>
      <c r="AO943">
        <v>0</v>
      </c>
      <c r="AQ943">
        <v>359</v>
      </c>
      <c r="AS943" t="s">
        <v>4113</v>
      </c>
      <c r="AT943" t="s">
        <v>4127</v>
      </c>
      <c r="AV943" t="s">
        <v>4137</v>
      </c>
      <c r="AW943">
        <v>0</v>
      </c>
      <c r="AY943" t="s">
        <v>4070</v>
      </c>
      <c r="BA943" t="s">
        <v>4149</v>
      </c>
      <c r="BB943" t="s">
        <v>4154</v>
      </c>
      <c r="BF943" t="s">
        <v>4281</v>
      </c>
      <c r="BG943" t="s">
        <v>4539</v>
      </c>
      <c r="BM943" t="s">
        <v>4627</v>
      </c>
    </row>
    <row r="944" spans="1:65">
      <c r="A944" s="1">
        <f>HYPERLINK("https://lsnyc.legalserver.org/matter/dynamic-profile/view/1898976","19-1898976")</f>
        <v>0</v>
      </c>
      <c r="B944" t="s">
        <v>86</v>
      </c>
      <c r="C944" t="s">
        <v>93</v>
      </c>
      <c r="D944" t="s">
        <v>199</v>
      </c>
      <c r="F944" t="s">
        <v>927</v>
      </c>
      <c r="G944" t="s">
        <v>1466</v>
      </c>
      <c r="H944" t="s">
        <v>1828</v>
      </c>
      <c r="I944" t="s">
        <v>2161</v>
      </c>
      <c r="J944" t="s">
        <v>2205</v>
      </c>
      <c r="K944">
        <v>11233</v>
      </c>
      <c r="N944" t="s">
        <v>2233</v>
      </c>
      <c r="O944" t="s">
        <v>2805</v>
      </c>
      <c r="P944" t="s">
        <v>2930</v>
      </c>
      <c r="R944">
        <v>2</v>
      </c>
      <c r="S944">
        <v>0</v>
      </c>
      <c r="T944">
        <v>236.55</v>
      </c>
      <c r="W944">
        <v>40000</v>
      </c>
      <c r="X944" t="s">
        <v>3672</v>
      </c>
      <c r="Y944">
        <v>0</v>
      </c>
      <c r="AA944" t="s">
        <v>70</v>
      </c>
      <c r="AC944" t="s">
        <v>3942</v>
      </c>
      <c r="AD944" t="s">
        <v>3847</v>
      </c>
      <c r="AF944" t="s">
        <v>4059</v>
      </c>
      <c r="AH944" t="s">
        <v>4078</v>
      </c>
      <c r="AJ944" t="s">
        <v>3942</v>
      </c>
      <c r="AL944" t="s">
        <v>4070</v>
      </c>
      <c r="AM944" t="s">
        <v>2230</v>
      </c>
      <c r="AO944">
        <v>1400</v>
      </c>
      <c r="AQ944">
        <v>359</v>
      </c>
      <c r="AS944" t="s">
        <v>4113</v>
      </c>
      <c r="AT944" t="s">
        <v>4127</v>
      </c>
      <c r="AV944" t="s">
        <v>4137</v>
      </c>
      <c r="AW944">
        <v>0</v>
      </c>
      <c r="AY944" t="s">
        <v>4140</v>
      </c>
      <c r="BA944" t="s">
        <v>4149</v>
      </c>
      <c r="BB944" t="s">
        <v>4154</v>
      </c>
      <c r="BC944" t="s">
        <v>4128</v>
      </c>
      <c r="BF944" t="s">
        <v>4281</v>
      </c>
      <c r="BG944" t="s">
        <v>4539</v>
      </c>
      <c r="BM944" t="s">
        <v>4627</v>
      </c>
    </row>
    <row r="945" spans="1:65">
      <c r="A945" s="1">
        <f>HYPERLINK("https://lsnyc.legalserver.org/matter/dynamic-profile/view/1897399","19-1897399")</f>
        <v>0</v>
      </c>
      <c r="B945" t="s">
        <v>86</v>
      </c>
      <c r="C945" t="s">
        <v>93</v>
      </c>
      <c r="D945" t="s">
        <v>409</v>
      </c>
      <c r="F945" t="s">
        <v>928</v>
      </c>
      <c r="G945" t="s">
        <v>1468</v>
      </c>
      <c r="H945" t="s">
        <v>1577</v>
      </c>
      <c r="I945" t="s">
        <v>2163</v>
      </c>
      <c r="J945" t="s">
        <v>2205</v>
      </c>
      <c r="K945">
        <v>11233</v>
      </c>
      <c r="N945" t="s">
        <v>2233</v>
      </c>
      <c r="O945" t="s">
        <v>2807</v>
      </c>
      <c r="P945" t="s">
        <v>2930</v>
      </c>
      <c r="R945">
        <v>2</v>
      </c>
      <c r="S945">
        <v>0</v>
      </c>
      <c r="T945">
        <v>236.55</v>
      </c>
      <c r="W945">
        <v>40000</v>
      </c>
      <c r="X945" t="s">
        <v>3765</v>
      </c>
      <c r="Y945">
        <v>0</v>
      </c>
      <c r="AA945" t="s">
        <v>90</v>
      </c>
      <c r="AC945" t="s">
        <v>3942</v>
      </c>
      <c r="AD945" t="s">
        <v>3847</v>
      </c>
      <c r="AF945" t="s">
        <v>4059</v>
      </c>
      <c r="AH945" t="s">
        <v>4078</v>
      </c>
      <c r="AJ945" t="s">
        <v>3942</v>
      </c>
      <c r="AL945" t="s">
        <v>4088</v>
      </c>
      <c r="AM945" t="s">
        <v>2230</v>
      </c>
      <c r="AO945">
        <v>924.1799999999999</v>
      </c>
      <c r="AQ945">
        <v>359</v>
      </c>
      <c r="AS945" t="s">
        <v>4113</v>
      </c>
      <c r="AT945" t="s">
        <v>4127</v>
      </c>
      <c r="AW945">
        <v>3</v>
      </c>
      <c r="AY945" t="s">
        <v>4140</v>
      </c>
      <c r="BA945" t="s">
        <v>4149</v>
      </c>
      <c r="BB945" t="s">
        <v>4154</v>
      </c>
      <c r="BF945" t="s">
        <v>4281</v>
      </c>
      <c r="BG945" t="s">
        <v>4539</v>
      </c>
      <c r="BM945" t="s">
        <v>4627</v>
      </c>
    </row>
    <row r="946" spans="1:65">
      <c r="A946" s="1">
        <f>HYPERLINK("https://lsnyc.legalserver.org/matter/dynamic-profile/view/1897526","19-1897526")</f>
        <v>0</v>
      </c>
      <c r="B946" t="s">
        <v>86</v>
      </c>
      <c r="C946" t="s">
        <v>93</v>
      </c>
      <c r="D946" t="s">
        <v>226</v>
      </c>
      <c r="F946" t="s">
        <v>665</v>
      </c>
      <c r="G946" t="s">
        <v>1470</v>
      </c>
      <c r="H946" t="s">
        <v>1633</v>
      </c>
      <c r="I946" t="s">
        <v>2165</v>
      </c>
      <c r="J946" t="s">
        <v>2205</v>
      </c>
      <c r="K946">
        <v>11233</v>
      </c>
      <c r="N946" t="s">
        <v>2233</v>
      </c>
      <c r="O946" t="s">
        <v>2809</v>
      </c>
      <c r="P946" t="s">
        <v>2930</v>
      </c>
      <c r="R946">
        <v>1</v>
      </c>
      <c r="S946">
        <v>0</v>
      </c>
      <c r="T946">
        <v>236.19</v>
      </c>
      <c r="W946">
        <v>29500</v>
      </c>
      <c r="X946" t="s">
        <v>3766</v>
      </c>
      <c r="Y946">
        <v>0</v>
      </c>
      <c r="AA946" t="s">
        <v>90</v>
      </c>
      <c r="AC946" t="s">
        <v>3942</v>
      </c>
      <c r="AD946" t="s">
        <v>4035</v>
      </c>
      <c r="AF946" t="s">
        <v>4061</v>
      </c>
      <c r="AH946" t="s">
        <v>3510</v>
      </c>
      <c r="AJ946" t="s">
        <v>3942</v>
      </c>
      <c r="AL946" t="s">
        <v>4088</v>
      </c>
      <c r="AM946" t="s">
        <v>2230</v>
      </c>
      <c r="AO946">
        <v>1225.26</v>
      </c>
      <c r="AQ946">
        <v>359</v>
      </c>
      <c r="AS946" t="s">
        <v>4113</v>
      </c>
      <c r="AU946" t="s">
        <v>4128</v>
      </c>
      <c r="AV946" t="s">
        <v>4137</v>
      </c>
      <c r="AW946">
        <v>0</v>
      </c>
      <c r="AY946" t="s">
        <v>4140</v>
      </c>
      <c r="BA946" t="s">
        <v>4149</v>
      </c>
      <c r="BB946" t="s">
        <v>4154</v>
      </c>
      <c r="BE946" t="s">
        <v>4128</v>
      </c>
      <c r="BF946" t="s">
        <v>4281</v>
      </c>
      <c r="BG946" t="s">
        <v>4128</v>
      </c>
      <c r="BM946" t="s">
        <v>4627</v>
      </c>
    </row>
    <row r="947" spans="1:65">
      <c r="A947" s="1">
        <f>HYPERLINK("https://lsnyc.legalserver.org/matter/dynamic-profile/view/1897522","19-1897522")</f>
        <v>0</v>
      </c>
      <c r="B947" t="s">
        <v>86</v>
      </c>
      <c r="C947" t="s">
        <v>93</v>
      </c>
      <c r="D947" t="s">
        <v>226</v>
      </c>
      <c r="F947" t="s">
        <v>665</v>
      </c>
      <c r="G947" t="s">
        <v>1470</v>
      </c>
      <c r="H947" t="s">
        <v>1633</v>
      </c>
      <c r="I947" t="s">
        <v>2165</v>
      </c>
      <c r="J947" t="s">
        <v>2205</v>
      </c>
      <c r="K947">
        <v>11233</v>
      </c>
      <c r="N947" t="s">
        <v>2233</v>
      </c>
      <c r="O947" t="s">
        <v>2809</v>
      </c>
      <c r="P947" t="s">
        <v>2930</v>
      </c>
      <c r="R947">
        <v>1</v>
      </c>
      <c r="S947">
        <v>0</v>
      </c>
      <c r="T947">
        <v>236.19</v>
      </c>
      <c r="W947">
        <v>29500</v>
      </c>
      <c r="X947" t="s">
        <v>3646</v>
      </c>
      <c r="Y947">
        <v>0</v>
      </c>
      <c r="AA947" t="s">
        <v>90</v>
      </c>
      <c r="AC947" t="s">
        <v>3942</v>
      </c>
      <c r="AD947" t="s">
        <v>3847</v>
      </c>
      <c r="AF947" t="s">
        <v>4059</v>
      </c>
      <c r="AH947" t="s">
        <v>4078</v>
      </c>
      <c r="AJ947" t="s">
        <v>3942</v>
      </c>
      <c r="AL947" t="s">
        <v>4088</v>
      </c>
      <c r="AM947" t="s">
        <v>2230</v>
      </c>
      <c r="AO947">
        <v>1225.26</v>
      </c>
      <c r="AQ947">
        <v>359</v>
      </c>
      <c r="AS947" t="s">
        <v>4113</v>
      </c>
      <c r="AU947" t="s">
        <v>4128</v>
      </c>
      <c r="AV947" t="s">
        <v>4137</v>
      </c>
      <c r="AW947">
        <v>0</v>
      </c>
      <c r="AY947" t="s">
        <v>4140</v>
      </c>
      <c r="BA947" t="s">
        <v>4149</v>
      </c>
      <c r="BB947" t="s">
        <v>4154</v>
      </c>
      <c r="BE947" t="s">
        <v>4128</v>
      </c>
      <c r="BF947" t="s">
        <v>4281</v>
      </c>
      <c r="BG947" t="s">
        <v>4538</v>
      </c>
      <c r="BM947" t="s">
        <v>4627</v>
      </c>
    </row>
    <row r="948" spans="1:65">
      <c r="A948" s="1">
        <f>HYPERLINK("https://lsnyc.legalserver.org/matter/dynamic-profile/view/1897517","19-1897517")</f>
        <v>0</v>
      </c>
      <c r="B948" t="s">
        <v>86</v>
      </c>
      <c r="C948" t="s">
        <v>93</v>
      </c>
      <c r="D948" t="s">
        <v>226</v>
      </c>
      <c r="F948" t="s">
        <v>929</v>
      </c>
      <c r="G948" t="s">
        <v>1469</v>
      </c>
      <c r="H948" t="s">
        <v>1577</v>
      </c>
      <c r="I948" t="s">
        <v>2164</v>
      </c>
      <c r="J948" t="s">
        <v>2205</v>
      </c>
      <c r="K948">
        <v>11233</v>
      </c>
      <c r="N948" t="s">
        <v>2233</v>
      </c>
      <c r="O948" t="s">
        <v>2808</v>
      </c>
      <c r="P948" t="s">
        <v>2930</v>
      </c>
      <c r="R948">
        <v>2</v>
      </c>
      <c r="S948">
        <v>3</v>
      </c>
      <c r="T948">
        <v>142.53</v>
      </c>
      <c r="W948">
        <v>43000</v>
      </c>
      <c r="X948" t="s">
        <v>3767</v>
      </c>
      <c r="Y948">
        <v>0</v>
      </c>
      <c r="AA948" t="s">
        <v>90</v>
      </c>
      <c r="AC948" t="s">
        <v>3942</v>
      </c>
      <c r="AD948" t="s">
        <v>4035</v>
      </c>
      <c r="AF948" t="s">
        <v>4061</v>
      </c>
      <c r="AH948" t="s">
        <v>3510</v>
      </c>
      <c r="AJ948" t="s">
        <v>3943</v>
      </c>
      <c r="AK948" t="s">
        <v>4084</v>
      </c>
      <c r="AM948" t="s">
        <v>2230</v>
      </c>
      <c r="AN948" t="s">
        <v>4107</v>
      </c>
      <c r="AO948">
        <v>0</v>
      </c>
      <c r="AQ948">
        <v>359</v>
      </c>
      <c r="AS948" t="s">
        <v>4113</v>
      </c>
      <c r="AT948" t="s">
        <v>4127</v>
      </c>
      <c r="AV948" t="s">
        <v>4137</v>
      </c>
      <c r="AW948">
        <v>0</v>
      </c>
      <c r="AY948" t="s">
        <v>4070</v>
      </c>
      <c r="BA948" t="s">
        <v>4149</v>
      </c>
      <c r="BB948" t="s">
        <v>4154</v>
      </c>
      <c r="BF948" t="s">
        <v>4281</v>
      </c>
      <c r="BM948" t="s">
        <v>4627</v>
      </c>
    </row>
    <row r="949" spans="1:65">
      <c r="A949" s="1">
        <f>HYPERLINK("https://lsnyc.legalserver.org/matter/dynamic-profile/view/1891662","19-1891662")</f>
        <v>0</v>
      </c>
      <c r="B949" t="s">
        <v>86</v>
      </c>
      <c r="C949" t="s">
        <v>93</v>
      </c>
      <c r="D949" t="s">
        <v>410</v>
      </c>
      <c r="F949" t="s">
        <v>896</v>
      </c>
      <c r="G949" t="s">
        <v>1429</v>
      </c>
      <c r="H949" t="s">
        <v>1633</v>
      </c>
      <c r="I949" t="s">
        <v>2126</v>
      </c>
      <c r="J949" t="s">
        <v>2205</v>
      </c>
      <c r="K949">
        <v>11233</v>
      </c>
      <c r="N949" t="s">
        <v>2233</v>
      </c>
      <c r="O949" t="s">
        <v>2757</v>
      </c>
      <c r="P949" t="s">
        <v>2930</v>
      </c>
      <c r="R949">
        <v>2</v>
      </c>
      <c r="S949">
        <v>0</v>
      </c>
      <c r="T949">
        <v>65.78</v>
      </c>
      <c r="W949">
        <v>11124</v>
      </c>
      <c r="X949" t="s">
        <v>3627</v>
      </c>
      <c r="Y949">
        <v>0</v>
      </c>
      <c r="AA949" t="s">
        <v>90</v>
      </c>
      <c r="AC949" t="s">
        <v>3942</v>
      </c>
      <c r="AD949" t="s">
        <v>3847</v>
      </c>
      <c r="AF949" t="s">
        <v>4059</v>
      </c>
      <c r="AH949" t="s">
        <v>4078</v>
      </c>
      <c r="AJ949" t="s">
        <v>3942</v>
      </c>
      <c r="AK949" t="s">
        <v>4084</v>
      </c>
      <c r="AM949" t="s">
        <v>2230</v>
      </c>
      <c r="AO949">
        <v>802</v>
      </c>
      <c r="AQ949">
        <v>359</v>
      </c>
      <c r="AS949" t="s">
        <v>4113</v>
      </c>
      <c r="AT949" t="s">
        <v>4127</v>
      </c>
      <c r="AW949">
        <v>12</v>
      </c>
      <c r="AY949" t="s">
        <v>4140</v>
      </c>
      <c r="BA949" t="s">
        <v>4149</v>
      </c>
      <c r="BB949" t="s">
        <v>4154</v>
      </c>
      <c r="BF949" t="s">
        <v>4281</v>
      </c>
      <c r="BG949" t="s">
        <v>4538</v>
      </c>
      <c r="BM949" t="s">
        <v>4627</v>
      </c>
    </row>
    <row r="950" spans="1:65">
      <c r="A950" s="1">
        <f>HYPERLINK("https://lsnyc.legalserver.org/matter/dynamic-profile/view/1890177","19-1890177")</f>
        <v>0</v>
      </c>
      <c r="B950" t="s">
        <v>86</v>
      </c>
      <c r="C950" t="s">
        <v>93</v>
      </c>
      <c r="D950" t="s">
        <v>433</v>
      </c>
      <c r="F950" t="s">
        <v>665</v>
      </c>
      <c r="G950" t="s">
        <v>1467</v>
      </c>
      <c r="H950" t="s">
        <v>1633</v>
      </c>
      <c r="I950" t="s">
        <v>2162</v>
      </c>
      <c r="J950" t="s">
        <v>2205</v>
      </c>
      <c r="K950">
        <v>11233</v>
      </c>
      <c r="N950" t="s">
        <v>2233</v>
      </c>
      <c r="O950" t="s">
        <v>2806</v>
      </c>
      <c r="Q950" t="s">
        <v>3340</v>
      </c>
      <c r="R950">
        <v>1</v>
      </c>
      <c r="S950">
        <v>0</v>
      </c>
      <c r="T950">
        <v>133.64</v>
      </c>
      <c r="W950">
        <v>16692</v>
      </c>
      <c r="Y950">
        <v>0</v>
      </c>
      <c r="AA950" t="s">
        <v>90</v>
      </c>
      <c r="AC950" t="s">
        <v>3942</v>
      </c>
      <c r="AD950" t="s">
        <v>4000</v>
      </c>
      <c r="AF950" t="s">
        <v>4059</v>
      </c>
      <c r="AH950" t="s">
        <v>4078</v>
      </c>
      <c r="AJ950" t="s">
        <v>3942</v>
      </c>
      <c r="AL950" t="s">
        <v>4094</v>
      </c>
      <c r="AM950" t="s">
        <v>2230</v>
      </c>
      <c r="AO950">
        <v>841.4299999999999</v>
      </c>
      <c r="AQ950">
        <v>764</v>
      </c>
      <c r="AS950" t="s">
        <v>4113</v>
      </c>
      <c r="AU950" t="s">
        <v>4129</v>
      </c>
      <c r="AW950">
        <v>31</v>
      </c>
      <c r="AY950" t="s">
        <v>4140</v>
      </c>
      <c r="BA950" t="s">
        <v>4149</v>
      </c>
      <c r="BB950" t="s">
        <v>4154</v>
      </c>
      <c r="BE950" t="s">
        <v>4128</v>
      </c>
      <c r="BF950" t="s">
        <v>4281</v>
      </c>
      <c r="BG950" t="s">
        <v>4538</v>
      </c>
      <c r="BM950" t="s">
        <v>4627</v>
      </c>
    </row>
    <row r="951" spans="1:65">
      <c r="A951" s="1">
        <f>HYPERLINK("https://lsnyc.legalserver.org/matter/dynamic-profile/view/1898836","19-1898836")</f>
        <v>0</v>
      </c>
      <c r="B951" t="s">
        <v>86</v>
      </c>
      <c r="C951" t="s">
        <v>93</v>
      </c>
      <c r="D951" t="s">
        <v>195</v>
      </c>
      <c r="F951" t="s">
        <v>625</v>
      </c>
      <c r="G951" t="s">
        <v>1449</v>
      </c>
      <c r="H951" t="s">
        <v>1829</v>
      </c>
      <c r="I951" t="s">
        <v>2144</v>
      </c>
      <c r="J951" t="s">
        <v>2205</v>
      </c>
      <c r="K951">
        <v>11233</v>
      </c>
      <c r="N951" t="s">
        <v>2233</v>
      </c>
      <c r="O951" t="s">
        <v>2783</v>
      </c>
      <c r="P951" t="s">
        <v>2930</v>
      </c>
      <c r="R951">
        <v>1</v>
      </c>
      <c r="S951">
        <v>0</v>
      </c>
      <c r="T951">
        <v>511.84</v>
      </c>
      <c r="W951">
        <v>63929</v>
      </c>
      <c r="X951" t="s">
        <v>3768</v>
      </c>
      <c r="Y951">
        <v>0.2</v>
      </c>
      <c r="Z951" t="s">
        <v>193</v>
      </c>
      <c r="AA951" t="s">
        <v>70</v>
      </c>
      <c r="AC951" t="s">
        <v>3942</v>
      </c>
      <c r="AD951" t="s">
        <v>4035</v>
      </c>
      <c r="AF951" t="s">
        <v>4061</v>
      </c>
      <c r="AH951" t="s">
        <v>3510</v>
      </c>
      <c r="AJ951" t="s">
        <v>3942</v>
      </c>
      <c r="AL951" t="s">
        <v>4070</v>
      </c>
      <c r="AM951" t="s">
        <v>2230</v>
      </c>
      <c r="AO951">
        <v>950</v>
      </c>
      <c r="AQ951">
        <v>359</v>
      </c>
      <c r="AS951" t="s">
        <v>4113</v>
      </c>
      <c r="AT951" t="s">
        <v>4127</v>
      </c>
      <c r="AW951">
        <v>9</v>
      </c>
      <c r="AY951" t="s">
        <v>4140</v>
      </c>
      <c r="BA951" t="s">
        <v>4149</v>
      </c>
      <c r="BB951" t="s">
        <v>4154</v>
      </c>
      <c r="BF951" t="s">
        <v>4281</v>
      </c>
      <c r="BM951" t="s">
        <v>4627</v>
      </c>
    </row>
    <row r="952" spans="1:65">
      <c r="A952" s="1">
        <f>HYPERLINK("https://lsnyc.legalserver.org/matter/dynamic-profile/view/1915251","19-1915251")</f>
        <v>0</v>
      </c>
      <c r="B952" t="s">
        <v>86</v>
      </c>
      <c r="C952" t="s">
        <v>93</v>
      </c>
      <c r="D952" t="s">
        <v>360</v>
      </c>
      <c r="F952" t="s">
        <v>546</v>
      </c>
      <c r="G952" t="s">
        <v>1471</v>
      </c>
      <c r="H952" t="s">
        <v>1633</v>
      </c>
      <c r="I952" t="s">
        <v>1999</v>
      </c>
      <c r="J952" t="s">
        <v>2205</v>
      </c>
      <c r="K952">
        <v>11233</v>
      </c>
      <c r="N952" t="s">
        <v>2233</v>
      </c>
      <c r="O952" t="s">
        <v>2810</v>
      </c>
      <c r="P952" t="s">
        <v>2930</v>
      </c>
      <c r="R952">
        <v>1</v>
      </c>
      <c r="S952">
        <v>0</v>
      </c>
      <c r="T952">
        <v>0</v>
      </c>
      <c r="W952">
        <v>0</v>
      </c>
      <c r="X952" t="s">
        <v>3769</v>
      </c>
      <c r="Y952">
        <v>0</v>
      </c>
      <c r="AA952" t="s">
        <v>90</v>
      </c>
      <c r="AC952" t="s">
        <v>3942</v>
      </c>
      <c r="AD952" t="s">
        <v>360</v>
      </c>
      <c r="AF952" t="s">
        <v>4059</v>
      </c>
      <c r="AH952" t="s">
        <v>4078</v>
      </c>
      <c r="AJ952" t="s">
        <v>3942</v>
      </c>
      <c r="AK952" t="s">
        <v>4084</v>
      </c>
      <c r="AM952" t="s">
        <v>2230</v>
      </c>
      <c r="AO952">
        <v>1066.79</v>
      </c>
      <c r="AQ952">
        <v>715</v>
      </c>
      <c r="AS952" t="s">
        <v>4113</v>
      </c>
      <c r="AU952" t="s">
        <v>4128</v>
      </c>
      <c r="AW952">
        <v>33</v>
      </c>
      <c r="AY952" t="s">
        <v>4140</v>
      </c>
      <c r="BA952" t="s">
        <v>4149</v>
      </c>
      <c r="BB952" t="s">
        <v>4154</v>
      </c>
      <c r="BC952" t="s">
        <v>4128</v>
      </c>
      <c r="BE952" t="s">
        <v>4165</v>
      </c>
      <c r="BF952" t="s">
        <v>4281</v>
      </c>
      <c r="BG952" t="s">
        <v>4538</v>
      </c>
      <c r="BM952" t="s">
        <v>4627</v>
      </c>
    </row>
    <row r="953" spans="1:65">
      <c r="A953" s="1">
        <f>HYPERLINK("https://lsnyc.legalserver.org/matter/dynamic-profile/view/1886113","18-1886113")</f>
        <v>0</v>
      </c>
      <c r="B953" t="s">
        <v>86</v>
      </c>
      <c r="C953" t="s">
        <v>93</v>
      </c>
      <c r="D953" t="s">
        <v>419</v>
      </c>
      <c r="F953" t="s">
        <v>925</v>
      </c>
      <c r="G953" t="s">
        <v>1194</v>
      </c>
      <c r="H953" t="s">
        <v>1633</v>
      </c>
      <c r="I953" t="s">
        <v>2114</v>
      </c>
      <c r="J953" t="s">
        <v>2205</v>
      </c>
      <c r="K953">
        <v>11233</v>
      </c>
      <c r="N953" t="s">
        <v>2233</v>
      </c>
      <c r="O953" t="s">
        <v>2803</v>
      </c>
      <c r="P953" t="s">
        <v>2930</v>
      </c>
      <c r="R953">
        <v>1</v>
      </c>
      <c r="S953">
        <v>0</v>
      </c>
      <c r="T953">
        <v>230.64</v>
      </c>
      <c r="U953" t="s">
        <v>274</v>
      </c>
      <c r="V953" t="s">
        <v>3458</v>
      </c>
      <c r="W953">
        <v>28000</v>
      </c>
      <c r="Y953">
        <v>0</v>
      </c>
      <c r="AA953" t="s">
        <v>90</v>
      </c>
      <c r="AC953" t="s">
        <v>3942</v>
      </c>
      <c r="AD953" t="s">
        <v>211</v>
      </c>
      <c r="AF953" t="s">
        <v>4059</v>
      </c>
      <c r="AH953" t="s">
        <v>4078</v>
      </c>
      <c r="AJ953" t="s">
        <v>3942</v>
      </c>
      <c r="AL953" t="s">
        <v>4089</v>
      </c>
      <c r="AM953" t="s">
        <v>2230</v>
      </c>
      <c r="AO953">
        <v>1094</v>
      </c>
      <c r="AQ953">
        <v>764</v>
      </c>
      <c r="AS953" t="s">
        <v>4113</v>
      </c>
      <c r="AU953" t="s">
        <v>4128</v>
      </c>
      <c r="AW953">
        <v>40</v>
      </c>
      <c r="AY953" t="s">
        <v>4140</v>
      </c>
      <c r="BA953" t="s">
        <v>4149</v>
      </c>
      <c r="BB953" t="s">
        <v>4154</v>
      </c>
      <c r="BE953" t="s">
        <v>4128</v>
      </c>
      <c r="BF953" t="s">
        <v>4281</v>
      </c>
      <c r="BG953" t="s">
        <v>4538</v>
      </c>
      <c r="BM953" t="s">
        <v>4627</v>
      </c>
    </row>
    <row r="954" spans="1:65">
      <c r="A954" s="1">
        <f>HYPERLINK("https://lsnyc.legalserver.org/matter/dynamic-profile/view/1897704","19-1897704")</f>
        <v>0</v>
      </c>
      <c r="B954" t="s">
        <v>86</v>
      </c>
      <c r="C954" t="s">
        <v>93</v>
      </c>
      <c r="D954" t="s">
        <v>431</v>
      </c>
      <c r="F954" t="s">
        <v>919</v>
      </c>
      <c r="G954" t="s">
        <v>1459</v>
      </c>
      <c r="H954" t="s">
        <v>1829</v>
      </c>
      <c r="I954" t="s">
        <v>2154</v>
      </c>
      <c r="J954" t="s">
        <v>2205</v>
      </c>
      <c r="K954">
        <v>11233</v>
      </c>
      <c r="N954" t="s">
        <v>2233</v>
      </c>
      <c r="O954" t="s">
        <v>2795</v>
      </c>
      <c r="P954" t="s">
        <v>2930</v>
      </c>
      <c r="R954">
        <v>4</v>
      </c>
      <c r="S954">
        <v>2</v>
      </c>
      <c r="T954">
        <v>130.1</v>
      </c>
      <c r="W954">
        <v>45000</v>
      </c>
      <c r="X954" t="s">
        <v>3770</v>
      </c>
      <c r="Y954">
        <v>0</v>
      </c>
      <c r="AA954" t="s">
        <v>70</v>
      </c>
      <c r="AC954" t="s">
        <v>3942</v>
      </c>
      <c r="AD954" t="s">
        <v>4035</v>
      </c>
      <c r="AF954" t="s">
        <v>4061</v>
      </c>
      <c r="AH954" t="s">
        <v>3510</v>
      </c>
      <c r="AJ954" t="s">
        <v>3942</v>
      </c>
      <c r="AL954" t="s">
        <v>4070</v>
      </c>
      <c r="AM954" t="s">
        <v>2230</v>
      </c>
      <c r="AO954">
        <v>1330</v>
      </c>
      <c r="AQ954">
        <v>359</v>
      </c>
      <c r="AS954" t="s">
        <v>4113</v>
      </c>
      <c r="AT954" t="s">
        <v>4127</v>
      </c>
      <c r="AW954">
        <v>24</v>
      </c>
      <c r="AY954" t="s">
        <v>4070</v>
      </c>
      <c r="BA954" t="s">
        <v>4149</v>
      </c>
      <c r="BB954" t="s">
        <v>4154</v>
      </c>
      <c r="BF954" t="s">
        <v>4281</v>
      </c>
      <c r="BM954" t="s">
        <v>4627</v>
      </c>
    </row>
    <row r="955" spans="1:65">
      <c r="A955" s="1">
        <f>HYPERLINK("https://lsnyc.legalserver.org/matter/dynamic-profile/view/1891930","19-1891930")</f>
        <v>0</v>
      </c>
      <c r="B955" t="s">
        <v>86</v>
      </c>
      <c r="C955" t="s">
        <v>93</v>
      </c>
      <c r="D955" t="s">
        <v>416</v>
      </c>
      <c r="F955" t="s">
        <v>930</v>
      </c>
      <c r="G955" t="s">
        <v>1472</v>
      </c>
      <c r="H955" t="s">
        <v>1577</v>
      </c>
      <c r="I955" t="s">
        <v>2166</v>
      </c>
      <c r="J955" t="s">
        <v>2205</v>
      </c>
      <c r="K955">
        <v>11233</v>
      </c>
      <c r="N955" t="s">
        <v>2233</v>
      </c>
      <c r="O955" t="s">
        <v>2811</v>
      </c>
      <c r="P955" t="s">
        <v>2930</v>
      </c>
      <c r="R955">
        <v>3</v>
      </c>
      <c r="S955">
        <v>3</v>
      </c>
      <c r="T955">
        <v>211.54</v>
      </c>
      <c r="W955">
        <v>73170</v>
      </c>
      <c r="X955" t="s">
        <v>3771</v>
      </c>
      <c r="Y955">
        <v>0</v>
      </c>
      <c r="AA955" t="s">
        <v>70</v>
      </c>
      <c r="AC955" t="s">
        <v>3942</v>
      </c>
      <c r="AD955" t="s">
        <v>4035</v>
      </c>
      <c r="AF955" t="s">
        <v>4061</v>
      </c>
      <c r="AH955" t="s">
        <v>3510</v>
      </c>
      <c r="AJ955" t="s">
        <v>3942</v>
      </c>
      <c r="AL955" t="s">
        <v>4070</v>
      </c>
      <c r="AM955" t="s">
        <v>2230</v>
      </c>
      <c r="AO955">
        <v>1047</v>
      </c>
      <c r="AQ955">
        <v>359</v>
      </c>
      <c r="AS955" t="s">
        <v>4113</v>
      </c>
      <c r="AU955" t="s">
        <v>4128</v>
      </c>
      <c r="AW955">
        <v>8</v>
      </c>
      <c r="AY955" t="s">
        <v>4140</v>
      </c>
      <c r="BA955" t="s">
        <v>4149</v>
      </c>
      <c r="BB955" t="s">
        <v>4154</v>
      </c>
      <c r="BF955" t="s">
        <v>4281</v>
      </c>
      <c r="BM955" t="s">
        <v>4627</v>
      </c>
    </row>
    <row r="956" spans="1:65">
      <c r="A956" s="1">
        <f>HYPERLINK("https://lsnyc.legalserver.org/matter/dynamic-profile/view/1891925","19-1891925")</f>
        <v>0</v>
      </c>
      <c r="B956" t="s">
        <v>86</v>
      </c>
      <c r="C956" t="s">
        <v>93</v>
      </c>
      <c r="D956" t="s">
        <v>416</v>
      </c>
      <c r="F956" t="s">
        <v>930</v>
      </c>
      <c r="G956" t="s">
        <v>1472</v>
      </c>
      <c r="H956" t="s">
        <v>1577</v>
      </c>
      <c r="I956" t="s">
        <v>2166</v>
      </c>
      <c r="J956" t="s">
        <v>2205</v>
      </c>
      <c r="K956">
        <v>11233</v>
      </c>
      <c r="N956" t="s">
        <v>2233</v>
      </c>
      <c r="O956" t="s">
        <v>2811</v>
      </c>
      <c r="P956" t="s">
        <v>2930</v>
      </c>
      <c r="R956">
        <v>3</v>
      </c>
      <c r="S956">
        <v>3</v>
      </c>
      <c r="T956">
        <v>211.54</v>
      </c>
      <c r="W956">
        <v>73170</v>
      </c>
      <c r="X956" t="s">
        <v>3635</v>
      </c>
      <c r="Y956">
        <v>0</v>
      </c>
      <c r="AA956" t="s">
        <v>70</v>
      </c>
      <c r="AC956" t="s">
        <v>3942</v>
      </c>
      <c r="AD956" t="s">
        <v>3847</v>
      </c>
      <c r="AF956" t="s">
        <v>4059</v>
      </c>
      <c r="AH956" t="s">
        <v>4078</v>
      </c>
      <c r="AJ956" t="s">
        <v>3942</v>
      </c>
      <c r="AL956" t="s">
        <v>4070</v>
      </c>
      <c r="AM956" t="s">
        <v>2230</v>
      </c>
      <c r="AO956">
        <v>1047</v>
      </c>
      <c r="AQ956">
        <v>359</v>
      </c>
      <c r="AS956" t="s">
        <v>4113</v>
      </c>
      <c r="AU956" t="s">
        <v>4128</v>
      </c>
      <c r="AW956">
        <v>8</v>
      </c>
      <c r="AY956" t="s">
        <v>4140</v>
      </c>
      <c r="BA956" t="s">
        <v>4149</v>
      </c>
      <c r="BB956" t="s">
        <v>4154</v>
      </c>
      <c r="BF956" t="s">
        <v>4281</v>
      </c>
      <c r="BG956" t="s">
        <v>4539</v>
      </c>
      <c r="BM956" t="s">
        <v>4627</v>
      </c>
    </row>
    <row r="957" spans="1:65">
      <c r="A957" s="1">
        <f>HYPERLINK("https://lsnyc.legalserver.org/matter/dynamic-profile/view/1902052","19-1902052")</f>
        <v>0</v>
      </c>
      <c r="B957" t="s">
        <v>86</v>
      </c>
      <c r="C957" t="s">
        <v>93</v>
      </c>
      <c r="D957" t="s">
        <v>240</v>
      </c>
      <c r="F957" t="s">
        <v>909</v>
      </c>
      <c r="G957" t="s">
        <v>1448</v>
      </c>
      <c r="H957" t="s">
        <v>1577</v>
      </c>
      <c r="I957" t="s">
        <v>2143</v>
      </c>
      <c r="J957" t="s">
        <v>2205</v>
      </c>
      <c r="K957">
        <v>11233</v>
      </c>
      <c r="N957" t="s">
        <v>2233</v>
      </c>
      <c r="O957" t="s">
        <v>2782</v>
      </c>
      <c r="P957" t="s">
        <v>2930</v>
      </c>
      <c r="R957">
        <v>1</v>
      </c>
      <c r="S957">
        <v>2</v>
      </c>
      <c r="T957">
        <v>164.09</v>
      </c>
      <c r="W957">
        <v>35000</v>
      </c>
      <c r="X957" t="s">
        <v>3772</v>
      </c>
      <c r="Y957">
        <v>0</v>
      </c>
      <c r="AA957" t="s">
        <v>70</v>
      </c>
      <c r="AC957" t="s">
        <v>3942</v>
      </c>
      <c r="AD957" t="s">
        <v>4035</v>
      </c>
      <c r="AF957" t="s">
        <v>4061</v>
      </c>
      <c r="AH957" t="s">
        <v>3510</v>
      </c>
      <c r="AJ957" t="s">
        <v>3942</v>
      </c>
      <c r="AL957" t="s">
        <v>4070</v>
      </c>
      <c r="AM957" t="s">
        <v>2230</v>
      </c>
      <c r="AO957">
        <v>787</v>
      </c>
      <c r="AQ957">
        <v>359</v>
      </c>
      <c r="AS957" t="s">
        <v>4113</v>
      </c>
      <c r="AT957" t="s">
        <v>4127</v>
      </c>
      <c r="AW957">
        <v>10</v>
      </c>
      <c r="AY957" t="s">
        <v>4140</v>
      </c>
      <c r="BA957" t="s">
        <v>4149</v>
      </c>
      <c r="BC957" t="s">
        <v>4155</v>
      </c>
      <c r="BF957" t="s">
        <v>4281</v>
      </c>
      <c r="BG957" t="s">
        <v>4054</v>
      </c>
      <c r="BM957" t="s">
        <v>4627</v>
      </c>
    </row>
    <row r="958" spans="1:65">
      <c r="A958" s="1">
        <f>HYPERLINK("https://lsnyc.legalserver.org/matter/dynamic-profile/view/1891469","19-1891469")</f>
        <v>0</v>
      </c>
      <c r="B958" t="s">
        <v>86</v>
      </c>
      <c r="C958" t="s">
        <v>93</v>
      </c>
      <c r="D958" t="s">
        <v>407</v>
      </c>
      <c r="F958" t="s">
        <v>931</v>
      </c>
      <c r="G958" t="s">
        <v>1115</v>
      </c>
      <c r="H958" t="s">
        <v>1633</v>
      </c>
      <c r="I958" t="s">
        <v>1983</v>
      </c>
      <c r="J958" t="s">
        <v>2205</v>
      </c>
      <c r="K958">
        <v>11233</v>
      </c>
      <c r="N958" t="s">
        <v>2233</v>
      </c>
      <c r="O958" t="s">
        <v>2812</v>
      </c>
      <c r="P958" t="s">
        <v>2930</v>
      </c>
      <c r="R958">
        <v>3</v>
      </c>
      <c r="S958">
        <v>0</v>
      </c>
      <c r="T958">
        <v>209.07</v>
      </c>
      <c r="U958" t="s">
        <v>274</v>
      </c>
      <c r="V958" t="s">
        <v>3458</v>
      </c>
      <c r="W958">
        <v>44595</v>
      </c>
      <c r="X958" t="s">
        <v>3773</v>
      </c>
      <c r="Y958">
        <v>0</v>
      </c>
      <c r="AA958" t="s">
        <v>70</v>
      </c>
      <c r="AC958" t="s">
        <v>3942</v>
      </c>
      <c r="AD958" t="s">
        <v>4035</v>
      </c>
      <c r="AF958" t="s">
        <v>4061</v>
      </c>
      <c r="AH958" t="s">
        <v>3510</v>
      </c>
      <c r="AJ958" t="s">
        <v>3942</v>
      </c>
      <c r="AL958" t="s">
        <v>4070</v>
      </c>
      <c r="AM958" t="s">
        <v>2230</v>
      </c>
      <c r="AO958">
        <v>1121</v>
      </c>
      <c r="AQ958">
        <v>359</v>
      </c>
      <c r="AS958" t="s">
        <v>4113</v>
      </c>
      <c r="AU958" t="s">
        <v>4128</v>
      </c>
      <c r="AW958">
        <v>4</v>
      </c>
      <c r="AY958" t="s">
        <v>4140</v>
      </c>
      <c r="BA958" t="s">
        <v>4149</v>
      </c>
      <c r="BB958" t="s">
        <v>4154</v>
      </c>
      <c r="BF958" t="s">
        <v>4281</v>
      </c>
      <c r="BM958" t="s">
        <v>4627</v>
      </c>
    </row>
    <row r="959" spans="1:65">
      <c r="A959" s="1">
        <f>HYPERLINK("https://lsnyc.legalserver.org/matter/dynamic-profile/view/1901986","19-1901986")</f>
        <v>0</v>
      </c>
      <c r="B959" t="s">
        <v>86</v>
      </c>
      <c r="C959" t="s">
        <v>93</v>
      </c>
      <c r="D959" t="s">
        <v>240</v>
      </c>
      <c r="F959" t="s">
        <v>932</v>
      </c>
      <c r="G959" t="s">
        <v>1473</v>
      </c>
      <c r="H959" t="s">
        <v>1829</v>
      </c>
      <c r="I959" t="s">
        <v>2167</v>
      </c>
      <c r="J959" t="s">
        <v>2205</v>
      </c>
      <c r="K959">
        <v>11233</v>
      </c>
      <c r="N959" t="s">
        <v>2233</v>
      </c>
      <c r="O959" t="s">
        <v>2813</v>
      </c>
      <c r="P959" t="s">
        <v>2930</v>
      </c>
      <c r="R959">
        <v>1</v>
      </c>
      <c r="S959">
        <v>0</v>
      </c>
      <c r="T959">
        <v>80.06</v>
      </c>
      <c r="W959">
        <v>10000</v>
      </c>
      <c r="X959" t="s">
        <v>3624</v>
      </c>
      <c r="Y959">
        <v>0</v>
      </c>
      <c r="AA959" t="s">
        <v>70</v>
      </c>
      <c r="AC959" t="s">
        <v>3942</v>
      </c>
      <c r="AD959" t="s">
        <v>3847</v>
      </c>
      <c r="AF959" t="s">
        <v>4059</v>
      </c>
      <c r="AH959" t="s">
        <v>4078</v>
      </c>
      <c r="AJ959" t="s">
        <v>3942</v>
      </c>
      <c r="AL959" t="s">
        <v>4070</v>
      </c>
      <c r="AM959" t="s">
        <v>2230</v>
      </c>
      <c r="AO959">
        <v>1099.98</v>
      </c>
      <c r="AQ959">
        <v>359</v>
      </c>
      <c r="AS959" t="s">
        <v>4113</v>
      </c>
      <c r="AT959" t="s">
        <v>4127</v>
      </c>
      <c r="AW959">
        <v>51</v>
      </c>
      <c r="AY959" t="s">
        <v>4140</v>
      </c>
      <c r="BA959" t="s">
        <v>4149</v>
      </c>
      <c r="BB959" t="s">
        <v>4154</v>
      </c>
      <c r="BC959" t="s">
        <v>4128</v>
      </c>
      <c r="BF959" t="s">
        <v>4281</v>
      </c>
      <c r="BG959" t="s">
        <v>4538</v>
      </c>
      <c r="BM959" t="s">
        <v>4627</v>
      </c>
    </row>
    <row r="960" spans="1:65">
      <c r="A960" s="1">
        <f>HYPERLINK("https://lsnyc.legalserver.org/matter/dynamic-profile/view/1859934","18-1859934")</f>
        <v>0</v>
      </c>
      <c r="B960" t="s">
        <v>86</v>
      </c>
      <c r="C960" t="s">
        <v>93</v>
      </c>
      <c r="D960" t="s">
        <v>434</v>
      </c>
      <c r="F960" t="s">
        <v>651</v>
      </c>
      <c r="G960" t="s">
        <v>1474</v>
      </c>
      <c r="H960" t="s">
        <v>1837</v>
      </c>
      <c r="I960" t="s">
        <v>2168</v>
      </c>
      <c r="J960" t="s">
        <v>2205</v>
      </c>
      <c r="K960">
        <v>11233</v>
      </c>
      <c r="N960" t="s">
        <v>2233</v>
      </c>
      <c r="O960" t="s">
        <v>2814</v>
      </c>
      <c r="Q960" t="s">
        <v>3341</v>
      </c>
      <c r="R960">
        <v>4</v>
      </c>
      <c r="S960">
        <v>2</v>
      </c>
      <c r="T960">
        <v>80.86</v>
      </c>
      <c r="W960">
        <v>26652</v>
      </c>
      <c r="Y960">
        <v>22</v>
      </c>
      <c r="Z960" t="s">
        <v>443</v>
      </c>
      <c r="AA960" t="s">
        <v>3905</v>
      </c>
      <c r="AC960" t="s">
        <v>3942</v>
      </c>
      <c r="AD960" t="s">
        <v>3948</v>
      </c>
      <c r="AF960" t="s">
        <v>4050</v>
      </c>
      <c r="AH960" t="s">
        <v>4076</v>
      </c>
      <c r="AJ960" t="s">
        <v>3943</v>
      </c>
      <c r="AL960" t="s">
        <v>4102</v>
      </c>
      <c r="AM960" t="s">
        <v>2230</v>
      </c>
      <c r="AO960">
        <v>2200</v>
      </c>
      <c r="AQ960">
        <v>2</v>
      </c>
      <c r="AR960" t="s">
        <v>4112</v>
      </c>
      <c r="AT960" t="s">
        <v>4127</v>
      </c>
      <c r="AW960">
        <v>46</v>
      </c>
      <c r="AY960" t="s">
        <v>4140</v>
      </c>
      <c r="BB960" t="s">
        <v>4154</v>
      </c>
      <c r="BE960" t="s">
        <v>4250</v>
      </c>
      <c r="BG960" t="s">
        <v>4552</v>
      </c>
      <c r="BM960" t="s">
        <v>4627</v>
      </c>
    </row>
    <row r="961" spans="1:65">
      <c r="A961" s="1">
        <f>HYPERLINK("https://lsnyc.legalserver.org/matter/dynamic-profile/view/1913492","19-1913492")</f>
        <v>0</v>
      </c>
      <c r="B961" t="s">
        <v>86</v>
      </c>
      <c r="C961" t="s">
        <v>93</v>
      </c>
      <c r="D961" t="s">
        <v>125</v>
      </c>
      <c r="F961" t="s">
        <v>786</v>
      </c>
      <c r="G961" t="s">
        <v>1326</v>
      </c>
      <c r="H961" t="s">
        <v>1582</v>
      </c>
      <c r="I961">
        <v>34</v>
      </c>
      <c r="J961" t="s">
        <v>2205</v>
      </c>
      <c r="K961">
        <v>11213</v>
      </c>
      <c r="N961" t="s">
        <v>2233</v>
      </c>
      <c r="O961" t="s">
        <v>2615</v>
      </c>
      <c r="Q961" t="s">
        <v>3257</v>
      </c>
      <c r="R961">
        <v>2</v>
      </c>
      <c r="S961">
        <v>2</v>
      </c>
      <c r="T961">
        <v>124.75</v>
      </c>
      <c r="W961">
        <v>32124</v>
      </c>
      <c r="Y961">
        <v>0.2</v>
      </c>
      <c r="Z961" t="s">
        <v>125</v>
      </c>
      <c r="AA961" t="s">
        <v>86</v>
      </c>
      <c r="AC961" t="s">
        <v>3942</v>
      </c>
      <c r="AD961" t="s">
        <v>125</v>
      </c>
      <c r="AF961" t="s">
        <v>4054</v>
      </c>
      <c r="AH961" t="s">
        <v>3510</v>
      </c>
      <c r="AJ961" t="s">
        <v>3943</v>
      </c>
      <c r="AL961" t="s">
        <v>4086</v>
      </c>
      <c r="AM961" t="s">
        <v>2230</v>
      </c>
      <c r="AO961">
        <v>881.67</v>
      </c>
      <c r="AQ961">
        <v>31</v>
      </c>
      <c r="AS961" t="s">
        <v>4113</v>
      </c>
      <c r="AU961" t="s">
        <v>4134</v>
      </c>
      <c r="AW961">
        <v>17</v>
      </c>
      <c r="AY961" t="s">
        <v>4140</v>
      </c>
      <c r="BA961" t="s">
        <v>4149</v>
      </c>
      <c r="BC961" t="s">
        <v>4155</v>
      </c>
      <c r="BE961" t="s">
        <v>4128</v>
      </c>
      <c r="BF961" t="s">
        <v>4281</v>
      </c>
      <c r="BG961" t="s">
        <v>4553</v>
      </c>
      <c r="BM961" t="s">
        <v>4627</v>
      </c>
    </row>
    <row r="962" spans="1:65">
      <c r="A962" s="1">
        <f>HYPERLINK("https://lsnyc.legalserver.org/matter/dynamic-profile/view/1909731","19-1909731")</f>
        <v>0</v>
      </c>
      <c r="B962" t="s">
        <v>86</v>
      </c>
      <c r="C962" t="s">
        <v>93</v>
      </c>
      <c r="D962" t="s">
        <v>364</v>
      </c>
      <c r="F962" t="s">
        <v>782</v>
      </c>
      <c r="G962" t="s">
        <v>1324</v>
      </c>
      <c r="H962" t="s">
        <v>1582</v>
      </c>
      <c r="I962">
        <v>37</v>
      </c>
      <c r="J962" t="s">
        <v>2205</v>
      </c>
      <c r="K962">
        <v>11213</v>
      </c>
      <c r="N962" t="s">
        <v>2233</v>
      </c>
      <c r="O962" t="s">
        <v>2611</v>
      </c>
      <c r="Q962" t="s">
        <v>3254</v>
      </c>
      <c r="R962">
        <v>2</v>
      </c>
      <c r="S962">
        <v>0</v>
      </c>
      <c r="T962">
        <v>146.08</v>
      </c>
      <c r="W962">
        <v>24702</v>
      </c>
      <c r="Y962">
        <v>18.9</v>
      </c>
      <c r="Z962" t="s">
        <v>340</v>
      </c>
      <c r="AA962" t="s">
        <v>70</v>
      </c>
      <c r="AC962" t="s">
        <v>3942</v>
      </c>
      <c r="AD962" t="s">
        <v>3843</v>
      </c>
      <c r="AF962" t="s">
        <v>4063</v>
      </c>
      <c r="AH962" t="s">
        <v>3510</v>
      </c>
      <c r="AJ962" t="s">
        <v>3943</v>
      </c>
      <c r="AL962" t="s">
        <v>4070</v>
      </c>
      <c r="AM962" t="s">
        <v>2230</v>
      </c>
      <c r="AO962">
        <v>798.41</v>
      </c>
      <c r="AQ962">
        <v>31</v>
      </c>
      <c r="AS962" t="s">
        <v>4113</v>
      </c>
      <c r="AU962" t="s">
        <v>4134</v>
      </c>
      <c r="AW962">
        <v>41</v>
      </c>
      <c r="AY962" t="s">
        <v>4140</v>
      </c>
      <c r="BA962" t="s">
        <v>4149</v>
      </c>
      <c r="BC962" t="s">
        <v>4155</v>
      </c>
      <c r="BE962" t="s">
        <v>4128</v>
      </c>
      <c r="BF962" t="s">
        <v>4281</v>
      </c>
      <c r="BG962" t="s">
        <v>4054</v>
      </c>
      <c r="BM962" t="s">
        <v>4627</v>
      </c>
    </row>
    <row r="963" spans="1:65">
      <c r="A963" s="1">
        <f>HYPERLINK("https://lsnyc.legalserver.org/matter/dynamic-profile/view/1891702","19-1891702")</f>
        <v>0</v>
      </c>
      <c r="B963" t="s">
        <v>86</v>
      </c>
      <c r="C963" t="s">
        <v>93</v>
      </c>
      <c r="D963" t="s">
        <v>410</v>
      </c>
      <c r="F963" t="s">
        <v>478</v>
      </c>
      <c r="G963" t="s">
        <v>1341</v>
      </c>
      <c r="H963" t="s">
        <v>1577</v>
      </c>
      <c r="I963" t="s">
        <v>2062</v>
      </c>
      <c r="J963" t="s">
        <v>2205</v>
      </c>
      <c r="K963">
        <v>11233</v>
      </c>
      <c r="N963" t="s">
        <v>2233</v>
      </c>
      <c r="O963" t="s">
        <v>2638</v>
      </c>
      <c r="Q963" t="s">
        <v>3279</v>
      </c>
      <c r="R963">
        <v>2</v>
      </c>
      <c r="S963">
        <v>0</v>
      </c>
      <c r="T963">
        <v>81.15000000000001</v>
      </c>
      <c r="W963">
        <v>13722.36</v>
      </c>
      <c r="X963" t="s">
        <v>3774</v>
      </c>
      <c r="Y963">
        <v>128.7</v>
      </c>
      <c r="Z963" t="s">
        <v>357</v>
      </c>
      <c r="AA963" t="s">
        <v>90</v>
      </c>
      <c r="AC963" t="s">
        <v>3942</v>
      </c>
      <c r="AD963" t="s">
        <v>4035</v>
      </c>
      <c r="AF963" t="s">
        <v>4061</v>
      </c>
      <c r="AH963" t="s">
        <v>3510</v>
      </c>
      <c r="AJ963" t="s">
        <v>3942</v>
      </c>
      <c r="AK963" t="s">
        <v>4084</v>
      </c>
      <c r="AM963" t="s">
        <v>2230</v>
      </c>
      <c r="AO963">
        <v>995.08</v>
      </c>
      <c r="AQ963">
        <v>359</v>
      </c>
      <c r="AS963" t="s">
        <v>4113</v>
      </c>
      <c r="AT963" t="s">
        <v>4127</v>
      </c>
      <c r="AW963">
        <v>16</v>
      </c>
      <c r="AY963" t="s">
        <v>4140</v>
      </c>
      <c r="BA963" t="s">
        <v>4149</v>
      </c>
      <c r="BB963" t="s">
        <v>4154</v>
      </c>
      <c r="BD963" t="s">
        <v>4157</v>
      </c>
      <c r="BE963" t="s">
        <v>4249</v>
      </c>
      <c r="BF963" t="s">
        <v>4281</v>
      </c>
      <c r="BG963" t="s">
        <v>4128</v>
      </c>
      <c r="BM963" t="s">
        <v>4627</v>
      </c>
    </row>
    <row r="964" spans="1:65">
      <c r="A964" s="1">
        <f>HYPERLINK("https://lsnyc.legalserver.org/matter/dynamic-profile/view/1900691","19-1900691")</f>
        <v>0</v>
      </c>
      <c r="B964" t="s">
        <v>86</v>
      </c>
      <c r="C964" t="s">
        <v>93</v>
      </c>
      <c r="D964" t="s">
        <v>435</v>
      </c>
      <c r="F964" t="s">
        <v>786</v>
      </c>
      <c r="G964" t="s">
        <v>1326</v>
      </c>
      <c r="H964" t="s">
        <v>1582</v>
      </c>
      <c r="I964">
        <v>34</v>
      </c>
      <c r="J964" t="s">
        <v>2205</v>
      </c>
      <c r="K964">
        <v>11213</v>
      </c>
      <c r="N964" t="s">
        <v>2233</v>
      </c>
      <c r="O964" t="s">
        <v>2615</v>
      </c>
      <c r="Q964" t="s">
        <v>3257</v>
      </c>
      <c r="R964">
        <v>2</v>
      </c>
      <c r="S964">
        <v>2</v>
      </c>
      <c r="T964">
        <v>124.75</v>
      </c>
      <c r="W964">
        <v>32124</v>
      </c>
      <c r="Y964">
        <v>1.6</v>
      </c>
      <c r="Z964" t="s">
        <v>125</v>
      </c>
      <c r="AA964" t="s">
        <v>90</v>
      </c>
      <c r="AC964" t="s">
        <v>3942</v>
      </c>
      <c r="AD964" t="s">
        <v>431</v>
      </c>
      <c r="AF964" t="s">
        <v>4054</v>
      </c>
      <c r="AH964" t="s">
        <v>3510</v>
      </c>
      <c r="AJ964" t="s">
        <v>3942</v>
      </c>
      <c r="AL964" t="s">
        <v>4087</v>
      </c>
      <c r="AM964" t="s">
        <v>2230</v>
      </c>
      <c r="AO964">
        <v>881.67</v>
      </c>
      <c r="AQ964">
        <v>31</v>
      </c>
      <c r="AS964" t="s">
        <v>4113</v>
      </c>
      <c r="AU964" t="s">
        <v>4128</v>
      </c>
      <c r="AW964">
        <v>17</v>
      </c>
      <c r="AY964" t="s">
        <v>4140</v>
      </c>
      <c r="BA964" t="s">
        <v>4149</v>
      </c>
      <c r="BC964" t="s">
        <v>4155</v>
      </c>
      <c r="BE964" t="s">
        <v>4128</v>
      </c>
      <c r="BF964" t="s">
        <v>4281</v>
      </c>
      <c r="BG964" t="s">
        <v>4128</v>
      </c>
      <c r="BM964" t="s">
        <v>4627</v>
      </c>
    </row>
    <row r="965" spans="1:65">
      <c r="A965" s="1">
        <f>HYPERLINK("https://lsnyc.legalserver.org/matter/dynamic-profile/view/1891988","19-1891988")</f>
        <v>0</v>
      </c>
      <c r="B965" t="s">
        <v>86</v>
      </c>
      <c r="C965" t="s">
        <v>93</v>
      </c>
      <c r="D965" t="s">
        <v>416</v>
      </c>
      <c r="F965" t="s">
        <v>673</v>
      </c>
      <c r="G965" t="s">
        <v>1457</v>
      </c>
      <c r="H965" t="s">
        <v>1633</v>
      </c>
      <c r="I965" t="s">
        <v>2152</v>
      </c>
      <c r="J965" t="s">
        <v>2205</v>
      </c>
      <c r="K965">
        <v>11233</v>
      </c>
      <c r="N965" t="s">
        <v>2233</v>
      </c>
      <c r="O965" t="s">
        <v>2793</v>
      </c>
      <c r="P965" t="s">
        <v>2930</v>
      </c>
      <c r="R965">
        <v>2</v>
      </c>
      <c r="S965">
        <v>0</v>
      </c>
      <c r="T965">
        <v>567.71</v>
      </c>
      <c r="W965">
        <v>96000</v>
      </c>
      <c r="X965" t="s">
        <v>3775</v>
      </c>
      <c r="Y965">
        <v>0</v>
      </c>
      <c r="AA965" t="s">
        <v>70</v>
      </c>
      <c r="AC965" t="s">
        <v>3942</v>
      </c>
      <c r="AD965" t="s">
        <v>4035</v>
      </c>
      <c r="AF965" t="s">
        <v>4061</v>
      </c>
      <c r="AH965" t="s">
        <v>3510</v>
      </c>
      <c r="AJ965" t="s">
        <v>3942</v>
      </c>
      <c r="AL965" t="s">
        <v>4070</v>
      </c>
      <c r="AM965" t="s">
        <v>2230</v>
      </c>
      <c r="AO965">
        <v>989.35</v>
      </c>
      <c r="AQ965">
        <v>359</v>
      </c>
      <c r="AS965" t="s">
        <v>4113</v>
      </c>
      <c r="AU965" t="s">
        <v>4128</v>
      </c>
      <c r="AW965">
        <v>16</v>
      </c>
      <c r="AY965" t="s">
        <v>4140</v>
      </c>
      <c r="BA965" t="s">
        <v>4149</v>
      </c>
      <c r="BB965" t="s">
        <v>4154</v>
      </c>
      <c r="BF965" t="s">
        <v>4281</v>
      </c>
      <c r="BM965" t="s">
        <v>4627</v>
      </c>
    </row>
    <row r="966" spans="1:65">
      <c r="A966" s="1">
        <f>HYPERLINK("https://lsnyc.legalserver.org/matter/dynamic-profile/view/1891660","19-1891660")</f>
        <v>0</v>
      </c>
      <c r="B966" t="s">
        <v>86</v>
      </c>
      <c r="C966" t="s">
        <v>93</v>
      </c>
      <c r="D966" t="s">
        <v>410</v>
      </c>
      <c r="F966" t="s">
        <v>884</v>
      </c>
      <c r="G966" t="s">
        <v>1475</v>
      </c>
      <c r="H966" t="s">
        <v>1577</v>
      </c>
      <c r="I966" t="s">
        <v>2169</v>
      </c>
      <c r="J966" t="s">
        <v>2205</v>
      </c>
      <c r="K966">
        <v>11233</v>
      </c>
      <c r="N966" t="s">
        <v>2233</v>
      </c>
      <c r="O966" t="s">
        <v>2815</v>
      </c>
      <c r="P966" t="s">
        <v>2930</v>
      </c>
      <c r="R966">
        <v>2</v>
      </c>
      <c r="S966">
        <v>0</v>
      </c>
      <c r="T966">
        <v>195.15</v>
      </c>
      <c r="W966">
        <v>33000</v>
      </c>
      <c r="X966" t="s">
        <v>3776</v>
      </c>
      <c r="Y966">
        <v>0</v>
      </c>
      <c r="AA966" t="s">
        <v>90</v>
      </c>
      <c r="AC966" t="s">
        <v>3942</v>
      </c>
      <c r="AD966" t="s">
        <v>4035</v>
      </c>
      <c r="AF966" t="s">
        <v>4061</v>
      </c>
      <c r="AH966" t="s">
        <v>3510</v>
      </c>
      <c r="AJ966" t="s">
        <v>3942</v>
      </c>
      <c r="AK966" t="s">
        <v>4084</v>
      </c>
      <c r="AM966" t="s">
        <v>2230</v>
      </c>
      <c r="AO966">
        <v>1442</v>
      </c>
      <c r="AQ966">
        <v>359</v>
      </c>
      <c r="AS966" t="s">
        <v>4113</v>
      </c>
      <c r="AT966" t="s">
        <v>4127</v>
      </c>
      <c r="AW966">
        <v>28</v>
      </c>
      <c r="AY966" t="s">
        <v>4140</v>
      </c>
      <c r="BA966" t="s">
        <v>4149</v>
      </c>
      <c r="BB966" t="s">
        <v>4154</v>
      </c>
      <c r="BF966" t="s">
        <v>4281</v>
      </c>
      <c r="BG966" t="s">
        <v>4128</v>
      </c>
      <c r="BM966" t="s">
        <v>4627</v>
      </c>
    </row>
    <row r="967" spans="1:65">
      <c r="A967" s="1">
        <f>HYPERLINK("https://lsnyc.legalserver.org/matter/dynamic-profile/view/1901989","19-1901989")</f>
        <v>0</v>
      </c>
      <c r="B967" t="s">
        <v>86</v>
      </c>
      <c r="C967" t="s">
        <v>93</v>
      </c>
      <c r="D967" t="s">
        <v>240</v>
      </c>
      <c r="F967" t="s">
        <v>932</v>
      </c>
      <c r="G967" t="s">
        <v>1473</v>
      </c>
      <c r="H967" t="s">
        <v>1829</v>
      </c>
      <c r="I967" t="s">
        <v>2167</v>
      </c>
      <c r="J967" t="s">
        <v>2205</v>
      </c>
      <c r="K967">
        <v>11233</v>
      </c>
      <c r="N967" t="s">
        <v>2233</v>
      </c>
      <c r="O967" t="s">
        <v>2813</v>
      </c>
      <c r="P967" t="s">
        <v>2930</v>
      </c>
      <c r="R967">
        <v>1</v>
      </c>
      <c r="S967">
        <v>0</v>
      </c>
      <c r="T967">
        <v>80.06</v>
      </c>
      <c r="W967">
        <v>10000</v>
      </c>
      <c r="X967" t="s">
        <v>3777</v>
      </c>
      <c r="Y967">
        <v>0</v>
      </c>
      <c r="AA967" t="s">
        <v>70</v>
      </c>
      <c r="AC967" t="s">
        <v>3942</v>
      </c>
      <c r="AD967" t="s">
        <v>4035</v>
      </c>
      <c r="AF967" t="s">
        <v>4061</v>
      </c>
      <c r="AH967" t="s">
        <v>3510</v>
      </c>
      <c r="AJ967" t="s">
        <v>3942</v>
      </c>
      <c r="AL967" t="s">
        <v>4070</v>
      </c>
      <c r="AM967" t="s">
        <v>2230</v>
      </c>
      <c r="AO967">
        <v>1099.98</v>
      </c>
      <c r="AQ967">
        <v>359</v>
      </c>
      <c r="AS967" t="s">
        <v>4113</v>
      </c>
      <c r="AT967" t="s">
        <v>4127</v>
      </c>
      <c r="AW967">
        <v>51</v>
      </c>
      <c r="AY967" t="s">
        <v>4140</v>
      </c>
      <c r="BA967" t="s">
        <v>4149</v>
      </c>
      <c r="BB967" t="s">
        <v>4154</v>
      </c>
      <c r="BC967" t="s">
        <v>4128</v>
      </c>
      <c r="BF967" t="s">
        <v>4281</v>
      </c>
      <c r="BG967" t="s">
        <v>4054</v>
      </c>
      <c r="BM967" t="s">
        <v>4627</v>
      </c>
    </row>
    <row r="968" spans="1:65">
      <c r="A968" s="1">
        <f>HYPERLINK("https://lsnyc.legalserver.org/matter/dynamic-profile/view/1891635","19-1891635")</f>
        <v>0</v>
      </c>
      <c r="B968" t="s">
        <v>86</v>
      </c>
      <c r="C968" t="s">
        <v>93</v>
      </c>
      <c r="D968" t="s">
        <v>410</v>
      </c>
      <c r="F968" t="s">
        <v>884</v>
      </c>
      <c r="G968" t="s">
        <v>1475</v>
      </c>
      <c r="H968" t="s">
        <v>1577</v>
      </c>
      <c r="I968" t="s">
        <v>2169</v>
      </c>
      <c r="J968" t="s">
        <v>2205</v>
      </c>
      <c r="K968">
        <v>11233</v>
      </c>
      <c r="N968" t="s">
        <v>2233</v>
      </c>
      <c r="O968" t="s">
        <v>2815</v>
      </c>
      <c r="P968" t="s">
        <v>2930</v>
      </c>
      <c r="R968">
        <v>2</v>
      </c>
      <c r="S968">
        <v>0</v>
      </c>
      <c r="T968">
        <v>195.15</v>
      </c>
      <c r="W968">
        <v>33000</v>
      </c>
      <c r="X968" t="s">
        <v>3627</v>
      </c>
      <c r="Y968">
        <v>0</v>
      </c>
      <c r="AA968" t="s">
        <v>90</v>
      </c>
      <c r="AC968" t="s">
        <v>3942</v>
      </c>
      <c r="AD968" t="s">
        <v>3847</v>
      </c>
      <c r="AF968" t="s">
        <v>4059</v>
      </c>
      <c r="AH968" t="s">
        <v>4078</v>
      </c>
      <c r="AJ968" t="s">
        <v>3942</v>
      </c>
      <c r="AK968" t="s">
        <v>4084</v>
      </c>
      <c r="AM968" t="s">
        <v>2230</v>
      </c>
      <c r="AO968">
        <v>1442</v>
      </c>
      <c r="AQ968">
        <v>359</v>
      </c>
      <c r="AS968" t="s">
        <v>4113</v>
      </c>
      <c r="AT968" t="s">
        <v>4127</v>
      </c>
      <c r="AW968">
        <v>28</v>
      </c>
      <c r="AY968" t="s">
        <v>4140</v>
      </c>
      <c r="BA968" t="s">
        <v>4149</v>
      </c>
      <c r="BB968" t="s">
        <v>4154</v>
      </c>
      <c r="BF968" t="s">
        <v>4281</v>
      </c>
      <c r="BG968" t="s">
        <v>4539</v>
      </c>
      <c r="BM968" t="s">
        <v>4627</v>
      </c>
    </row>
    <row r="969" spans="1:65">
      <c r="A969" s="1">
        <f>HYPERLINK("https://lsnyc.legalserver.org/matter/dynamic-profile/view/1898399","19-1898399")</f>
        <v>0</v>
      </c>
      <c r="B969" t="s">
        <v>86</v>
      </c>
      <c r="C969" t="s">
        <v>93</v>
      </c>
      <c r="D969" t="s">
        <v>320</v>
      </c>
      <c r="F969" t="s">
        <v>918</v>
      </c>
      <c r="G969" t="s">
        <v>1458</v>
      </c>
      <c r="H969" t="s">
        <v>1577</v>
      </c>
      <c r="I969" t="s">
        <v>2153</v>
      </c>
      <c r="J969" t="s">
        <v>2205</v>
      </c>
      <c r="K969">
        <v>11233</v>
      </c>
      <c r="N969" t="s">
        <v>2233</v>
      </c>
      <c r="O969" t="s">
        <v>2794</v>
      </c>
      <c r="P969" t="s">
        <v>2930</v>
      </c>
      <c r="R969">
        <v>2</v>
      </c>
      <c r="S969">
        <v>0</v>
      </c>
      <c r="T969">
        <v>502.66</v>
      </c>
      <c r="W969">
        <v>85000</v>
      </c>
      <c r="X969" t="s">
        <v>3778</v>
      </c>
      <c r="Y969">
        <v>0</v>
      </c>
      <c r="AA969" t="s">
        <v>70</v>
      </c>
      <c r="AC969" t="s">
        <v>3942</v>
      </c>
      <c r="AD969" t="s">
        <v>4035</v>
      </c>
      <c r="AF969" t="s">
        <v>4061</v>
      </c>
      <c r="AH969" t="s">
        <v>3510</v>
      </c>
      <c r="AJ969" t="s">
        <v>3942</v>
      </c>
      <c r="AL969" t="s">
        <v>4070</v>
      </c>
      <c r="AM969" t="s">
        <v>2230</v>
      </c>
      <c r="AO969">
        <v>1170.14</v>
      </c>
      <c r="AQ969">
        <v>359</v>
      </c>
      <c r="AS969" t="s">
        <v>4113</v>
      </c>
      <c r="AT969" t="s">
        <v>4127</v>
      </c>
      <c r="AW969">
        <v>19</v>
      </c>
      <c r="AY969" t="s">
        <v>4140</v>
      </c>
      <c r="BA969" t="s">
        <v>4149</v>
      </c>
      <c r="BB969" t="s">
        <v>4154</v>
      </c>
      <c r="BF969" t="s">
        <v>4281</v>
      </c>
      <c r="BM969" t="s">
        <v>4627</v>
      </c>
    </row>
    <row r="970" spans="1:65">
      <c r="A970" s="1">
        <f>HYPERLINK("https://lsnyc.legalserver.org/matter/dynamic-profile/view/1909087","19-1909087")</f>
        <v>0</v>
      </c>
      <c r="B970" t="s">
        <v>86</v>
      </c>
      <c r="C970" t="s">
        <v>93</v>
      </c>
      <c r="D970" t="s">
        <v>193</v>
      </c>
      <c r="F970" t="s">
        <v>933</v>
      </c>
      <c r="G970" t="s">
        <v>1476</v>
      </c>
      <c r="H970" t="s">
        <v>1829</v>
      </c>
      <c r="I970" t="s">
        <v>1925</v>
      </c>
      <c r="J970" t="s">
        <v>2205</v>
      </c>
      <c r="K970">
        <v>11233</v>
      </c>
      <c r="N970" t="s">
        <v>2233</v>
      </c>
      <c r="O970" t="s">
        <v>2816</v>
      </c>
      <c r="P970" t="s">
        <v>2930</v>
      </c>
      <c r="R970">
        <v>2</v>
      </c>
      <c r="S970">
        <v>1</v>
      </c>
      <c r="T970">
        <v>201.59</v>
      </c>
      <c r="W970">
        <v>43000</v>
      </c>
      <c r="X970" t="s">
        <v>3755</v>
      </c>
      <c r="Y970">
        <v>0</v>
      </c>
      <c r="AA970" t="s">
        <v>70</v>
      </c>
      <c r="AC970" t="s">
        <v>3942</v>
      </c>
      <c r="AD970" t="s">
        <v>3960</v>
      </c>
      <c r="AF970" t="s">
        <v>4059</v>
      </c>
      <c r="AH970" t="s">
        <v>4078</v>
      </c>
      <c r="AJ970" t="s">
        <v>3942</v>
      </c>
      <c r="AL970" t="s">
        <v>4070</v>
      </c>
      <c r="AM970" t="s">
        <v>2230</v>
      </c>
      <c r="AO970">
        <v>840.39</v>
      </c>
      <c r="AQ970">
        <v>359</v>
      </c>
      <c r="AS970" t="s">
        <v>4113</v>
      </c>
      <c r="AU970" t="s">
        <v>4128</v>
      </c>
      <c r="AW970">
        <v>8</v>
      </c>
      <c r="AY970" t="s">
        <v>4140</v>
      </c>
      <c r="BA970" t="s">
        <v>4149</v>
      </c>
      <c r="BB970" t="s">
        <v>4154</v>
      </c>
      <c r="BC970" t="s">
        <v>4128</v>
      </c>
      <c r="BG970" t="s">
        <v>4544</v>
      </c>
      <c r="BM970" t="s">
        <v>4627</v>
      </c>
    </row>
    <row r="971" spans="1:65">
      <c r="A971" s="1">
        <f>HYPERLINK("https://lsnyc.legalserver.org/matter/dynamic-profile/view/1836256","17-1836256")</f>
        <v>0</v>
      </c>
      <c r="B971" t="s">
        <v>86</v>
      </c>
      <c r="C971" t="s">
        <v>93</v>
      </c>
      <c r="D971" t="s">
        <v>311</v>
      </c>
      <c r="F971" t="s">
        <v>934</v>
      </c>
      <c r="G971" t="s">
        <v>1477</v>
      </c>
      <c r="H971" t="s">
        <v>1838</v>
      </c>
      <c r="I971">
        <v>1</v>
      </c>
      <c r="J971" t="s">
        <v>2205</v>
      </c>
      <c r="K971">
        <v>11233</v>
      </c>
      <c r="N971" t="s">
        <v>2233</v>
      </c>
      <c r="O971" t="s">
        <v>2817</v>
      </c>
      <c r="Q971" t="s">
        <v>3342</v>
      </c>
      <c r="R971">
        <v>1</v>
      </c>
      <c r="S971">
        <v>0</v>
      </c>
      <c r="T971">
        <v>81.79000000000001</v>
      </c>
      <c r="W971">
        <v>9864</v>
      </c>
      <c r="Y971">
        <v>151.7</v>
      </c>
      <c r="Z971" t="s">
        <v>204</v>
      </c>
      <c r="AA971" t="s">
        <v>3905</v>
      </c>
      <c r="AC971" t="s">
        <v>3942</v>
      </c>
      <c r="AD971" t="s">
        <v>311</v>
      </c>
      <c r="AF971" t="s">
        <v>4050</v>
      </c>
      <c r="AH971" t="s">
        <v>4076</v>
      </c>
      <c r="AJ971" t="s">
        <v>3943</v>
      </c>
      <c r="AL971" t="s">
        <v>4102</v>
      </c>
      <c r="AM971" t="s">
        <v>2230</v>
      </c>
      <c r="AO971">
        <v>1200</v>
      </c>
      <c r="AQ971">
        <v>2</v>
      </c>
      <c r="AS971" t="s">
        <v>4114</v>
      </c>
      <c r="AU971" t="s">
        <v>4129</v>
      </c>
      <c r="AW971">
        <v>2</v>
      </c>
      <c r="AY971" t="s">
        <v>4140</v>
      </c>
      <c r="BB971" t="s">
        <v>4154</v>
      </c>
      <c r="BD971" t="s">
        <v>4157</v>
      </c>
      <c r="BE971" t="s">
        <v>4251</v>
      </c>
      <c r="BG971" t="s">
        <v>4554</v>
      </c>
      <c r="BM971" t="s">
        <v>4627</v>
      </c>
    </row>
    <row r="972" spans="1:65">
      <c r="A972" s="1">
        <f>HYPERLINK("https://lsnyc.legalserver.org/matter/dynamic-profile/view/1876504","18-1876504")</f>
        <v>0</v>
      </c>
      <c r="B972" t="s">
        <v>86</v>
      </c>
      <c r="C972" t="s">
        <v>93</v>
      </c>
      <c r="D972" t="s">
        <v>121</v>
      </c>
      <c r="F972" t="s">
        <v>843</v>
      </c>
      <c r="G972" t="s">
        <v>1478</v>
      </c>
      <c r="H972" t="s">
        <v>1582</v>
      </c>
      <c r="I972">
        <v>24</v>
      </c>
      <c r="J972" t="s">
        <v>2205</v>
      </c>
      <c r="K972">
        <v>11213</v>
      </c>
      <c r="N972" t="s">
        <v>2233</v>
      </c>
      <c r="O972" t="s">
        <v>2818</v>
      </c>
      <c r="Q972" t="s">
        <v>3343</v>
      </c>
      <c r="R972">
        <v>3</v>
      </c>
      <c r="S972">
        <v>0</v>
      </c>
      <c r="T972">
        <v>203.08</v>
      </c>
      <c r="U972" t="s">
        <v>416</v>
      </c>
      <c r="V972" t="s">
        <v>3458</v>
      </c>
      <c r="W972">
        <v>42200</v>
      </c>
      <c r="Y972">
        <v>665.95</v>
      </c>
      <c r="Z972" t="s">
        <v>183</v>
      </c>
      <c r="AA972" t="s">
        <v>90</v>
      </c>
      <c r="AC972" t="s">
        <v>3942</v>
      </c>
      <c r="AD972" t="s">
        <v>101</v>
      </c>
      <c r="AF972" t="s">
        <v>4058</v>
      </c>
      <c r="AH972" t="s">
        <v>4076</v>
      </c>
      <c r="AJ972" t="s">
        <v>3942</v>
      </c>
      <c r="AL972" t="s">
        <v>4087</v>
      </c>
      <c r="AM972" t="s">
        <v>2230</v>
      </c>
      <c r="AO972">
        <v>917</v>
      </c>
      <c r="AQ972">
        <v>31</v>
      </c>
      <c r="AS972" t="s">
        <v>4113</v>
      </c>
      <c r="AU972" t="s">
        <v>4128</v>
      </c>
      <c r="AW972">
        <v>18</v>
      </c>
      <c r="AY972" t="s">
        <v>4140</v>
      </c>
      <c r="BB972" t="s">
        <v>4154</v>
      </c>
      <c r="BG972" t="s">
        <v>4301</v>
      </c>
      <c r="BM972" t="s">
        <v>4627</v>
      </c>
    </row>
    <row r="973" spans="1:65">
      <c r="A973" s="1">
        <f>HYPERLINK("https://lsnyc.legalserver.org/matter/dynamic-profile/view/1890535","19-1890535")</f>
        <v>0</v>
      </c>
      <c r="B973" t="s">
        <v>86</v>
      </c>
      <c r="C973" t="s">
        <v>93</v>
      </c>
      <c r="D973" t="s">
        <v>414</v>
      </c>
      <c r="F973" t="s">
        <v>931</v>
      </c>
      <c r="G973" t="s">
        <v>1115</v>
      </c>
      <c r="H973" t="s">
        <v>1633</v>
      </c>
      <c r="I973" t="s">
        <v>1983</v>
      </c>
      <c r="J973" t="s">
        <v>2205</v>
      </c>
      <c r="K973">
        <v>11233</v>
      </c>
      <c r="N973" t="s">
        <v>2233</v>
      </c>
      <c r="O973" t="s">
        <v>2812</v>
      </c>
      <c r="P973" t="s">
        <v>2930</v>
      </c>
      <c r="R973">
        <v>3</v>
      </c>
      <c r="S973">
        <v>0</v>
      </c>
      <c r="T973">
        <v>209.07</v>
      </c>
      <c r="U973" t="s">
        <v>274</v>
      </c>
      <c r="V973" t="s">
        <v>3458</v>
      </c>
      <c r="W973">
        <v>44595</v>
      </c>
      <c r="X973" t="s">
        <v>3779</v>
      </c>
      <c r="Y973">
        <v>0</v>
      </c>
      <c r="AA973" t="s">
        <v>90</v>
      </c>
      <c r="AC973" t="s">
        <v>3942</v>
      </c>
      <c r="AD973" t="s">
        <v>3847</v>
      </c>
      <c r="AF973" t="s">
        <v>4059</v>
      </c>
      <c r="AH973" t="s">
        <v>4078</v>
      </c>
      <c r="AJ973" t="s">
        <v>3942</v>
      </c>
      <c r="AL973" t="s">
        <v>4070</v>
      </c>
      <c r="AM973" t="s">
        <v>2230</v>
      </c>
      <c r="AO973">
        <v>1121</v>
      </c>
      <c r="AQ973">
        <v>359</v>
      </c>
      <c r="AS973" t="s">
        <v>4113</v>
      </c>
      <c r="AU973" t="s">
        <v>4128</v>
      </c>
      <c r="AW973">
        <v>4</v>
      </c>
      <c r="AY973" t="s">
        <v>4140</v>
      </c>
      <c r="BA973" t="s">
        <v>4149</v>
      </c>
      <c r="BB973" t="s">
        <v>4154</v>
      </c>
      <c r="BC973" t="s">
        <v>4128</v>
      </c>
      <c r="BE973" t="s">
        <v>4128</v>
      </c>
      <c r="BF973" t="s">
        <v>4281</v>
      </c>
      <c r="BG973" t="s">
        <v>4538</v>
      </c>
      <c r="BM973" t="s">
        <v>4627</v>
      </c>
    </row>
    <row r="974" spans="1:65">
      <c r="A974" s="1">
        <f>HYPERLINK("https://lsnyc.legalserver.org/matter/dynamic-profile/view/1909092","19-1909092")</f>
        <v>0</v>
      </c>
      <c r="B974" t="s">
        <v>86</v>
      </c>
      <c r="C974" t="s">
        <v>93</v>
      </c>
      <c r="D974" t="s">
        <v>193</v>
      </c>
      <c r="F974" t="s">
        <v>723</v>
      </c>
      <c r="G974" t="s">
        <v>1479</v>
      </c>
      <c r="H974" t="s">
        <v>1829</v>
      </c>
      <c r="I974" t="s">
        <v>2170</v>
      </c>
      <c r="J974" t="s">
        <v>2205</v>
      </c>
      <c r="K974">
        <v>11233</v>
      </c>
      <c r="N974" t="s">
        <v>2233</v>
      </c>
      <c r="O974" t="s">
        <v>2819</v>
      </c>
      <c r="P974" t="s">
        <v>2930</v>
      </c>
      <c r="R974">
        <v>2</v>
      </c>
      <c r="S974">
        <v>2</v>
      </c>
      <c r="T974">
        <v>120.39</v>
      </c>
      <c r="W974">
        <v>31000</v>
      </c>
      <c r="X974" t="s">
        <v>3780</v>
      </c>
      <c r="Y974">
        <v>0</v>
      </c>
      <c r="AA974" t="s">
        <v>70</v>
      </c>
      <c r="AC974" t="s">
        <v>3942</v>
      </c>
      <c r="AD974" t="s">
        <v>3960</v>
      </c>
      <c r="AF974" t="s">
        <v>4059</v>
      </c>
      <c r="AH974" t="s">
        <v>4078</v>
      </c>
      <c r="AJ974" t="s">
        <v>3942</v>
      </c>
      <c r="AL974" t="s">
        <v>4070</v>
      </c>
      <c r="AM974" t="s">
        <v>2230</v>
      </c>
      <c r="AO974">
        <v>1059</v>
      </c>
      <c r="AQ974">
        <v>359</v>
      </c>
      <c r="AS974" t="s">
        <v>4113</v>
      </c>
      <c r="AU974" t="s">
        <v>4128</v>
      </c>
      <c r="AW974">
        <v>18</v>
      </c>
      <c r="AY974" t="s">
        <v>4140</v>
      </c>
      <c r="BA974" t="s">
        <v>4149</v>
      </c>
      <c r="BB974" t="s">
        <v>4154</v>
      </c>
      <c r="BC974" t="s">
        <v>4128</v>
      </c>
      <c r="BG974" t="s">
        <v>4544</v>
      </c>
      <c r="BM974" t="s">
        <v>4627</v>
      </c>
    </row>
    <row r="975" spans="1:65">
      <c r="A975" s="1">
        <f>HYPERLINK("https://lsnyc.legalserver.org/matter/dynamic-profile/view/1891859","19-1891859")</f>
        <v>0</v>
      </c>
      <c r="B975" t="s">
        <v>86</v>
      </c>
      <c r="C975" t="s">
        <v>93</v>
      </c>
      <c r="D975" t="s">
        <v>421</v>
      </c>
      <c r="F975" t="s">
        <v>923</v>
      </c>
      <c r="G975" t="s">
        <v>1463</v>
      </c>
      <c r="H975" t="s">
        <v>1577</v>
      </c>
      <c r="I975" t="s">
        <v>2157</v>
      </c>
      <c r="J975" t="s">
        <v>2205</v>
      </c>
      <c r="K975">
        <v>11233</v>
      </c>
      <c r="N975" t="s">
        <v>2233</v>
      </c>
      <c r="O975" t="s">
        <v>2800</v>
      </c>
      <c r="P975" t="s">
        <v>2930</v>
      </c>
      <c r="R975">
        <v>4</v>
      </c>
      <c r="S975">
        <v>0</v>
      </c>
      <c r="T975">
        <v>193.03</v>
      </c>
      <c r="W975">
        <v>49705</v>
      </c>
      <c r="X975" t="s">
        <v>3781</v>
      </c>
      <c r="Y975">
        <v>0</v>
      </c>
      <c r="AA975" t="s">
        <v>90</v>
      </c>
      <c r="AC975" t="s">
        <v>3942</v>
      </c>
      <c r="AD975" t="s">
        <v>4035</v>
      </c>
      <c r="AF975" t="s">
        <v>4061</v>
      </c>
      <c r="AH975" t="s">
        <v>3510</v>
      </c>
      <c r="AJ975" t="s">
        <v>3942</v>
      </c>
      <c r="AK975" t="s">
        <v>4084</v>
      </c>
      <c r="AM975" t="s">
        <v>2230</v>
      </c>
      <c r="AO975">
        <v>950</v>
      </c>
      <c r="AQ975">
        <v>359</v>
      </c>
      <c r="AS975" t="s">
        <v>4113</v>
      </c>
      <c r="AU975" t="s">
        <v>4128</v>
      </c>
      <c r="AW975">
        <v>15</v>
      </c>
      <c r="AY975" t="s">
        <v>4140</v>
      </c>
      <c r="BA975" t="s">
        <v>4149</v>
      </c>
      <c r="BB975" t="s">
        <v>4154</v>
      </c>
      <c r="BF975" t="s">
        <v>4281</v>
      </c>
      <c r="BG975" t="s">
        <v>4128</v>
      </c>
      <c r="BM975" t="s">
        <v>4627</v>
      </c>
    </row>
    <row r="976" spans="1:65">
      <c r="A976" s="1">
        <f>HYPERLINK("https://lsnyc.legalserver.org/matter/dynamic-profile/view/1912978","19-1912978")</f>
        <v>0</v>
      </c>
      <c r="B976" t="s">
        <v>87</v>
      </c>
      <c r="C976" t="s">
        <v>93</v>
      </c>
      <c r="D976" t="s">
        <v>111</v>
      </c>
      <c r="F976" t="s">
        <v>935</v>
      </c>
      <c r="G976" t="s">
        <v>1480</v>
      </c>
      <c r="H976" t="s">
        <v>1839</v>
      </c>
      <c r="J976" t="s">
        <v>2205</v>
      </c>
      <c r="K976">
        <v>11207</v>
      </c>
      <c r="N976" t="s">
        <v>2239</v>
      </c>
      <c r="O976" t="s">
        <v>2820</v>
      </c>
      <c r="Q976" t="s">
        <v>3344</v>
      </c>
      <c r="R976">
        <v>1</v>
      </c>
      <c r="S976">
        <v>1</v>
      </c>
      <c r="T976">
        <v>143.58</v>
      </c>
      <c r="W976">
        <v>24280</v>
      </c>
      <c r="Y976">
        <v>3</v>
      </c>
      <c r="Z976" t="s">
        <v>134</v>
      </c>
      <c r="AA976" t="s">
        <v>90</v>
      </c>
      <c r="AC976" t="s">
        <v>3942</v>
      </c>
      <c r="AD976" t="s">
        <v>196</v>
      </c>
      <c r="AF976" t="s">
        <v>4054</v>
      </c>
      <c r="AH976" t="s">
        <v>4081</v>
      </c>
      <c r="AJ976" t="s">
        <v>3943</v>
      </c>
      <c r="AL976" t="s">
        <v>4087</v>
      </c>
      <c r="AM976" t="s">
        <v>2230</v>
      </c>
      <c r="AN976" t="s">
        <v>4107</v>
      </c>
      <c r="AO976">
        <v>0</v>
      </c>
      <c r="AQ976">
        <v>65</v>
      </c>
      <c r="AS976" t="s">
        <v>4120</v>
      </c>
      <c r="AT976" t="s">
        <v>4127</v>
      </c>
      <c r="AV976" t="s">
        <v>4137</v>
      </c>
      <c r="AW976">
        <v>0</v>
      </c>
      <c r="AY976" t="s">
        <v>4141</v>
      </c>
      <c r="BA976" t="s">
        <v>4149</v>
      </c>
      <c r="BC976" t="s">
        <v>4155</v>
      </c>
      <c r="BF976" t="s">
        <v>4281</v>
      </c>
      <c r="BG976" t="s">
        <v>4303</v>
      </c>
      <c r="BM976" t="s">
        <v>4627</v>
      </c>
    </row>
    <row r="977" spans="1:65">
      <c r="A977" s="1">
        <f>HYPERLINK("https://lsnyc.legalserver.org/matter/dynamic-profile/view/1913355","19-1913355")</f>
        <v>0</v>
      </c>
      <c r="B977" t="s">
        <v>87</v>
      </c>
      <c r="C977" t="s">
        <v>93</v>
      </c>
      <c r="D977" t="s">
        <v>139</v>
      </c>
      <c r="F977" t="s">
        <v>829</v>
      </c>
      <c r="G977" t="s">
        <v>1047</v>
      </c>
      <c r="H977" t="s">
        <v>1840</v>
      </c>
      <c r="I977" t="s">
        <v>1927</v>
      </c>
      <c r="J977" t="s">
        <v>2205</v>
      </c>
      <c r="K977">
        <v>11212</v>
      </c>
      <c r="N977" t="s">
        <v>2233</v>
      </c>
      <c r="O977" t="s">
        <v>2821</v>
      </c>
      <c r="Q977" t="s">
        <v>3345</v>
      </c>
      <c r="R977">
        <v>1</v>
      </c>
      <c r="S977">
        <v>0</v>
      </c>
      <c r="T977">
        <v>0</v>
      </c>
      <c r="W977">
        <v>0</v>
      </c>
      <c r="Y977">
        <v>3</v>
      </c>
      <c r="Z977" t="s">
        <v>156</v>
      </c>
      <c r="AA977" t="s">
        <v>70</v>
      </c>
      <c r="AB977" t="s">
        <v>3940</v>
      </c>
      <c r="AC977" t="s">
        <v>3944</v>
      </c>
      <c r="AF977" t="s">
        <v>4050</v>
      </c>
      <c r="AH977" t="s">
        <v>4079</v>
      </c>
      <c r="AJ977" t="s">
        <v>3943</v>
      </c>
      <c r="AL977" t="s">
        <v>4103</v>
      </c>
      <c r="AM977" t="s">
        <v>2230</v>
      </c>
      <c r="AO977">
        <v>1400</v>
      </c>
      <c r="AQ977">
        <v>4</v>
      </c>
      <c r="AS977" t="s">
        <v>4114</v>
      </c>
      <c r="AU977" t="s">
        <v>4128</v>
      </c>
      <c r="AW977">
        <v>3</v>
      </c>
      <c r="AY977" t="s">
        <v>4140</v>
      </c>
      <c r="AZ977" t="s">
        <v>4148</v>
      </c>
      <c r="BB977" t="s">
        <v>4154</v>
      </c>
      <c r="BG977" t="s">
        <v>4555</v>
      </c>
      <c r="BM977" t="s">
        <v>4627</v>
      </c>
    </row>
    <row r="978" spans="1:65">
      <c r="A978" s="1">
        <f>HYPERLINK("https://lsnyc.legalserver.org/matter/dynamic-profile/view/0831319","17-0831319")</f>
        <v>0</v>
      </c>
      <c r="B978" t="s">
        <v>87</v>
      </c>
      <c r="C978" t="s">
        <v>93</v>
      </c>
      <c r="D978" t="s">
        <v>436</v>
      </c>
      <c r="F978" t="s">
        <v>936</v>
      </c>
      <c r="G978" t="s">
        <v>789</v>
      </c>
      <c r="H978" t="s">
        <v>1841</v>
      </c>
      <c r="I978" t="s">
        <v>1968</v>
      </c>
      <c r="J978" t="s">
        <v>2205</v>
      </c>
      <c r="K978">
        <v>11212</v>
      </c>
      <c r="N978" t="s">
        <v>2233</v>
      </c>
      <c r="O978" t="s">
        <v>2822</v>
      </c>
      <c r="Q978" t="s">
        <v>3346</v>
      </c>
      <c r="R978">
        <v>3</v>
      </c>
      <c r="S978">
        <v>0</v>
      </c>
      <c r="T978">
        <v>111.01</v>
      </c>
      <c r="W978">
        <v>22668</v>
      </c>
      <c r="Y978">
        <v>212.65</v>
      </c>
      <c r="Z978" t="s">
        <v>102</v>
      </c>
      <c r="AA978" t="s">
        <v>3897</v>
      </c>
      <c r="AC978" t="s">
        <v>3942</v>
      </c>
      <c r="AD978" t="s">
        <v>4029</v>
      </c>
      <c r="AF978" t="s">
        <v>4062</v>
      </c>
      <c r="AH978" t="s">
        <v>4076</v>
      </c>
      <c r="AJ978" t="s">
        <v>3942</v>
      </c>
      <c r="AL978" t="s">
        <v>4090</v>
      </c>
      <c r="AM978" t="s">
        <v>2230</v>
      </c>
      <c r="AO978">
        <v>1400</v>
      </c>
      <c r="AQ978">
        <v>4</v>
      </c>
      <c r="AS978" t="s">
        <v>4117</v>
      </c>
      <c r="AU978" t="s">
        <v>4128</v>
      </c>
      <c r="AW978">
        <v>4</v>
      </c>
      <c r="AY978" t="s">
        <v>4140</v>
      </c>
      <c r="BA978" t="s">
        <v>4149</v>
      </c>
      <c r="BC978" t="s">
        <v>4155</v>
      </c>
      <c r="BF978" t="s">
        <v>4281</v>
      </c>
      <c r="BG978" t="s">
        <v>4556</v>
      </c>
      <c r="BM978" t="s">
        <v>4627</v>
      </c>
    </row>
    <row r="979" spans="1:65">
      <c r="A979" s="1">
        <f>HYPERLINK("https://lsnyc.legalserver.org/matter/dynamic-profile/view/1901313","19-1901313")</f>
        <v>0</v>
      </c>
      <c r="B979" t="s">
        <v>87</v>
      </c>
      <c r="C979" t="s">
        <v>93</v>
      </c>
      <c r="D979" t="s">
        <v>236</v>
      </c>
      <c r="F979" t="s">
        <v>937</v>
      </c>
      <c r="G979" t="s">
        <v>1481</v>
      </c>
      <c r="H979" t="s">
        <v>1841</v>
      </c>
      <c r="I979" t="s">
        <v>1924</v>
      </c>
      <c r="J979" t="s">
        <v>2205</v>
      </c>
      <c r="K979">
        <v>11212</v>
      </c>
      <c r="N979" t="s">
        <v>2233</v>
      </c>
      <c r="O979" t="s">
        <v>2823</v>
      </c>
      <c r="Q979" t="s">
        <v>3347</v>
      </c>
      <c r="R979">
        <v>2</v>
      </c>
      <c r="S979">
        <v>0</v>
      </c>
      <c r="T979">
        <v>127.74</v>
      </c>
      <c r="W979">
        <v>21600</v>
      </c>
      <c r="Y979">
        <v>0.5</v>
      </c>
      <c r="Z979" t="s">
        <v>3819</v>
      </c>
      <c r="AA979" t="s">
        <v>90</v>
      </c>
      <c r="AC979" t="s">
        <v>3942</v>
      </c>
      <c r="AD979" t="s">
        <v>4029</v>
      </c>
      <c r="AF979" t="s">
        <v>4062</v>
      </c>
      <c r="AH979" t="s">
        <v>4076</v>
      </c>
      <c r="AJ979" t="s">
        <v>3942</v>
      </c>
      <c r="AL979" t="s">
        <v>4086</v>
      </c>
      <c r="AM979" t="s">
        <v>2230</v>
      </c>
      <c r="AO979">
        <v>1326</v>
      </c>
      <c r="AQ979">
        <v>4</v>
      </c>
      <c r="AS979" t="s">
        <v>4117</v>
      </c>
      <c r="AU979" t="s">
        <v>4128</v>
      </c>
      <c r="AW979">
        <v>9</v>
      </c>
      <c r="AY979" t="s">
        <v>4140</v>
      </c>
      <c r="BA979" t="s">
        <v>4149</v>
      </c>
      <c r="BC979" t="s">
        <v>4155</v>
      </c>
      <c r="BF979" t="s">
        <v>4281</v>
      </c>
      <c r="BG979" t="s">
        <v>4556</v>
      </c>
      <c r="BM979" t="s">
        <v>4627</v>
      </c>
    </row>
    <row r="980" spans="1:65">
      <c r="A980" s="1">
        <f>HYPERLINK("https://lsnyc.legalserver.org/matter/dynamic-profile/view/1836386","17-1836386")</f>
        <v>0</v>
      </c>
      <c r="B980" t="s">
        <v>87</v>
      </c>
      <c r="C980" t="s">
        <v>93</v>
      </c>
      <c r="D980" t="s">
        <v>437</v>
      </c>
      <c r="F980" t="s">
        <v>478</v>
      </c>
      <c r="G980" t="s">
        <v>1482</v>
      </c>
      <c r="H980" t="s">
        <v>1842</v>
      </c>
      <c r="I980" t="s">
        <v>1927</v>
      </c>
      <c r="J980" t="s">
        <v>2205</v>
      </c>
      <c r="K980">
        <v>11233</v>
      </c>
      <c r="N980" t="s">
        <v>2233</v>
      </c>
      <c r="O980" t="s">
        <v>2824</v>
      </c>
      <c r="Q980" t="s">
        <v>3348</v>
      </c>
      <c r="R980">
        <v>3</v>
      </c>
      <c r="S980">
        <v>0</v>
      </c>
      <c r="T980">
        <v>82.27</v>
      </c>
      <c r="W980">
        <v>16800</v>
      </c>
      <c r="Y980">
        <v>99.15000000000001</v>
      </c>
      <c r="Z980" t="s">
        <v>435</v>
      </c>
      <c r="AA980" t="s">
        <v>3927</v>
      </c>
      <c r="AC980" t="s">
        <v>3942</v>
      </c>
      <c r="AD980" t="s">
        <v>437</v>
      </c>
      <c r="AF980" t="s">
        <v>4055</v>
      </c>
      <c r="AH980" t="s">
        <v>4078</v>
      </c>
      <c r="AJ980" t="s">
        <v>3942</v>
      </c>
      <c r="AL980" t="s">
        <v>4086</v>
      </c>
      <c r="AM980" t="s">
        <v>2230</v>
      </c>
      <c r="AO980">
        <v>2350</v>
      </c>
      <c r="AQ980">
        <v>6</v>
      </c>
      <c r="AS980" t="s">
        <v>4113</v>
      </c>
      <c r="AU980" t="s">
        <v>4128</v>
      </c>
      <c r="AW980">
        <v>1</v>
      </c>
      <c r="AY980" t="s">
        <v>4140</v>
      </c>
      <c r="BB980" t="s">
        <v>4154</v>
      </c>
      <c r="BF980" t="s">
        <v>4281</v>
      </c>
      <c r="BM980" t="s">
        <v>4627</v>
      </c>
    </row>
    <row r="981" spans="1:65">
      <c r="A981" s="1">
        <f>HYPERLINK("https://lsnyc.legalserver.org/matter/dynamic-profile/view/1910351","19-1910351")</f>
        <v>0</v>
      </c>
      <c r="B981" t="s">
        <v>87</v>
      </c>
      <c r="C981" t="s">
        <v>93</v>
      </c>
      <c r="D981" t="s">
        <v>438</v>
      </c>
      <c r="F981" t="s">
        <v>937</v>
      </c>
      <c r="G981" t="s">
        <v>1481</v>
      </c>
      <c r="H981" t="s">
        <v>1841</v>
      </c>
      <c r="I981" t="s">
        <v>1924</v>
      </c>
      <c r="J981" t="s">
        <v>2205</v>
      </c>
      <c r="K981">
        <v>11212</v>
      </c>
      <c r="N981" t="s">
        <v>2233</v>
      </c>
      <c r="O981" t="s">
        <v>2823</v>
      </c>
      <c r="Q981" t="s">
        <v>3347</v>
      </c>
      <c r="R981">
        <v>2</v>
      </c>
      <c r="S981">
        <v>0</v>
      </c>
      <c r="T981">
        <v>127.74</v>
      </c>
      <c r="W981">
        <v>21600</v>
      </c>
      <c r="Y981">
        <v>0.1</v>
      </c>
      <c r="Z981" t="s">
        <v>3818</v>
      </c>
      <c r="AA981" t="s">
        <v>90</v>
      </c>
      <c r="AC981" t="s">
        <v>3942</v>
      </c>
      <c r="AD981" t="s">
        <v>3858</v>
      </c>
      <c r="AF981" t="s">
        <v>4061</v>
      </c>
      <c r="AH981" t="s">
        <v>3510</v>
      </c>
      <c r="AJ981" t="s">
        <v>3942</v>
      </c>
      <c r="AL981" t="s">
        <v>4086</v>
      </c>
      <c r="AM981" t="s">
        <v>2230</v>
      </c>
      <c r="AO981">
        <v>1326</v>
      </c>
      <c r="AQ981">
        <v>4</v>
      </c>
      <c r="AS981" t="s">
        <v>4117</v>
      </c>
      <c r="AU981" t="s">
        <v>4128</v>
      </c>
      <c r="AW981">
        <v>9</v>
      </c>
      <c r="AY981" t="s">
        <v>4140</v>
      </c>
      <c r="BA981" t="s">
        <v>4149</v>
      </c>
      <c r="BC981" t="s">
        <v>4155</v>
      </c>
      <c r="BE981" t="s">
        <v>4159</v>
      </c>
      <c r="BF981" t="s">
        <v>4281</v>
      </c>
      <c r="BG981" t="s">
        <v>4327</v>
      </c>
      <c r="BM981" t="s">
        <v>4627</v>
      </c>
    </row>
    <row r="982" spans="1:65">
      <c r="A982" s="1">
        <f>HYPERLINK("https://lsnyc.legalserver.org/matter/dynamic-profile/view/1910350","19-1910350")</f>
        <v>0</v>
      </c>
      <c r="B982" t="s">
        <v>87</v>
      </c>
      <c r="C982" t="s">
        <v>93</v>
      </c>
      <c r="D982" t="s">
        <v>438</v>
      </c>
      <c r="F982" t="s">
        <v>936</v>
      </c>
      <c r="G982" t="s">
        <v>789</v>
      </c>
      <c r="H982" t="s">
        <v>1841</v>
      </c>
      <c r="I982" t="s">
        <v>1968</v>
      </c>
      <c r="J982" t="s">
        <v>2205</v>
      </c>
      <c r="K982">
        <v>11212</v>
      </c>
      <c r="N982" t="s">
        <v>2233</v>
      </c>
      <c r="O982" t="s">
        <v>2822</v>
      </c>
      <c r="Q982" t="s">
        <v>3346</v>
      </c>
      <c r="R982">
        <v>1</v>
      </c>
      <c r="S982">
        <v>0</v>
      </c>
      <c r="T982">
        <v>181.49</v>
      </c>
      <c r="W982">
        <v>22668</v>
      </c>
      <c r="Y982">
        <v>0.1</v>
      </c>
      <c r="Z982" t="s">
        <v>3818</v>
      </c>
      <c r="AA982" t="s">
        <v>90</v>
      </c>
      <c r="AC982" t="s">
        <v>3942</v>
      </c>
      <c r="AD982" t="s">
        <v>3858</v>
      </c>
      <c r="AF982" t="s">
        <v>4061</v>
      </c>
      <c r="AH982" t="s">
        <v>3510</v>
      </c>
      <c r="AJ982" t="s">
        <v>3942</v>
      </c>
      <c r="AL982" t="s">
        <v>4086</v>
      </c>
      <c r="AM982" t="s">
        <v>2230</v>
      </c>
      <c r="AO982">
        <v>1400</v>
      </c>
      <c r="AQ982">
        <v>4</v>
      </c>
      <c r="AS982" t="s">
        <v>4113</v>
      </c>
      <c r="AU982" t="s">
        <v>4128</v>
      </c>
      <c r="AW982">
        <v>4</v>
      </c>
      <c r="AY982" t="s">
        <v>4140</v>
      </c>
      <c r="BA982" t="s">
        <v>4149</v>
      </c>
      <c r="BC982" t="s">
        <v>4155</v>
      </c>
      <c r="BE982" t="s">
        <v>4128</v>
      </c>
      <c r="BF982" t="s">
        <v>4281</v>
      </c>
      <c r="BG982" t="s">
        <v>4327</v>
      </c>
      <c r="BM982" t="s">
        <v>4627</v>
      </c>
    </row>
    <row r="983" spans="1:65">
      <c r="A983" s="1">
        <f>HYPERLINK("https://lsnyc.legalserver.org/matter/dynamic-profile/view/1913939","19-1913939")</f>
        <v>0</v>
      </c>
      <c r="B983" t="s">
        <v>87</v>
      </c>
      <c r="C983" t="s">
        <v>93</v>
      </c>
      <c r="D983" t="s">
        <v>222</v>
      </c>
      <c r="F983" t="s">
        <v>938</v>
      </c>
      <c r="G983" t="s">
        <v>1483</v>
      </c>
      <c r="H983" t="s">
        <v>1843</v>
      </c>
      <c r="J983" t="s">
        <v>2205</v>
      </c>
      <c r="K983">
        <v>11233</v>
      </c>
      <c r="N983" t="s">
        <v>2233</v>
      </c>
      <c r="O983" t="s">
        <v>2825</v>
      </c>
      <c r="Q983" t="s">
        <v>3349</v>
      </c>
      <c r="R983">
        <v>1</v>
      </c>
      <c r="S983">
        <v>0</v>
      </c>
      <c r="T983">
        <v>51.21</v>
      </c>
      <c r="W983">
        <v>6396</v>
      </c>
      <c r="Y983">
        <v>4.5</v>
      </c>
      <c r="Z983" t="s">
        <v>156</v>
      </c>
      <c r="AA983" t="s">
        <v>3904</v>
      </c>
      <c r="AB983" t="s">
        <v>3940</v>
      </c>
      <c r="AC983" t="s">
        <v>3944</v>
      </c>
      <c r="AF983" t="s">
        <v>4050</v>
      </c>
      <c r="AH983" t="s">
        <v>4079</v>
      </c>
      <c r="AJ983" t="s">
        <v>3943</v>
      </c>
      <c r="AL983" t="s">
        <v>4092</v>
      </c>
      <c r="AM983" t="s">
        <v>2230</v>
      </c>
      <c r="AN983" t="s">
        <v>4107</v>
      </c>
      <c r="AO983">
        <v>0</v>
      </c>
      <c r="AQ983">
        <v>2</v>
      </c>
      <c r="AS983" t="s">
        <v>4114</v>
      </c>
      <c r="AU983" t="s">
        <v>4128</v>
      </c>
      <c r="AW983">
        <v>4</v>
      </c>
      <c r="AY983" t="s">
        <v>4140</v>
      </c>
      <c r="AZ983" t="s">
        <v>4148</v>
      </c>
      <c r="BB983" t="s">
        <v>4154</v>
      </c>
      <c r="BE983" t="s">
        <v>4128</v>
      </c>
      <c r="BG983" t="s">
        <v>4557</v>
      </c>
      <c r="BM983" t="s">
        <v>4627</v>
      </c>
    </row>
    <row r="984" spans="1:65">
      <c r="A984" s="1">
        <f>HYPERLINK("https://lsnyc.legalserver.org/matter/dynamic-profile/view/1910363","19-1910363")</f>
        <v>0</v>
      </c>
      <c r="B984" t="s">
        <v>87</v>
      </c>
      <c r="C984" t="s">
        <v>93</v>
      </c>
      <c r="D984" t="s">
        <v>438</v>
      </c>
      <c r="F984" t="s">
        <v>939</v>
      </c>
      <c r="G984" t="s">
        <v>1484</v>
      </c>
      <c r="H984" t="s">
        <v>1841</v>
      </c>
      <c r="I984" t="s">
        <v>1940</v>
      </c>
      <c r="J984" t="s">
        <v>2205</v>
      </c>
      <c r="K984">
        <v>11212</v>
      </c>
      <c r="N984" t="s">
        <v>2233</v>
      </c>
      <c r="O984" t="s">
        <v>2826</v>
      </c>
      <c r="Q984" t="s">
        <v>3350</v>
      </c>
      <c r="R984">
        <v>2</v>
      </c>
      <c r="S984">
        <v>0</v>
      </c>
      <c r="T984">
        <v>49.67</v>
      </c>
      <c r="W984">
        <v>8400</v>
      </c>
      <c r="Y984">
        <v>0.1</v>
      </c>
      <c r="Z984" t="s">
        <v>3818</v>
      </c>
      <c r="AA984" t="s">
        <v>90</v>
      </c>
      <c r="AC984" t="s">
        <v>3942</v>
      </c>
      <c r="AD984" t="s">
        <v>3858</v>
      </c>
      <c r="AF984" t="s">
        <v>4061</v>
      </c>
      <c r="AH984" t="s">
        <v>3510</v>
      </c>
      <c r="AJ984" t="s">
        <v>3942</v>
      </c>
      <c r="AL984" t="s">
        <v>4086</v>
      </c>
      <c r="AM984" t="s">
        <v>2230</v>
      </c>
      <c r="AO984">
        <v>1253</v>
      </c>
      <c r="AQ984">
        <v>6</v>
      </c>
      <c r="AS984" t="s">
        <v>4117</v>
      </c>
      <c r="AU984" t="s">
        <v>4129</v>
      </c>
      <c r="AW984">
        <v>3</v>
      </c>
      <c r="AY984" t="s">
        <v>4140</v>
      </c>
      <c r="BA984" t="s">
        <v>4149</v>
      </c>
      <c r="BC984" t="s">
        <v>4155</v>
      </c>
      <c r="BE984" t="s">
        <v>4162</v>
      </c>
      <c r="BF984" t="s">
        <v>4281</v>
      </c>
      <c r="BG984" t="s">
        <v>4327</v>
      </c>
      <c r="BM984" t="s">
        <v>4627</v>
      </c>
    </row>
    <row r="985" spans="1:65">
      <c r="A985" s="1">
        <f>HYPERLINK("https://lsnyc.legalserver.org/matter/dynamic-profile/view/1901300","19-1901300")</f>
        <v>0</v>
      </c>
      <c r="B985" t="s">
        <v>87</v>
      </c>
      <c r="C985" t="s">
        <v>93</v>
      </c>
      <c r="D985" t="s">
        <v>236</v>
      </c>
      <c r="F985" t="s">
        <v>939</v>
      </c>
      <c r="G985" t="s">
        <v>1484</v>
      </c>
      <c r="H985" t="s">
        <v>1841</v>
      </c>
      <c r="I985" t="s">
        <v>1940</v>
      </c>
      <c r="J985" t="s">
        <v>2205</v>
      </c>
      <c r="K985">
        <v>11212</v>
      </c>
      <c r="N985" t="s">
        <v>2233</v>
      </c>
      <c r="O985" t="s">
        <v>2826</v>
      </c>
      <c r="Q985" t="s">
        <v>3350</v>
      </c>
      <c r="R985">
        <v>2</v>
      </c>
      <c r="S985">
        <v>0</v>
      </c>
      <c r="T985">
        <v>49.67</v>
      </c>
      <c r="W985">
        <v>8400</v>
      </c>
      <c r="Y985">
        <v>0.5</v>
      </c>
      <c r="Z985" t="s">
        <v>3819</v>
      </c>
      <c r="AA985" t="s">
        <v>90</v>
      </c>
      <c r="AC985" t="s">
        <v>3942</v>
      </c>
      <c r="AD985" t="s">
        <v>4029</v>
      </c>
      <c r="AF985" t="s">
        <v>4062</v>
      </c>
      <c r="AH985" t="s">
        <v>4076</v>
      </c>
      <c r="AJ985" t="s">
        <v>3942</v>
      </c>
      <c r="AL985" t="s">
        <v>4086</v>
      </c>
      <c r="AM985" t="s">
        <v>2230</v>
      </c>
      <c r="AO985">
        <v>1253</v>
      </c>
      <c r="AQ985">
        <v>6</v>
      </c>
      <c r="AS985" t="s">
        <v>4117</v>
      </c>
      <c r="AU985" t="s">
        <v>4129</v>
      </c>
      <c r="AW985">
        <v>3</v>
      </c>
      <c r="AY985" t="s">
        <v>4140</v>
      </c>
      <c r="BA985" t="s">
        <v>4149</v>
      </c>
      <c r="BC985" t="s">
        <v>4155</v>
      </c>
      <c r="BF985" t="s">
        <v>4281</v>
      </c>
      <c r="BG985" t="s">
        <v>4556</v>
      </c>
      <c r="BM985" t="s">
        <v>4627</v>
      </c>
    </row>
    <row r="986" spans="1:65">
      <c r="A986" s="1">
        <f>HYPERLINK("https://lsnyc.legalserver.org/matter/dynamic-profile/view/1912988","19-1912988")</f>
        <v>0</v>
      </c>
      <c r="B986" t="s">
        <v>87</v>
      </c>
      <c r="C986" t="s">
        <v>93</v>
      </c>
      <c r="D986" t="s">
        <v>111</v>
      </c>
      <c r="F986" t="s">
        <v>940</v>
      </c>
      <c r="G986" t="s">
        <v>1277</v>
      </c>
      <c r="H986" t="s">
        <v>1844</v>
      </c>
      <c r="I986">
        <v>1</v>
      </c>
      <c r="J986" t="s">
        <v>2205</v>
      </c>
      <c r="K986">
        <v>11208</v>
      </c>
      <c r="N986" t="s">
        <v>2242</v>
      </c>
      <c r="O986" t="s">
        <v>2827</v>
      </c>
      <c r="Q986" t="s">
        <v>3351</v>
      </c>
      <c r="R986">
        <v>1</v>
      </c>
      <c r="S986">
        <v>1</v>
      </c>
      <c r="T986">
        <v>198.7</v>
      </c>
      <c r="W986">
        <v>33600</v>
      </c>
      <c r="Y986">
        <v>0</v>
      </c>
      <c r="AA986" t="s">
        <v>90</v>
      </c>
      <c r="AC986" t="s">
        <v>3942</v>
      </c>
      <c r="AD986" t="s">
        <v>196</v>
      </c>
      <c r="AF986" t="s">
        <v>4054</v>
      </c>
      <c r="AG986" t="s">
        <v>4075</v>
      </c>
      <c r="AJ986" t="s">
        <v>3943</v>
      </c>
      <c r="AK986" t="s">
        <v>4084</v>
      </c>
      <c r="AM986" t="s">
        <v>2230</v>
      </c>
      <c r="AN986" t="s">
        <v>4107</v>
      </c>
      <c r="AO986">
        <v>0</v>
      </c>
      <c r="AP986" t="s">
        <v>4108</v>
      </c>
      <c r="AQ986" t="s">
        <v>4110</v>
      </c>
      <c r="AR986" t="s">
        <v>4112</v>
      </c>
      <c r="AU986" t="s">
        <v>4128</v>
      </c>
      <c r="AV986" t="s">
        <v>4137</v>
      </c>
      <c r="AW986">
        <v>0</v>
      </c>
      <c r="AY986" t="s">
        <v>4141</v>
      </c>
      <c r="BA986" t="s">
        <v>4149</v>
      </c>
      <c r="BC986" t="s">
        <v>4155</v>
      </c>
      <c r="BE986" t="s">
        <v>4128</v>
      </c>
      <c r="BF986" t="s">
        <v>4281</v>
      </c>
      <c r="BG986" t="s">
        <v>4303</v>
      </c>
      <c r="BM986" t="s">
        <v>4627</v>
      </c>
    </row>
    <row r="987" spans="1:65">
      <c r="A987" s="1">
        <f>HYPERLINK("https://lsnyc.legalserver.org/matter/dynamic-profile/view/1882158","18-1882158")</f>
        <v>0</v>
      </c>
      <c r="B987" t="s">
        <v>88</v>
      </c>
      <c r="C987" t="s">
        <v>93</v>
      </c>
      <c r="D987" t="s">
        <v>141</v>
      </c>
      <c r="F987" t="s">
        <v>941</v>
      </c>
      <c r="G987" t="s">
        <v>1485</v>
      </c>
      <c r="H987" t="s">
        <v>1585</v>
      </c>
      <c r="I987" t="s">
        <v>2020</v>
      </c>
      <c r="J987" t="s">
        <v>2205</v>
      </c>
      <c r="K987">
        <v>11213</v>
      </c>
      <c r="N987" t="s">
        <v>2233</v>
      </c>
      <c r="O987" t="s">
        <v>2828</v>
      </c>
      <c r="Q987" t="s">
        <v>3352</v>
      </c>
      <c r="R987">
        <v>2</v>
      </c>
      <c r="S987">
        <v>0</v>
      </c>
      <c r="T987">
        <v>437.42</v>
      </c>
      <c r="V987" t="s">
        <v>3459</v>
      </c>
      <c r="W987">
        <v>72000</v>
      </c>
      <c r="Y987">
        <v>0.1</v>
      </c>
      <c r="Z987" t="s">
        <v>444</v>
      </c>
      <c r="AA987" t="s">
        <v>90</v>
      </c>
      <c r="AC987" t="s">
        <v>3942</v>
      </c>
      <c r="AD987" t="s">
        <v>4042</v>
      </c>
      <c r="AF987" t="s">
        <v>4058</v>
      </c>
      <c r="AH987" t="s">
        <v>4076</v>
      </c>
      <c r="AJ987" t="s">
        <v>3942</v>
      </c>
      <c r="AL987" t="s">
        <v>4087</v>
      </c>
      <c r="AM987" t="s">
        <v>2230</v>
      </c>
      <c r="AO987">
        <v>1169.88</v>
      </c>
      <c r="AQ987">
        <v>35</v>
      </c>
      <c r="AS987" t="s">
        <v>4113</v>
      </c>
      <c r="AU987" t="s">
        <v>4128</v>
      </c>
      <c r="AW987">
        <v>5</v>
      </c>
      <c r="AY987" t="s">
        <v>4140</v>
      </c>
      <c r="BA987" t="s">
        <v>4149</v>
      </c>
      <c r="BB987" t="s">
        <v>4154</v>
      </c>
      <c r="BE987" t="s">
        <v>4128</v>
      </c>
      <c r="BG987" t="s">
        <v>4301</v>
      </c>
      <c r="BM987" t="s">
        <v>4627</v>
      </c>
    </row>
    <row r="988" spans="1:65">
      <c r="A988" s="1">
        <f>HYPERLINK("https://lsnyc.legalserver.org/matter/dynamic-profile/view/1895292","19-1895292")</f>
        <v>0</v>
      </c>
      <c r="B988" t="s">
        <v>88</v>
      </c>
      <c r="C988" t="s">
        <v>93</v>
      </c>
      <c r="D988" t="s">
        <v>99</v>
      </c>
      <c r="F988" t="s">
        <v>942</v>
      </c>
      <c r="G988" t="s">
        <v>1486</v>
      </c>
      <c r="H988" t="s">
        <v>1601</v>
      </c>
      <c r="I988" t="s">
        <v>1930</v>
      </c>
      <c r="J988" t="s">
        <v>2205</v>
      </c>
      <c r="K988">
        <v>11212</v>
      </c>
      <c r="N988" t="s">
        <v>2233</v>
      </c>
      <c r="O988" t="s">
        <v>2829</v>
      </c>
      <c r="P988" t="s">
        <v>2930</v>
      </c>
      <c r="R988">
        <v>3</v>
      </c>
      <c r="S988">
        <v>0</v>
      </c>
      <c r="T988">
        <v>150.02</v>
      </c>
      <c r="W988">
        <v>32000</v>
      </c>
      <c r="Y988">
        <v>14</v>
      </c>
      <c r="Z988" t="s">
        <v>3851</v>
      </c>
      <c r="AA988" t="s">
        <v>70</v>
      </c>
      <c r="AB988" t="s">
        <v>3940</v>
      </c>
      <c r="AC988" t="s">
        <v>3943</v>
      </c>
      <c r="AF988" t="s">
        <v>4051</v>
      </c>
      <c r="AG988" t="s">
        <v>4075</v>
      </c>
      <c r="AJ988" t="s">
        <v>3942</v>
      </c>
      <c r="AL988" t="s">
        <v>4070</v>
      </c>
      <c r="AM988" t="s">
        <v>2230</v>
      </c>
      <c r="AO988">
        <v>663</v>
      </c>
      <c r="AP988" t="s">
        <v>4108</v>
      </c>
      <c r="AQ988" t="s">
        <v>4110</v>
      </c>
      <c r="AS988" t="s">
        <v>4113</v>
      </c>
      <c r="AT988" t="s">
        <v>4127</v>
      </c>
      <c r="AW988">
        <v>25</v>
      </c>
      <c r="AY988" t="s">
        <v>4140</v>
      </c>
      <c r="AZ988" t="s">
        <v>4148</v>
      </c>
      <c r="BB988" t="s">
        <v>4154</v>
      </c>
      <c r="BE988" t="s">
        <v>4159</v>
      </c>
      <c r="BF988" t="s">
        <v>4281</v>
      </c>
      <c r="BM988" t="s">
        <v>4627</v>
      </c>
    </row>
    <row r="989" spans="1:65">
      <c r="A989" s="1">
        <f>HYPERLINK("https://lsnyc.legalserver.org/matter/dynamic-profile/view/1914636","19-1914636")</f>
        <v>0</v>
      </c>
      <c r="B989" t="s">
        <v>88</v>
      </c>
      <c r="C989" t="s">
        <v>93</v>
      </c>
      <c r="D989" t="s">
        <v>116</v>
      </c>
      <c r="F989" t="s">
        <v>782</v>
      </c>
      <c r="G989" t="s">
        <v>1324</v>
      </c>
      <c r="H989" t="s">
        <v>1582</v>
      </c>
      <c r="I989">
        <v>37</v>
      </c>
      <c r="J989" t="s">
        <v>2205</v>
      </c>
      <c r="K989">
        <v>11213</v>
      </c>
      <c r="N989" t="s">
        <v>2233</v>
      </c>
      <c r="O989" t="s">
        <v>2611</v>
      </c>
      <c r="Q989" t="s">
        <v>3254</v>
      </c>
      <c r="R989">
        <v>2</v>
      </c>
      <c r="S989">
        <v>0</v>
      </c>
      <c r="T989">
        <v>146.08</v>
      </c>
      <c r="W989">
        <v>24702</v>
      </c>
      <c r="Y989">
        <v>0</v>
      </c>
      <c r="AA989" t="s">
        <v>90</v>
      </c>
      <c r="AC989" t="s">
        <v>3942</v>
      </c>
      <c r="AD989" t="s">
        <v>298</v>
      </c>
      <c r="AF989" t="s">
        <v>4059</v>
      </c>
      <c r="AH989" t="s">
        <v>4078</v>
      </c>
      <c r="AJ989" t="s">
        <v>3942</v>
      </c>
      <c r="AL989" t="s">
        <v>4087</v>
      </c>
      <c r="AM989" t="s">
        <v>2230</v>
      </c>
      <c r="AO989">
        <v>798.41</v>
      </c>
      <c r="AQ989">
        <v>31</v>
      </c>
      <c r="AS989" t="s">
        <v>4113</v>
      </c>
      <c r="AU989" t="s">
        <v>4134</v>
      </c>
      <c r="AW989">
        <v>41</v>
      </c>
      <c r="AY989" t="s">
        <v>4140</v>
      </c>
      <c r="BA989" t="s">
        <v>4149</v>
      </c>
      <c r="BC989" t="s">
        <v>4155</v>
      </c>
      <c r="BE989" t="s">
        <v>4159</v>
      </c>
      <c r="BF989" t="s">
        <v>4281</v>
      </c>
      <c r="BG989" t="s">
        <v>4355</v>
      </c>
      <c r="BM989" t="s">
        <v>4627</v>
      </c>
    </row>
    <row r="990" spans="1:65">
      <c r="A990" s="1">
        <f>HYPERLINK("https://lsnyc.legalserver.org/matter/dynamic-profile/view/1885317","18-1885317")</f>
        <v>0</v>
      </c>
      <c r="B990" t="s">
        <v>88</v>
      </c>
      <c r="C990" t="s">
        <v>93</v>
      </c>
      <c r="D990" t="s">
        <v>155</v>
      </c>
      <c r="F990" t="s">
        <v>812</v>
      </c>
      <c r="G990" t="s">
        <v>1487</v>
      </c>
      <c r="H990" t="s">
        <v>1580</v>
      </c>
      <c r="I990" t="s">
        <v>2171</v>
      </c>
      <c r="J990" t="s">
        <v>2205</v>
      </c>
      <c r="K990">
        <v>11213</v>
      </c>
      <c r="N990" t="s">
        <v>2233</v>
      </c>
      <c r="O990" t="s">
        <v>2830</v>
      </c>
      <c r="Q990" t="s">
        <v>3353</v>
      </c>
      <c r="R990">
        <v>3</v>
      </c>
      <c r="S990">
        <v>0</v>
      </c>
      <c r="T990">
        <v>457.41</v>
      </c>
      <c r="W990">
        <v>95050.08</v>
      </c>
      <c r="Y990">
        <v>0.1</v>
      </c>
      <c r="Z990" t="s">
        <v>411</v>
      </c>
      <c r="AA990" t="s">
        <v>90</v>
      </c>
      <c r="AC990" t="s">
        <v>3942</v>
      </c>
      <c r="AD990" t="s">
        <v>3949</v>
      </c>
      <c r="AF990" t="s">
        <v>4058</v>
      </c>
      <c r="AH990" t="s">
        <v>4076</v>
      </c>
      <c r="AJ990" t="s">
        <v>3942</v>
      </c>
      <c r="AL990" t="s">
        <v>4087</v>
      </c>
      <c r="AM990" t="s">
        <v>2230</v>
      </c>
      <c r="AO990">
        <v>1197</v>
      </c>
      <c r="AQ990">
        <v>34</v>
      </c>
      <c r="AS990" t="s">
        <v>4113</v>
      </c>
      <c r="AU990" t="s">
        <v>4128</v>
      </c>
      <c r="AW990">
        <v>7</v>
      </c>
      <c r="AY990" t="s">
        <v>4140</v>
      </c>
      <c r="BA990" t="s">
        <v>4149</v>
      </c>
      <c r="BB990" t="s">
        <v>4154</v>
      </c>
      <c r="BE990" t="s">
        <v>4128</v>
      </c>
      <c r="BG990" t="s">
        <v>4301</v>
      </c>
      <c r="BM990" t="s">
        <v>4627</v>
      </c>
    </row>
    <row r="991" spans="1:65">
      <c r="A991" s="1">
        <f>HYPERLINK("https://lsnyc.legalserver.org/matter/dynamic-profile/view/1914616","19-1914616")</f>
        <v>0</v>
      </c>
      <c r="B991" t="s">
        <v>88</v>
      </c>
      <c r="C991" t="s">
        <v>93</v>
      </c>
      <c r="D991" t="s">
        <v>116</v>
      </c>
      <c r="F991" t="s">
        <v>786</v>
      </c>
      <c r="G991" t="s">
        <v>1326</v>
      </c>
      <c r="H991" t="s">
        <v>1582</v>
      </c>
      <c r="I991">
        <v>34</v>
      </c>
      <c r="J991" t="s">
        <v>2205</v>
      </c>
      <c r="K991">
        <v>11213</v>
      </c>
      <c r="N991" t="s">
        <v>2233</v>
      </c>
      <c r="O991" t="s">
        <v>2615</v>
      </c>
      <c r="Q991" t="s">
        <v>3257</v>
      </c>
      <c r="R991">
        <v>2</v>
      </c>
      <c r="S991">
        <v>2</v>
      </c>
      <c r="T991">
        <v>124.75</v>
      </c>
      <c r="W991">
        <v>32124</v>
      </c>
      <c r="Y991">
        <v>0</v>
      </c>
      <c r="AA991" t="s">
        <v>90</v>
      </c>
      <c r="AC991" t="s">
        <v>3942</v>
      </c>
      <c r="AD991" t="s">
        <v>298</v>
      </c>
      <c r="AF991" t="s">
        <v>4059</v>
      </c>
      <c r="AH991" t="s">
        <v>4078</v>
      </c>
      <c r="AJ991" t="s">
        <v>3942</v>
      </c>
      <c r="AL991" t="s">
        <v>4087</v>
      </c>
      <c r="AM991" t="s">
        <v>2230</v>
      </c>
      <c r="AO991">
        <v>881.67</v>
      </c>
      <c r="AQ991">
        <v>31</v>
      </c>
      <c r="AS991" t="s">
        <v>4113</v>
      </c>
      <c r="AU991" t="s">
        <v>4128</v>
      </c>
      <c r="AW991">
        <v>17</v>
      </c>
      <c r="AY991" t="s">
        <v>4140</v>
      </c>
      <c r="BA991" t="s">
        <v>4149</v>
      </c>
      <c r="BC991" t="s">
        <v>4155</v>
      </c>
      <c r="BE991" t="s">
        <v>4159</v>
      </c>
      <c r="BF991" t="s">
        <v>4281</v>
      </c>
      <c r="BG991" t="s">
        <v>4159</v>
      </c>
      <c r="BM991" t="s">
        <v>4627</v>
      </c>
    </row>
    <row r="992" spans="1:65">
      <c r="A992" s="1">
        <f>HYPERLINK("https://lsnyc.legalserver.org/matter/dynamic-profile/view/1914639","19-1914639")</f>
        <v>0</v>
      </c>
      <c r="B992" t="s">
        <v>88</v>
      </c>
      <c r="C992" t="s">
        <v>93</v>
      </c>
      <c r="D992" t="s">
        <v>116</v>
      </c>
      <c r="F992" t="s">
        <v>782</v>
      </c>
      <c r="G992" t="s">
        <v>1324</v>
      </c>
      <c r="H992" t="s">
        <v>1582</v>
      </c>
      <c r="I992">
        <v>37</v>
      </c>
      <c r="J992" t="s">
        <v>2205</v>
      </c>
      <c r="K992">
        <v>11213</v>
      </c>
      <c r="N992" t="s">
        <v>2233</v>
      </c>
      <c r="O992" t="s">
        <v>2611</v>
      </c>
      <c r="Q992" t="s">
        <v>3254</v>
      </c>
      <c r="R992">
        <v>2</v>
      </c>
      <c r="S992">
        <v>0</v>
      </c>
      <c r="T992">
        <v>146.08</v>
      </c>
      <c r="W992">
        <v>24702</v>
      </c>
      <c r="Y992">
        <v>0</v>
      </c>
      <c r="AA992" t="s">
        <v>90</v>
      </c>
      <c r="AC992" t="s">
        <v>3942</v>
      </c>
      <c r="AD992" t="s">
        <v>361</v>
      </c>
      <c r="AF992" t="s">
        <v>4059</v>
      </c>
      <c r="AH992" t="s">
        <v>4078</v>
      </c>
      <c r="AJ992" t="s">
        <v>3943</v>
      </c>
      <c r="AL992" t="s">
        <v>4087</v>
      </c>
      <c r="AM992" t="s">
        <v>2230</v>
      </c>
      <c r="AO992">
        <v>798.41</v>
      </c>
      <c r="AQ992">
        <v>31</v>
      </c>
      <c r="AS992" t="s">
        <v>4113</v>
      </c>
      <c r="AU992" t="s">
        <v>4134</v>
      </c>
      <c r="AW992">
        <v>41</v>
      </c>
      <c r="AY992" t="s">
        <v>4140</v>
      </c>
      <c r="BA992" t="s">
        <v>4149</v>
      </c>
      <c r="BC992" t="s">
        <v>4155</v>
      </c>
      <c r="BE992" t="s">
        <v>4159</v>
      </c>
      <c r="BF992" t="s">
        <v>4281</v>
      </c>
      <c r="BG992" t="s">
        <v>4159</v>
      </c>
      <c r="BM992" t="s">
        <v>4627</v>
      </c>
    </row>
    <row r="993" spans="1:65">
      <c r="A993" s="1">
        <f>HYPERLINK("https://lsnyc.legalserver.org/matter/dynamic-profile/view/1914632","19-1914632")</f>
        <v>0</v>
      </c>
      <c r="B993" t="s">
        <v>88</v>
      </c>
      <c r="C993" t="s">
        <v>93</v>
      </c>
      <c r="D993" t="s">
        <v>116</v>
      </c>
      <c r="F993" t="s">
        <v>786</v>
      </c>
      <c r="G993" t="s">
        <v>1326</v>
      </c>
      <c r="H993" t="s">
        <v>1582</v>
      </c>
      <c r="I993">
        <v>34</v>
      </c>
      <c r="J993" t="s">
        <v>2205</v>
      </c>
      <c r="K993">
        <v>11213</v>
      </c>
      <c r="N993" t="s">
        <v>2233</v>
      </c>
      <c r="O993" t="s">
        <v>2615</v>
      </c>
      <c r="Q993" t="s">
        <v>3257</v>
      </c>
      <c r="R993">
        <v>2</v>
      </c>
      <c r="S993">
        <v>2</v>
      </c>
      <c r="T993">
        <v>124.75</v>
      </c>
      <c r="W993">
        <v>32124</v>
      </c>
      <c r="Y993">
        <v>0</v>
      </c>
      <c r="AA993" t="s">
        <v>90</v>
      </c>
      <c r="AC993" t="s">
        <v>3942</v>
      </c>
      <c r="AD993" t="s">
        <v>125</v>
      </c>
      <c r="AF993" t="s">
        <v>4059</v>
      </c>
      <c r="AH993" t="s">
        <v>4078</v>
      </c>
      <c r="AJ993" t="s">
        <v>3943</v>
      </c>
      <c r="AL993" t="s">
        <v>4087</v>
      </c>
      <c r="AM993" t="s">
        <v>2230</v>
      </c>
      <c r="AO993">
        <v>881.67</v>
      </c>
      <c r="AQ993">
        <v>31</v>
      </c>
      <c r="AS993" t="s">
        <v>4113</v>
      </c>
      <c r="AU993" t="s">
        <v>4128</v>
      </c>
      <c r="AW993">
        <v>17</v>
      </c>
      <c r="AY993" t="s">
        <v>4140</v>
      </c>
      <c r="BA993" t="s">
        <v>4149</v>
      </c>
      <c r="BC993" t="s">
        <v>4155</v>
      </c>
      <c r="BE993" t="s">
        <v>4159</v>
      </c>
      <c r="BF993" t="s">
        <v>4281</v>
      </c>
      <c r="BG993" t="s">
        <v>4159</v>
      </c>
      <c r="BM993" t="s">
        <v>4627</v>
      </c>
    </row>
    <row r="994" spans="1:65">
      <c r="A994" s="1">
        <f>HYPERLINK("https://lsnyc.legalserver.org/matter/dynamic-profile/view/1914635","19-1914635")</f>
        <v>0</v>
      </c>
      <c r="B994" t="s">
        <v>88</v>
      </c>
      <c r="C994" t="s">
        <v>93</v>
      </c>
      <c r="D994" t="s">
        <v>116</v>
      </c>
      <c r="F994" t="s">
        <v>778</v>
      </c>
      <c r="G994" t="s">
        <v>1320</v>
      </c>
      <c r="H994" t="s">
        <v>1582</v>
      </c>
      <c r="I994">
        <v>44</v>
      </c>
      <c r="J994" t="s">
        <v>2205</v>
      </c>
      <c r="K994">
        <v>11213</v>
      </c>
      <c r="N994" t="s">
        <v>2233</v>
      </c>
      <c r="O994" t="s">
        <v>2606</v>
      </c>
      <c r="Q994" t="s">
        <v>3250</v>
      </c>
      <c r="R994">
        <v>1</v>
      </c>
      <c r="S994">
        <v>0</v>
      </c>
      <c r="T994">
        <v>432.35</v>
      </c>
      <c r="V994" t="s">
        <v>3458</v>
      </c>
      <c r="W994">
        <v>54000</v>
      </c>
      <c r="X994" t="s">
        <v>3782</v>
      </c>
      <c r="Y994">
        <v>0</v>
      </c>
      <c r="AA994" t="s">
        <v>90</v>
      </c>
      <c r="AC994" t="s">
        <v>3942</v>
      </c>
      <c r="AF994" t="s">
        <v>4059</v>
      </c>
      <c r="AH994" t="s">
        <v>4078</v>
      </c>
      <c r="AJ994" t="s">
        <v>3943</v>
      </c>
      <c r="AL994" t="s">
        <v>4087</v>
      </c>
      <c r="AM994" t="s">
        <v>2230</v>
      </c>
      <c r="AO994">
        <v>996.34</v>
      </c>
      <c r="AQ994">
        <v>31</v>
      </c>
      <c r="AS994" t="s">
        <v>4113</v>
      </c>
      <c r="AU994" t="s">
        <v>4128</v>
      </c>
      <c r="AW994">
        <v>15</v>
      </c>
      <c r="AY994" t="s">
        <v>4140</v>
      </c>
      <c r="BA994" t="s">
        <v>4149</v>
      </c>
      <c r="BC994" t="s">
        <v>4155</v>
      </c>
      <c r="BE994" t="s">
        <v>4159</v>
      </c>
      <c r="BF994" t="s">
        <v>4281</v>
      </c>
      <c r="BG994" t="s">
        <v>4355</v>
      </c>
      <c r="BM994" t="s">
        <v>4627</v>
      </c>
    </row>
    <row r="995" spans="1:65">
      <c r="A995" s="1">
        <f>HYPERLINK("https://lsnyc.legalserver.org/matter/dynamic-profile/view/1891794","19-1891794")</f>
        <v>0</v>
      </c>
      <c r="B995" t="s">
        <v>88</v>
      </c>
      <c r="C995" t="s">
        <v>93</v>
      </c>
      <c r="D995" t="s">
        <v>421</v>
      </c>
      <c r="F995" t="s">
        <v>943</v>
      </c>
      <c r="G995" t="s">
        <v>1488</v>
      </c>
      <c r="H995" t="s">
        <v>1834</v>
      </c>
      <c r="I995" t="s">
        <v>1947</v>
      </c>
      <c r="J995" t="s">
        <v>2205</v>
      </c>
      <c r="K995">
        <v>11213</v>
      </c>
      <c r="N995" t="s">
        <v>2233</v>
      </c>
      <c r="O995" t="s">
        <v>2831</v>
      </c>
      <c r="Q995" t="s">
        <v>3354</v>
      </c>
      <c r="R995">
        <v>2</v>
      </c>
      <c r="S995">
        <v>0</v>
      </c>
      <c r="T995">
        <v>0</v>
      </c>
      <c r="W995">
        <v>0</v>
      </c>
      <c r="Y995">
        <v>0.1</v>
      </c>
      <c r="Z995" t="s">
        <v>408</v>
      </c>
      <c r="AA995" t="s">
        <v>90</v>
      </c>
      <c r="AC995" t="s">
        <v>3942</v>
      </c>
      <c r="AD995" t="s">
        <v>425</v>
      </c>
      <c r="AF995" t="s">
        <v>4058</v>
      </c>
      <c r="AH995" t="s">
        <v>4076</v>
      </c>
      <c r="AJ995" t="s">
        <v>3942</v>
      </c>
      <c r="AK995" t="s">
        <v>4084</v>
      </c>
      <c r="AM995" t="s">
        <v>2230</v>
      </c>
      <c r="AO995">
        <v>852</v>
      </c>
      <c r="AQ995">
        <v>23</v>
      </c>
      <c r="AS995" t="s">
        <v>4113</v>
      </c>
      <c r="AT995" t="s">
        <v>4127</v>
      </c>
      <c r="AW995">
        <v>20</v>
      </c>
      <c r="AY995" t="s">
        <v>4140</v>
      </c>
      <c r="BA995" t="s">
        <v>4149</v>
      </c>
      <c r="BB995" t="s">
        <v>4154</v>
      </c>
      <c r="BG995" t="s">
        <v>4301</v>
      </c>
      <c r="BM995" t="s">
        <v>4627</v>
      </c>
    </row>
    <row r="996" spans="1:65">
      <c r="A996" s="1">
        <f>HYPERLINK("https://lsnyc.legalserver.org/matter/dynamic-profile/view/1914633","19-1914633")</f>
        <v>0</v>
      </c>
      <c r="B996" t="s">
        <v>88</v>
      </c>
      <c r="C996" t="s">
        <v>93</v>
      </c>
      <c r="D996" t="s">
        <v>116</v>
      </c>
      <c r="F996" t="s">
        <v>778</v>
      </c>
      <c r="G996" t="s">
        <v>1320</v>
      </c>
      <c r="H996" t="s">
        <v>1582</v>
      </c>
      <c r="I996">
        <v>44</v>
      </c>
      <c r="J996" t="s">
        <v>2205</v>
      </c>
      <c r="K996">
        <v>11213</v>
      </c>
      <c r="N996" t="s">
        <v>2233</v>
      </c>
      <c r="O996" t="s">
        <v>2606</v>
      </c>
      <c r="Q996" t="s">
        <v>3250</v>
      </c>
      <c r="R996">
        <v>1</v>
      </c>
      <c r="S996">
        <v>0</v>
      </c>
      <c r="T996">
        <v>432.35</v>
      </c>
      <c r="V996" t="s">
        <v>3458</v>
      </c>
      <c r="W996">
        <v>54000</v>
      </c>
      <c r="X996" t="s">
        <v>3782</v>
      </c>
      <c r="Y996">
        <v>0</v>
      </c>
      <c r="AA996" t="s">
        <v>90</v>
      </c>
      <c r="AC996" t="s">
        <v>3942</v>
      </c>
      <c r="AF996" t="s">
        <v>4059</v>
      </c>
      <c r="AH996" t="s">
        <v>4078</v>
      </c>
      <c r="AJ996" t="s">
        <v>3942</v>
      </c>
      <c r="AL996" t="s">
        <v>4087</v>
      </c>
      <c r="AM996" t="s">
        <v>2230</v>
      </c>
      <c r="AO996">
        <v>996.34</v>
      </c>
      <c r="AQ996">
        <v>31</v>
      </c>
      <c r="AS996" t="s">
        <v>4113</v>
      </c>
      <c r="AU996" t="s">
        <v>4128</v>
      </c>
      <c r="AW996">
        <v>15</v>
      </c>
      <c r="AY996" t="s">
        <v>4140</v>
      </c>
      <c r="BA996" t="s">
        <v>4149</v>
      </c>
      <c r="BC996" t="s">
        <v>4155</v>
      </c>
      <c r="BE996" t="s">
        <v>4159</v>
      </c>
      <c r="BF996" t="s">
        <v>4281</v>
      </c>
      <c r="BG996" t="s">
        <v>4159</v>
      </c>
      <c r="BM996" t="s">
        <v>4627</v>
      </c>
    </row>
    <row r="997" spans="1:65">
      <c r="A997" s="1">
        <f>HYPERLINK("https://lsnyc.legalserver.org/matter/dynamic-profile/view/1900722","19-1900722")</f>
        <v>0</v>
      </c>
      <c r="B997" t="s">
        <v>88</v>
      </c>
      <c r="C997" t="s">
        <v>93</v>
      </c>
      <c r="D997" t="s">
        <v>435</v>
      </c>
      <c r="F997" t="s">
        <v>768</v>
      </c>
      <c r="G997" t="s">
        <v>1489</v>
      </c>
      <c r="H997" t="s">
        <v>1580</v>
      </c>
      <c r="I997" t="s">
        <v>1938</v>
      </c>
      <c r="J997" t="s">
        <v>2205</v>
      </c>
      <c r="K997">
        <v>11213</v>
      </c>
      <c r="N997" t="s">
        <v>2233</v>
      </c>
      <c r="O997" t="s">
        <v>2832</v>
      </c>
      <c r="Q997" t="s">
        <v>3355</v>
      </c>
      <c r="R997">
        <v>2</v>
      </c>
      <c r="S997">
        <v>0</v>
      </c>
      <c r="T997">
        <v>163.22</v>
      </c>
      <c r="W997">
        <v>27600</v>
      </c>
      <c r="X997" t="s">
        <v>3783</v>
      </c>
      <c r="Y997">
        <v>0</v>
      </c>
      <c r="AA997" t="s">
        <v>90</v>
      </c>
      <c r="AC997" t="s">
        <v>3942</v>
      </c>
      <c r="AD997" t="s">
        <v>431</v>
      </c>
      <c r="AF997" t="s">
        <v>4054</v>
      </c>
      <c r="AH997" t="s">
        <v>4080</v>
      </c>
      <c r="AJ997" t="s">
        <v>3942</v>
      </c>
      <c r="AL997" t="s">
        <v>4087</v>
      </c>
      <c r="AM997" t="s">
        <v>2230</v>
      </c>
      <c r="AO997">
        <v>905.59</v>
      </c>
      <c r="AQ997">
        <v>34</v>
      </c>
      <c r="AS997" t="s">
        <v>4113</v>
      </c>
      <c r="AU997" t="s">
        <v>4128</v>
      </c>
      <c r="AW997">
        <v>25</v>
      </c>
      <c r="AY997" t="s">
        <v>4141</v>
      </c>
      <c r="BA997" t="s">
        <v>4149</v>
      </c>
      <c r="BC997" t="s">
        <v>4155</v>
      </c>
      <c r="BF997" t="s">
        <v>4281</v>
      </c>
      <c r="BM997" t="s">
        <v>4627</v>
      </c>
    </row>
    <row r="998" spans="1:65">
      <c r="A998" s="1">
        <f>HYPERLINK("https://lsnyc.legalserver.org/matter/dynamic-profile/view/1871601","18-1871601")</f>
        <v>0</v>
      </c>
      <c r="B998" t="s">
        <v>88</v>
      </c>
      <c r="C998" t="s">
        <v>93</v>
      </c>
      <c r="D998" t="s">
        <v>261</v>
      </c>
      <c r="F998" t="s">
        <v>944</v>
      </c>
      <c r="G998" t="s">
        <v>1490</v>
      </c>
      <c r="H998" t="s">
        <v>1845</v>
      </c>
      <c r="I998" t="s">
        <v>2172</v>
      </c>
      <c r="J998" t="s">
        <v>2205</v>
      </c>
      <c r="K998">
        <v>11206</v>
      </c>
      <c r="N998" t="s">
        <v>2238</v>
      </c>
      <c r="O998" t="s">
        <v>2833</v>
      </c>
      <c r="Q998" t="s">
        <v>3356</v>
      </c>
      <c r="R998">
        <v>2</v>
      </c>
      <c r="S998">
        <v>1</v>
      </c>
      <c r="T998">
        <v>117.34</v>
      </c>
      <c r="U998" t="s">
        <v>3444</v>
      </c>
      <c r="V998" t="s">
        <v>3457</v>
      </c>
      <c r="W998">
        <v>24384</v>
      </c>
      <c r="Y998">
        <v>0</v>
      </c>
      <c r="AA998" t="s">
        <v>3901</v>
      </c>
      <c r="AC998" t="s">
        <v>3942</v>
      </c>
      <c r="AD998" t="s">
        <v>261</v>
      </c>
      <c r="AF998" t="s">
        <v>4074</v>
      </c>
      <c r="AH998" t="s">
        <v>4079</v>
      </c>
      <c r="AJ998" t="s">
        <v>3943</v>
      </c>
      <c r="AK998" t="s">
        <v>4085</v>
      </c>
      <c r="AL998" t="s">
        <v>4092</v>
      </c>
      <c r="AM998" t="s">
        <v>4106</v>
      </c>
      <c r="AO998">
        <v>513</v>
      </c>
      <c r="AP998" t="s">
        <v>4109</v>
      </c>
      <c r="AQ998" t="s">
        <v>4111</v>
      </c>
      <c r="AS998" t="s">
        <v>4124</v>
      </c>
      <c r="AT998" t="s">
        <v>4127</v>
      </c>
      <c r="AV998" t="s">
        <v>4138</v>
      </c>
      <c r="AW998">
        <v>-2</v>
      </c>
      <c r="AY998" t="s">
        <v>4141</v>
      </c>
      <c r="BB998" t="s">
        <v>4154</v>
      </c>
      <c r="BF998" t="s">
        <v>4281</v>
      </c>
      <c r="BM998" t="s">
        <v>4627</v>
      </c>
    </row>
    <row r="999" spans="1:65">
      <c r="A999" s="1">
        <f>HYPERLINK("https://lsnyc.legalserver.org/matter/dynamic-profile/view/1905865","19-1905865")</f>
        <v>0</v>
      </c>
      <c r="B999" t="s">
        <v>88</v>
      </c>
      <c r="C999" t="s">
        <v>93</v>
      </c>
      <c r="D999" t="s">
        <v>142</v>
      </c>
      <c r="F999" t="s">
        <v>537</v>
      </c>
      <c r="G999" t="s">
        <v>1410</v>
      </c>
      <c r="H999" t="s">
        <v>1832</v>
      </c>
      <c r="I999" t="s">
        <v>1938</v>
      </c>
      <c r="J999" t="s">
        <v>2205</v>
      </c>
      <c r="K999">
        <v>11215</v>
      </c>
      <c r="N999" t="s">
        <v>2233</v>
      </c>
      <c r="O999" t="s">
        <v>2737</v>
      </c>
      <c r="Q999" t="s">
        <v>3329</v>
      </c>
      <c r="R999">
        <v>3</v>
      </c>
      <c r="S999">
        <v>2</v>
      </c>
      <c r="T999">
        <v>33.48</v>
      </c>
      <c r="W999">
        <v>10100</v>
      </c>
      <c r="Y999">
        <v>0</v>
      </c>
      <c r="AA999" t="s">
        <v>90</v>
      </c>
      <c r="AC999" t="s">
        <v>3942</v>
      </c>
      <c r="AD999" t="s">
        <v>233</v>
      </c>
      <c r="AF999" t="s">
        <v>4054</v>
      </c>
      <c r="AH999" t="s">
        <v>3510</v>
      </c>
      <c r="AJ999" t="s">
        <v>3942</v>
      </c>
      <c r="AL999" t="s">
        <v>4086</v>
      </c>
      <c r="AM999" t="s">
        <v>2230</v>
      </c>
      <c r="AO999">
        <v>165</v>
      </c>
      <c r="AQ999">
        <v>7</v>
      </c>
      <c r="AS999" t="s">
        <v>4115</v>
      </c>
      <c r="AU999" t="s">
        <v>4128</v>
      </c>
      <c r="AW999">
        <v>22</v>
      </c>
      <c r="AY999" t="s">
        <v>4140</v>
      </c>
      <c r="BA999" t="s">
        <v>4149</v>
      </c>
      <c r="BC999" t="s">
        <v>4155</v>
      </c>
      <c r="BE999" t="s">
        <v>4128</v>
      </c>
      <c r="BF999" t="s">
        <v>4281</v>
      </c>
      <c r="BG999" t="s">
        <v>4327</v>
      </c>
      <c r="BM999" t="s">
        <v>4627</v>
      </c>
    </row>
    <row r="1000" spans="1:65">
      <c r="A1000" s="1">
        <f>HYPERLINK("https://lsnyc.legalserver.org/matter/dynamic-profile/view/1901077","19-1901077")</f>
        <v>0</v>
      </c>
      <c r="B1000" t="s">
        <v>88</v>
      </c>
      <c r="C1000" t="s">
        <v>93</v>
      </c>
      <c r="D1000" t="s">
        <v>439</v>
      </c>
      <c r="F1000" t="s">
        <v>945</v>
      </c>
      <c r="G1000" t="s">
        <v>1162</v>
      </c>
      <c r="H1000" t="s">
        <v>1688</v>
      </c>
      <c r="I1000" t="s">
        <v>1920</v>
      </c>
      <c r="J1000" t="s">
        <v>2205</v>
      </c>
      <c r="K1000">
        <v>11212</v>
      </c>
      <c r="N1000" t="s">
        <v>2233</v>
      </c>
      <c r="O1000" t="s">
        <v>2834</v>
      </c>
      <c r="P1000" t="s">
        <v>2930</v>
      </c>
      <c r="R1000">
        <v>1</v>
      </c>
      <c r="S1000">
        <v>1</v>
      </c>
      <c r="T1000">
        <v>116.88</v>
      </c>
      <c r="W1000">
        <v>19764</v>
      </c>
      <c r="X1000" t="s">
        <v>3784</v>
      </c>
      <c r="Y1000">
        <v>0</v>
      </c>
      <c r="AA1000" t="s">
        <v>90</v>
      </c>
      <c r="AC1000" t="s">
        <v>3942</v>
      </c>
      <c r="AD1000" t="s">
        <v>99</v>
      </c>
      <c r="AF1000" t="s">
        <v>4051</v>
      </c>
      <c r="AH1000" t="s">
        <v>4077</v>
      </c>
      <c r="AJ1000" t="s">
        <v>3942</v>
      </c>
      <c r="AL1000" t="s">
        <v>4070</v>
      </c>
      <c r="AM1000" t="s">
        <v>2230</v>
      </c>
      <c r="AO1000">
        <v>1326</v>
      </c>
      <c r="AQ1000">
        <v>16</v>
      </c>
      <c r="AS1000" t="s">
        <v>4113</v>
      </c>
      <c r="AU1000" t="s">
        <v>4131</v>
      </c>
      <c r="AW1000">
        <v>3</v>
      </c>
      <c r="AY1000" t="s">
        <v>4140</v>
      </c>
      <c r="BA1000" t="s">
        <v>4149</v>
      </c>
      <c r="BC1000" t="s">
        <v>4155</v>
      </c>
      <c r="BD1000" t="s">
        <v>4157</v>
      </c>
      <c r="BE1000" t="s">
        <v>4252</v>
      </c>
      <c r="BG1000" t="s">
        <v>4285</v>
      </c>
      <c r="BM1000" t="s">
        <v>4627</v>
      </c>
    </row>
    <row r="1001" spans="1:65">
      <c r="A1001" s="1">
        <f>HYPERLINK("https://lsnyc.legalserver.org/matter/dynamic-profile/view/1900809","19-1900809")</f>
        <v>0</v>
      </c>
      <c r="B1001" t="s">
        <v>88</v>
      </c>
      <c r="C1001" t="s">
        <v>93</v>
      </c>
      <c r="D1001" t="s">
        <v>440</v>
      </c>
      <c r="F1001" t="s">
        <v>946</v>
      </c>
      <c r="G1001" t="s">
        <v>1392</v>
      </c>
      <c r="H1001" t="s">
        <v>1580</v>
      </c>
      <c r="I1001" t="s">
        <v>1927</v>
      </c>
      <c r="J1001" t="s">
        <v>2205</v>
      </c>
      <c r="K1001">
        <v>11213</v>
      </c>
      <c r="N1001" t="s">
        <v>2233</v>
      </c>
      <c r="O1001" t="s">
        <v>2835</v>
      </c>
      <c r="Q1001" t="s">
        <v>3357</v>
      </c>
      <c r="R1001">
        <v>1</v>
      </c>
      <c r="S1001">
        <v>0</v>
      </c>
      <c r="T1001">
        <v>448.36</v>
      </c>
      <c r="W1001">
        <v>56000</v>
      </c>
      <c r="X1001" t="s">
        <v>3785</v>
      </c>
      <c r="Y1001">
        <v>0</v>
      </c>
      <c r="AA1001" t="s">
        <v>90</v>
      </c>
      <c r="AC1001" t="s">
        <v>3942</v>
      </c>
      <c r="AD1001" t="s">
        <v>439</v>
      </c>
      <c r="AF1001" t="s">
        <v>4054</v>
      </c>
      <c r="AH1001" t="s">
        <v>4080</v>
      </c>
      <c r="AJ1001" t="s">
        <v>3942</v>
      </c>
      <c r="AL1001" t="s">
        <v>4087</v>
      </c>
      <c r="AM1001" t="s">
        <v>2230</v>
      </c>
      <c r="AN1001" t="s">
        <v>4107</v>
      </c>
      <c r="AO1001">
        <v>0</v>
      </c>
      <c r="AQ1001">
        <v>34</v>
      </c>
      <c r="AS1001" t="s">
        <v>4113</v>
      </c>
      <c r="AU1001" t="s">
        <v>4128</v>
      </c>
      <c r="AV1001" t="s">
        <v>4137</v>
      </c>
      <c r="AW1001">
        <v>0</v>
      </c>
      <c r="AY1001" t="s">
        <v>4140</v>
      </c>
      <c r="BA1001" t="s">
        <v>4149</v>
      </c>
      <c r="BC1001" t="s">
        <v>4155</v>
      </c>
      <c r="BE1001" t="s">
        <v>4128</v>
      </c>
      <c r="BF1001" t="s">
        <v>4281</v>
      </c>
      <c r="BG1001" t="s">
        <v>4054</v>
      </c>
      <c r="BM1001" t="s">
        <v>4627</v>
      </c>
    </row>
    <row r="1002" spans="1:65">
      <c r="A1002" s="1">
        <f>HYPERLINK("https://lsnyc.legalserver.org/matter/dynamic-profile/view/1858116","18-1858116")</f>
        <v>0</v>
      </c>
      <c r="B1002" t="s">
        <v>88</v>
      </c>
      <c r="C1002" t="s">
        <v>93</v>
      </c>
      <c r="D1002" t="s">
        <v>441</v>
      </c>
      <c r="F1002" t="s">
        <v>947</v>
      </c>
      <c r="G1002" t="s">
        <v>1491</v>
      </c>
      <c r="H1002" t="s">
        <v>1752</v>
      </c>
      <c r="I1002" t="s">
        <v>1922</v>
      </c>
      <c r="J1002" t="s">
        <v>2205</v>
      </c>
      <c r="K1002">
        <v>11237</v>
      </c>
      <c r="N1002" t="s">
        <v>2233</v>
      </c>
      <c r="O1002" t="s">
        <v>2435</v>
      </c>
      <c r="Q1002" t="s">
        <v>3358</v>
      </c>
      <c r="R1002">
        <v>2</v>
      </c>
      <c r="S1002">
        <v>2</v>
      </c>
      <c r="T1002">
        <v>26</v>
      </c>
      <c r="W1002">
        <v>6396</v>
      </c>
      <c r="Y1002">
        <v>0</v>
      </c>
      <c r="AA1002" t="s">
        <v>3897</v>
      </c>
      <c r="AC1002" t="s">
        <v>3942</v>
      </c>
      <c r="AE1002" t="s">
        <v>4049</v>
      </c>
      <c r="AH1002" t="s">
        <v>4079</v>
      </c>
      <c r="AJ1002" t="s">
        <v>3942</v>
      </c>
      <c r="AK1002" t="s">
        <v>4084</v>
      </c>
      <c r="AM1002" t="s">
        <v>2230</v>
      </c>
      <c r="AO1002">
        <v>850</v>
      </c>
      <c r="AQ1002">
        <v>8</v>
      </c>
      <c r="AS1002" t="s">
        <v>4113</v>
      </c>
      <c r="AT1002" t="s">
        <v>4127</v>
      </c>
      <c r="AW1002">
        <v>32</v>
      </c>
      <c r="AY1002" t="s">
        <v>4140</v>
      </c>
      <c r="AZ1002" t="s">
        <v>4148</v>
      </c>
      <c r="BB1002" t="s">
        <v>4154</v>
      </c>
      <c r="BF1002" t="s">
        <v>4281</v>
      </c>
      <c r="BM1002" t="s">
        <v>4627</v>
      </c>
    </row>
    <row r="1003" spans="1:65">
      <c r="A1003" s="1">
        <f>HYPERLINK("https://lsnyc.legalserver.org/matter/dynamic-profile/view/1914271","19-1914271")</f>
        <v>0</v>
      </c>
      <c r="B1003" t="s">
        <v>88</v>
      </c>
      <c r="C1003" t="s">
        <v>93</v>
      </c>
      <c r="D1003" t="s">
        <v>110</v>
      </c>
      <c r="F1003" t="s">
        <v>702</v>
      </c>
      <c r="G1003" t="s">
        <v>1189</v>
      </c>
      <c r="H1003" t="s">
        <v>1599</v>
      </c>
      <c r="I1003" t="s">
        <v>1933</v>
      </c>
      <c r="J1003" t="s">
        <v>2205</v>
      </c>
      <c r="K1003">
        <v>11212</v>
      </c>
      <c r="N1003" t="s">
        <v>2233</v>
      </c>
      <c r="O1003" t="s">
        <v>2836</v>
      </c>
      <c r="Q1003" t="s">
        <v>3359</v>
      </c>
      <c r="R1003">
        <v>3</v>
      </c>
      <c r="S1003">
        <v>2</v>
      </c>
      <c r="T1003">
        <v>31.58</v>
      </c>
      <c r="W1003">
        <v>9528</v>
      </c>
      <c r="Y1003">
        <v>0</v>
      </c>
      <c r="AA1003" t="s">
        <v>70</v>
      </c>
      <c r="AC1003" t="s">
        <v>3942</v>
      </c>
      <c r="AD1003" t="s">
        <v>110</v>
      </c>
      <c r="AE1003" t="s">
        <v>4049</v>
      </c>
      <c r="AH1003" t="s">
        <v>4079</v>
      </c>
      <c r="AJ1003" t="s">
        <v>3942</v>
      </c>
      <c r="AL1003" t="s">
        <v>4087</v>
      </c>
      <c r="AM1003" t="s">
        <v>2230</v>
      </c>
      <c r="AO1003">
        <v>281</v>
      </c>
      <c r="AQ1003">
        <v>10</v>
      </c>
      <c r="AS1003" t="s">
        <v>4113</v>
      </c>
      <c r="AU1003" t="s">
        <v>4129</v>
      </c>
      <c r="AW1003">
        <v>21</v>
      </c>
      <c r="AY1003" t="s">
        <v>4140</v>
      </c>
      <c r="BC1003" t="s">
        <v>4155</v>
      </c>
      <c r="BF1003" t="s">
        <v>4281</v>
      </c>
      <c r="BG1003" t="s">
        <v>4054</v>
      </c>
      <c r="BM1003" t="s">
        <v>4627</v>
      </c>
    </row>
    <row r="1004" spans="1:65">
      <c r="A1004" s="1">
        <f>HYPERLINK("https://lsnyc.legalserver.org/matter/dynamic-profile/view/1900712","19-1900712")</f>
        <v>0</v>
      </c>
      <c r="B1004" t="s">
        <v>88</v>
      </c>
      <c r="C1004" t="s">
        <v>93</v>
      </c>
      <c r="D1004" t="s">
        <v>435</v>
      </c>
      <c r="F1004" t="s">
        <v>812</v>
      </c>
      <c r="G1004" t="s">
        <v>1487</v>
      </c>
      <c r="H1004" t="s">
        <v>1580</v>
      </c>
      <c r="I1004" t="s">
        <v>2171</v>
      </c>
      <c r="J1004" t="s">
        <v>2205</v>
      </c>
      <c r="K1004">
        <v>11213</v>
      </c>
      <c r="N1004" t="s">
        <v>2233</v>
      </c>
      <c r="O1004" t="s">
        <v>2830</v>
      </c>
      <c r="Q1004" t="s">
        <v>3353</v>
      </c>
      <c r="R1004">
        <v>3</v>
      </c>
      <c r="S1004">
        <v>0</v>
      </c>
      <c r="T1004">
        <v>445.62</v>
      </c>
      <c r="W1004">
        <v>95050.08</v>
      </c>
      <c r="X1004" t="s">
        <v>3786</v>
      </c>
      <c r="Y1004">
        <v>0</v>
      </c>
      <c r="AA1004" t="s">
        <v>90</v>
      </c>
      <c r="AC1004" t="s">
        <v>3942</v>
      </c>
      <c r="AD1004" t="s">
        <v>439</v>
      </c>
      <c r="AF1004" t="s">
        <v>4054</v>
      </c>
      <c r="AH1004" t="s">
        <v>4080</v>
      </c>
      <c r="AJ1004" t="s">
        <v>3942</v>
      </c>
      <c r="AL1004" t="s">
        <v>4087</v>
      </c>
      <c r="AM1004" t="s">
        <v>2230</v>
      </c>
      <c r="AO1004">
        <v>1197</v>
      </c>
      <c r="AQ1004">
        <v>34</v>
      </c>
      <c r="AS1004" t="s">
        <v>4113</v>
      </c>
      <c r="AU1004" t="s">
        <v>4128</v>
      </c>
      <c r="AW1004">
        <v>7</v>
      </c>
      <c r="AY1004" t="s">
        <v>4140</v>
      </c>
      <c r="BA1004" t="s">
        <v>4149</v>
      </c>
      <c r="BC1004" t="s">
        <v>4155</v>
      </c>
      <c r="BE1004" t="s">
        <v>4128</v>
      </c>
      <c r="BF1004" t="s">
        <v>4281</v>
      </c>
      <c r="BG1004" t="s">
        <v>4054</v>
      </c>
      <c r="BM1004" t="s">
        <v>4627</v>
      </c>
    </row>
    <row r="1005" spans="1:65">
      <c r="A1005" s="1">
        <f>HYPERLINK("https://lsnyc.legalserver.org/matter/dynamic-profile/view/1907781","19-1907781")</f>
        <v>0</v>
      </c>
      <c r="B1005" t="s">
        <v>88</v>
      </c>
      <c r="C1005" t="s">
        <v>93</v>
      </c>
      <c r="D1005" t="s">
        <v>157</v>
      </c>
      <c r="F1005" t="s">
        <v>948</v>
      </c>
      <c r="G1005" t="s">
        <v>1492</v>
      </c>
      <c r="H1005" t="s">
        <v>1846</v>
      </c>
      <c r="I1005" t="s">
        <v>1920</v>
      </c>
      <c r="J1005" t="s">
        <v>2205</v>
      </c>
      <c r="K1005">
        <v>11233</v>
      </c>
      <c r="N1005" t="s">
        <v>2233</v>
      </c>
      <c r="O1005" t="s">
        <v>2837</v>
      </c>
      <c r="Q1005" t="s">
        <v>3360</v>
      </c>
      <c r="R1005">
        <v>1</v>
      </c>
      <c r="S1005">
        <v>0</v>
      </c>
      <c r="T1005">
        <v>160.13</v>
      </c>
      <c r="W1005">
        <v>20000</v>
      </c>
      <c r="Y1005">
        <v>2.75</v>
      </c>
      <c r="Z1005" t="s">
        <v>113</v>
      </c>
      <c r="AA1005" t="s">
        <v>90</v>
      </c>
      <c r="AC1005" t="s">
        <v>3942</v>
      </c>
      <c r="AD1005" t="s">
        <v>157</v>
      </c>
      <c r="AF1005" t="s">
        <v>4054</v>
      </c>
      <c r="AH1005" t="s">
        <v>4081</v>
      </c>
      <c r="AJ1005" t="s">
        <v>3943</v>
      </c>
      <c r="AL1005" t="s">
        <v>4095</v>
      </c>
      <c r="AM1005" t="s">
        <v>2230</v>
      </c>
      <c r="AO1005">
        <v>835</v>
      </c>
      <c r="AQ1005">
        <v>6</v>
      </c>
      <c r="AS1005" t="s">
        <v>4113</v>
      </c>
      <c r="AU1005" t="s">
        <v>4128</v>
      </c>
      <c r="AW1005">
        <v>1</v>
      </c>
      <c r="AY1005" t="s">
        <v>4140</v>
      </c>
      <c r="BA1005" t="s">
        <v>4149</v>
      </c>
      <c r="BC1005" t="s">
        <v>4155</v>
      </c>
      <c r="BE1005" t="s">
        <v>4159</v>
      </c>
      <c r="BF1005" t="s">
        <v>4281</v>
      </c>
      <c r="BG1005" t="s">
        <v>4303</v>
      </c>
      <c r="BM1005" t="s">
        <v>4627</v>
      </c>
    </row>
    <row r="1006" spans="1:65">
      <c r="A1006" s="1">
        <f>HYPERLINK("https://lsnyc.legalserver.org/matter/dynamic-profile/view/1900703","19-1900703")</f>
        <v>0</v>
      </c>
      <c r="B1006" t="s">
        <v>88</v>
      </c>
      <c r="C1006" t="s">
        <v>93</v>
      </c>
      <c r="D1006" t="s">
        <v>435</v>
      </c>
      <c r="F1006" t="s">
        <v>943</v>
      </c>
      <c r="G1006" t="s">
        <v>1488</v>
      </c>
      <c r="H1006" t="s">
        <v>1834</v>
      </c>
      <c r="I1006" t="s">
        <v>1947</v>
      </c>
      <c r="J1006" t="s">
        <v>2205</v>
      </c>
      <c r="K1006">
        <v>11213</v>
      </c>
      <c r="N1006" t="s">
        <v>2233</v>
      </c>
      <c r="O1006" t="s">
        <v>2831</v>
      </c>
      <c r="Q1006" t="s">
        <v>3354</v>
      </c>
      <c r="R1006">
        <v>2</v>
      </c>
      <c r="S1006">
        <v>0</v>
      </c>
      <c r="T1006">
        <v>0</v>
      </c>
      <c r="W1006">
        <v>0</v>
      </c>
      <c r="X1006" t="s">
        <v>3787</v>
      </c>
      <c r="Y1006">
        <v>0.1</v>
      </c>
      <c r="Z1006" t="s">
        <v>318</v>
      </c>
      <c r="AA1006" t="s">
        <v>90</v>
      </c>
      <c r="AC1006" t="s">
        <v>3942</v>
      </c>
      <c r="AD1006" t="s">
        <v>404</v>
      </c>
      <c r="AF1006" t="s">
        <v>4054</v>
      </c>
      <c r="AH1006" t="s">
        <v>4080</v>
      </c>
      <c r="AJ1006" t="s">
        <v>3942</v>
      </c>
      <c r="AL1006" t="s">
        <v>4087</v>
      </c>
      <c r="AM1006" t="s">
        <v>2230</v>
      </c>
      <c r="AO1006">
        <v>862</v>
      </c>
      <c r="AQ1006">
        <v>23</v>
      </c>
      <c r="AS1006" t="s">
        <v>4113</v>
      </c>
      <c r="AU1006" t="s">
        <v>4128</v>
      </c>
      <c r="AW1006">
        <v>20</v>
      </c>
      <c r="AY1006" t="s">
        <v>4140</v>
      </c>
      <c r="BA1006" t="s">
        <v>4149</v>
      </c>
      <c r="BC1006" t="s">
        <v>4155</v>
      </c>
      <c r="BF1006" t="s">
        <v>4281</v>
      </c>
      <c r="BG1006" t="s">
        <v>4054</v>
      </c>
      <c r="BM1006" t="s">
        <v>4627</v>
      </c>
    </row>
    <row r="1007" spans="1:65">
      <c r="A1007" s="1">
        <f>HYPERLINK("https://lsnyc.legalserver.org/matter/dynamic-profile/view/1905867","19-1905867")</f>
        <v>0</v>
      </c>
      <c r="B1007" t="s">
        <v>88</v>
      </c>
      <c r="C1007" t="s">
        <v>93</v>
      </c>
      <c r="D1007" t="s">
        <v>142</v>
      </c>
      <c r="F1007" t="s">
        <v>537</v>
      </c>
      <c r="G1007" t="s">
        <v>1410</v>
      </c>
      <c r="H1007" t="s">
        <v>1832</v>
      </c>
      <c r="I1007" t="s">
        <v>1938</v>
      </c>
      <c r="J1007" t="s">
        <v>2205</v>
      </c>
      <c r="K1007">
        <v>11215</v>
      </c>
      <c r="N1007" t="s">
        <v>2233</v>
      </c>
      <c r="O1007" t="s">
        <v>2737</v>
      </c>
      <c r="Q1007" t="s">
        <v>3329</v>
      </c>
      <c r="R1007">
        <v>3</v>
      </c>
      <c r="S1007">
        <v>2</v>
      </c>
      <c r="T1007">
        <v>33.48</v>
      </c>
      <c r="W1007">
        <v>10100</v>
      </c>
      <c r="Y1007">
        <v>0</v>
      </c>
      <c r="AA1007" t="s">
        <v>90</v>
      </c>
      <c r="AC1007" t="s">
        <v>3942</v>
      </c>
      <c r="AD1007" t="s">
        <v>154</v>
      </c>
      <c r="AF1007" t="s">
        <v>4059</v>
      </c>
      <c r="AH1007" t="s">
        <v>4078</v>
      </c>
      <c r="AJ1007" t="s">
        <v>3942</v>
      </c>
      <c r="AL1007" t="s">
        <v>4086</v>
      </c>
      <c r="AM1007" t="s">
        <v>2230</v>
      </c>
      <c r="AO1007">
        <v>165</v>
      </c>
      <c r="AQ1007">
        <v>7</v>
      </c>
      <c r="AS1007" t="s">
        <v>4115</v>
      </c>
      <c r="AU1007" t="s">
        <v>4128</v>
      </c>
      <c r="AW1007">
        <v>22</v>
      </c>
      <c r="AY1007" t="s">
        <v>4140</v>
      </c>
      <c r="BA1007" t="s">
        <v>4149</v>
      </c>
      <c r="BC1007" t="s">
        <v>4155</v>
      </c>
      <c r="BE1007" t="s">
        <v>4159</v>
      </c>
      <c r="BF1007" t="s">
        <v>4281</v>
      </c>
      <c r="BG1007" t="s">
        <v>4159</v>
      </c>
      <c r="BM1007" t="s">
        <v>4627</v>
      </c>
    </row>
    <row r="1008" spans="1:65">
      <c r="A1008" s="1">
        <f>HYPERLINK("https://lsnyc.legalserver.org/matter/dynamic-profile/view/1895283","19-1895283")</f>
        <v>0</v>
      </c>
      <c r="B1008" t="s">
        <v>88</v>
      </c>
      <c r="C1008" t="s">
        <v>93</v>
      </c>
      <c r="D1008" t="s">
        <v>442</v>
      </c>
      <c r="F1008" t="s">
        <v>945</v>
      </c>
      <c r="G1008" t="s">
        <v>1162</v>
      </c>
      <c r="H1008" t="s">
        <v>1688</v>
      </c>
      <c r="I1008" t="s">
        <v>1920</v>
      </c>
      <c r="J1008" t="s">
        <v>2205</v>
      </c>
      <c r="K1008">
        <v>11212</v>
      </c>
      <c r="N1008" t="s">
        <v>2236</v>
      </c>
      <c r="O1008" t="s">
        <v>2834</v>
      </c>
      <c r="P1008" t="s">
        <v>2930</v>
      </c>
      <c r="R1008">
        <v>1</v>
      </c>
      <c r="S1008">
        <v>1</v>
      </c>
      <c r="T1008">
        <v>116.88</v>
      </c>
      <c r="W1008">
        <v>19764</v>
      </c>
      <c r="Y1008">
        <v>3.6</v>
      </c>
      <c r="Z1008" t="s">
        <v>223</v>
      </c>
      <c r="AA1008" t="s">
        <v>70</v>
      </c>
      <c r="AC1008" t="s">
        <v>3942</v>
      </c>
      <c r="AD1008" t="s">
        <v>247</v>
      </c>
      <c r="AF1008" t="s">
        <v>4061</v>
      </c>
      <c r="AH1008" t="s">
        <v>3510</v>
      </c>
      <c r="AJ1008" t="s">
        <v>3942</v>
      </c>
      <c r="AL1008" t="s">
        <v>4070</v>
      </c>
      <c r="AM1008" t="s">
        <v>2230</v>
      </c>
      <c r="AO1008">
        <v>1326</v>
      </c>
      <c r="AQ1008">
        <v>16</v>
      </c>
      <c r="AS1008" t="s">
        <v>4113</v>
      </c>
      <c r="AU1008" t="s">
        <v>4133</v>
      </c>
      <c r="AW1008">
        <v>3</v>
      </c>
      <c r="AY1008" t="s">
        <v>4140</v>
      </c>
      <c r="BA1008" t="s">
        <v>4149</v>
      </c>
      <c r="BC1008" t="s">
        <v>4156</v>
      </c>
      <c r="BE1008" t="s">
        <v>4253</v>
      </c>
      <c r="BF1008" t="s">
        <v>4281</v>
      </c>
      <c r="BG1008" t="s">
        <v>4054</v>
      </c>
      <c r="BM1008" t="s">
        <v>4627</v>
      </c>
    </row>
    <row r="1009" spans="1:65">
      <c r="A1009" s="1">
        <f>HYPERLINK("https://lsnyc.legalserver.org/matter/dynamic-profile/view/1900688","19-1900688")</f>
        <v>0</v>
      </c>
      <c r="B1009" t="s">
        <v>88</v>
      </c>
      <c r="C1009" t="s">
        <v>93</v>
      </c>
      <c r="D1009" t="s">
        <v>435</v>
      </c>
      <c r="F1009" t="s">
        <v>941</v>
      </c>
      <c r="G1009" t="s">
        <v>1485</v>
      </c>
      <c r="H1009" t="s">
        <v>1585</v>
      </c>
      <c r="I1009" t="s">
        <v>2020</v>
      </c>
      <c r="J1009" t="s">
        <v>2205</v>
      </c>
      <c r="K1009">
        <v>11213</v>
      </c>
      <c r="N1009" t="s">
        <v>2233</v>
      </c>
      <c r="O1009" t="s">
        <v>2828</v>
      </c>
      <c r="Q1009" t="s">
        <v>3352</v>
      </c>
      <c r="R1009">
        <v>2</v>
      </c>
      <c r="S1009">
        <v>0</v>
      </c>
      <c r="T1009">
        <v>425.78</v>
      </c>
      <c r="W1009">
        <v>72000</v>
      </c>
      <c r="X1009" t="s">
        <v>3788</v>
      </c>
      <c r="Y1009">
        <v>0</v>
      </c>
      <c r="AA1009" t="s">
        <v>90</v>
      </c>
      <c r="AC1009" t="s">
        <v>3942</v>
      </c>
      <c r="AD1009" t="s">
        <v>439</v>
      </c>
      <c r="AF1009" t="s">
        <v>4054</v>
      </c>
      <c r="AH1009" t="s">
        <v>4080</v>
      </c>
      <c r="AJ1009" t="s">
        <v>3942</v>
      </c>
      <c r="AL1009" t="s">
        <v>4087</v>
      </c>
      <c r="AM1009" t="s">
        <v>2230</v>
      </c>
      <c r="AO1009">
        <v>1169.88</v>
      </c>
      <c r="AQ1009">
        <v>35</v>
      </c>
      <c r="AS1009" t="s">
        <v>4113</v>
      </c>
      <c r="AU1009" t="s">
        <v>4128</v>
      </c>
      <c r="AW1009">
        <v>5</v>
      </c>
      <c r="AY1009" t="s">
        <v>4140</v>
      </c>
      <c r="BA1009" t="s">
        <v>4149</v>
      </c>
      <c r="BC1009" t="s">
        <v>4155</v>
      </c>
      <c r="BF1009" t="s">
        <v>4281</v>
      </c>
      <c r="BG1009" t="s">
        <v>4054</v>
      </c>
      <c r="BM1009" t="s">
        <v>4627</v>
      </c>
    </row>
    <row r="1010" spans="1:65">
      <c r="A1010" s="1">
        <f>HYPERLINK("https://lsnyc.legalserver.org/matter/dynamic-profile/view/1851636","17-1851636")</f>
        <v>0</v>
      </c>
      <c r="B1010" t="s">
        <v>88</v>
      </c>
      <c r="C1010" t="s">
        <v>93</v>
      </c>
      <c r="D1010" t="s">
        <v>300</v>
      </c>
      <c r="F1010" t="s">
        <v>843</v>
      </c>
      <c r="G1010" t="s">
        <v>1493</v>
      </c>
      <c r="H1010" t="s">
        <v>1590</v>
      </c>
      <c r="I1010" t="s">
        <v>2113</v>
      </c>
      <c r="J1010" t="s">
        <v>2205</v>
      </c>
      <c r="K1010">
        <v>11213</v>
      </c>
      <c r="N1010" t="s">
        <v>2240</v>
      </c>
      <c r="O1010" t="s">
        <v>2402</v>
      </c>
      <c r="Q1010" t="s">
        <v>3361</v>
      </c>
      <c r="R1010">
        <v>2</v>
      </c>
      <c r="S1010">
        <v>1</v>
      </c>
      <c r="T1010">
        <v>144.43</v>
      </c>
      <c r="U1010" t="s">
        <v>450</v>
      </c>
      <c r="W1010">
        <v>29492</v>
      </c>
      <c r="Y1010">
        <v>22.75</v>
      </c>
      <c r="Z1010" t="s">
        <v>243</v>
      </c>
      <c r="AA1010" t="s">
        <v>88</v>
      </c>
      <c r="AC1010" t="s">
        <v>3942</v>
      </c>
      <c r="AD1010" t="s">
        <v>4043</v>
      </c>
      <c r="AF1010" t="s">
        <v>4071</v>
      </c>
      <c r="AH1010" t="s">
        <v>4080</v>
      </c>
      <c r="AI1010" t="s">
        <v>4082</v>
      </c>
      <c r="AK1010" t="s">
        <v>4084</v>
      </c>
      <c r="AM1010" t="s">
        <v>2230</v>
      </c>
      <c r="AO1010">
        <v>832.98</v>
      </c>
      <c r="AQ1010">
        <v>107</v>
      </c>
      <c r="AS1010" t="s">
        <v>4113</v>
      </c>
      <c r="AT1010" t="s">
        <v>4127</v>
      </c>
      <c r="AW1010">
        <v>30</v>
      </c>
      <c r="AY1010" t="s">
        <v>4140</v>
      </c>
      <c r="BB1010" t="s">
        <v>4154</v>
      </c>
      <c r="BE1010" t="s">
        <v>4254</v>
      </c>
      <c r="BF1010" t="s">
        <v>4281</v>
      </c>
      <c r="BM1010" t="s">
        <v>4627</v>
      </c>
    </row>
    <row r="1011" spans="1:65">
      <c r="A1011" s="1">
        <f>HYPERLINK("https://lsnyc.legalserver.org/matter/dynamic-profile/view/1880052","18-1880052")</f>
        <v>0</v>
      </c>
      <c r="B1011" t="s">
        <v>88</v>
      </c>
      <c r="C1011" t="s">
        <v>93</v>
      </c>
      <c r="D1011" t="s">
        <v>179</v>
      </c>
      <c r="F1011" t="s">
        <v>552</v>
      </c>
      <c r="G1011" t="s">
        <v>1394</v>
      </c>
      <c r="H1011" t="s">
        <v>1830</v>
      </c>
      <c r="I1011" t="s">
        <v>1922</v>
      </c>
      <c r="J1011" t="s">
        <v>2205</v>
      </c>
      <c r="K1011">
        <v>11207</v>
      </c>
      <c r="N1011" t="s">
        <v>2233</v>
      </c>
      <c r="O1011" t="s">
        <v>2714</v>
      </c>
      <c r="P1011" t="s">
        <v>2930</v>
      </c>
      <c r="R1011">
        <v>1</v>
      </c>
      <c r="S1011">
        <v>3</v>
      </c>
      <c r="T1011">
        <v>41.43</v>
      </c>
      <c r="W1011">
        <v>10400</v>
      </c>
      <c r="Y1011">
        <v>0</v>
      </c>
      <c r="AA1011" t="s">
        <v>90</v>
      </c>
      <c r="AC1011" t="s">
        <v>3942</v>
      </c>
      <c r="AD1011" t="s">
        <v>141</v>
      </c>
      <c r="AF1011" t="s">
        <v>4059</v>
      </c>
      <c r="AH1011" t="s">
        <v>4078</v>
      </c>
      <c r="AJ1011" t="s">
        <v>3942</v>
      </c>
      <c r="AL1011" t="s">
        <v>4086</v>
      </c>
      <c r="AM1011" t="s">
        <v>2230</v>
      </c>
      <c r="AN1011" t="s">
        <v>4107</v>
      </c>
      <c r="AO1011">
        <v>0</v>
      </c>
      <c r="AQ1011">
        <v>6</v>
      </c>
      <c r="AS1011" t="s">
        <v>4113</v>
      </c>
      <c r="AU1011" t="s">
        <v>4128</v>
      </c>
      <c r="AV1011" t="s">
        <v>4137</v>
      </c>
      <c r="AW1011">
        <v>0</v>
      </c>
      <c r="AY1011" t="s">
        <v>4140</v>
      </c>
      <c r="BA1011" t="s">
        <v>4149</v>
      </c>
      <c r="BC1011" t="s">
        <v>4155</v>
      </c>
      <c r="BE1011" t="s">
        <v>4159</v>
      </c>
      <c r="BG1011" t="s">
        <v>4558</v>
      </c>
      <c r="BM1011" t="s">
        <v>4627</v>
      </c>
    </row>
    <row r="1012" spans="1:65">
      <c r="A1012" s="1">
        <f>HYPERLINK("https://lsnyc.legalserver.org/matter/dynamic-profile/view/1905991","19-1905991")</f>
        <v>0</v>
      </c>
      <c r="B1012" t="s">
        <v>88</v>
      </c>
      <c r="C1012" t="s">
        <v>93</v>
      </c>
      <c r="D1012" t="s">
        <v>443</v>
      </c>
      <c r="F1012" t="s">
        <v>732</v>
      </c>
      <c r="G1012" t="s">
        <v>1081</v>
      </c>
      <c r="H1012" t="s">
        <v>1633</v>
      </c>
      <c r="I1012" t="s">
        <v>2173</v>
      </c>
      <c r="J1012" t="s">
        <v>2205</v>
      </c>
      <c r="K1012">
        <v>11233</v>
      </c>
      <c r="N1012" t="s">
        <v>2233</v>
      </c>
      <c r="O1012" t="s">
        <v>2838</v>
      </c>
      <c r="P1012" t="s">
        <v>2930</v>
      </c>
      <c r="R1012">
        <v>4</v>
      </c>
      <c r="S1012">
        <v>1</v>
      </c>
      <c r="T1012">
        <v>99.44</v>
      </c>
      <c r="W1012">
        <v>30000</v>
      </c>
      <c r="X1012" t="s">
        <v>3684</v>
      </c>
      <c r="Y1012">
        <v>0</v>
      </c>
      <c r="AA1012" t="s">
        <v>90</v>
      </c>
      <c r="AC1012" t="s">
        <v>3942</v>
      </c>
      <c r="AD1012" t="s">
        <v>247</v>
      </c>
      <c r="AF1012" t="s">
        <v>4061</v>
      </c>
      <c r="AH1012" t="s">
        <v>3510</v>
      </c>
      <c r="AJ1012" t="s">
        <v>3943</v>
      </c>
      <c r="AK1012" t="s">
        <v>4084</v>
      </c>
      <c r="AM1012" t="s">
        <v>2230</v>
      </c>
      <c r="AO1012">
        <v>1200</v>
      </c>
      <c r="AQ1012">
        <v>359</v>
      </c>
      <c r="AS1012" t="s">
        <v>4113</v>
      </c>
      <c r="AU1012" t="s">
        <v>4128</v>
      </c>
      <c r="AW1012">
        <v>26</v>
      </c>
      <c r="AY1012" t="s">
        <v>4140</v>
      </c>
      <c r="BA1012" t="s">
        <v>4149</v>
      </c>
      <c r="BC1012" t="s">
        <v>4155</v>
      </c>
      <c r="BE1012" t="s">
        <v>4159</v>
      </c>
      <c r="BF1012" t="s">
        <v>4281</v>
      </c>
      <c r="BG1012" t="s">
        <v>4159</v>
      </c>
      <c r="BM1012" t="s">
        <v>4627</v>
      </c>
    </row>
    <row r="1013" spans="1:65">
      <c r="A1013" s="1">
        <f>HYPERLINK("https://lsnyc.legalserver.org/matter/dynamic-profile/view/1879900","18-1879900")</f>
        <v>0</v>
      </c>
      <c r="B1013" t="s">
        <v>88</v>
      </c>
      <c r="C1013" t="s">
        <v>93</v>
      </c>
      <c r="D1013" t="s">
        <v>209</v>
      </c>
      <c r="F1013" t="s">
        <v>853</v>
      </c>
      <c r="G1013" t="s">
        <v>1100</v>
      </c>
      <c r="H1013" t="s">
        <v>1830</v>
      </c>
      <c r="I1013" t="s">
        <v>1929</v>
      </c>
      <c r="J1013" t="s">
        <v>2205</v>
      </c>
      <c r="K1013">
        <v>11207</v>
      </c>
      <c r="N1013" t="s">
        <v>2233</v>
      </c>
      <c r="O1013" t="s">
        <v>2700</v>
      </c>
      <c r="Q1013" t="s">
        <v>3324</v>
      </c>
      <c r="R1013">
        <v>1</v>
      </c>
      <c r="S1013">
        <v>1</v>
      </c>
      <c r="T1013">
        <v>45.52</v>
      </c>
      <c r="W1013">
        <v>7492</v>
      </c>
      <c r="X1013" t="s">
        <v>3789</v>
      </c>
      <c r="Y1013">
        <v>0.35</v>
      </c>
      <c r="Z1013" t="s">
        <v>142</v>
      </c>
      <c r="AA1013" t="s">
        <v>90</v>
      </c>
      <c r="AC1013" t="s">
        <v>3942</v>
      </c>
      <c r="AD1013" t="s">
        <v>4008</v>
      </c>
      <c r="AF1013" t="s">
        <v>4059</v>
      </c>
      <c r="AH1013" t="s">
        <v>4078</v>
      </c>
      <c r="AJ1013" t="s">
        <v>3942</v>
      </c>
      <c r="AL1013" t="s">
        <v>4089</v>
      </c>
      <c r="AM1013" t="s">
        <v>2230</v>
      </c>
      <c r="AO1013">
        <v>1250</v>
      </c>
      <c r="AQ1013">
        <v>6</v>
      </c>
      <c r="AS1013" t="s">
        <v>4113</v>
      </c>
      <c r="AU1013" t="s">
        <v>4130</v>
      </c>
      <c r="AW1013">
        <v>7</v>
      </c>
      <c r="AY1013" t="s">
        <v>4140</v>
      </c>
      <c r="BA1013" t="s">
        <v>4149</v>
      </c>
      <c r="BB1013" t="s">
        <v>4154</v>
      </c>
      <c r="BE1013" t="s">
        <v>4162</v>
      </c>
      <c r="BG1013" t="s">
        <v>4559</v>
      </c>
      <c r="BM1013" t="s">
        <v>4627</v>
      </c>
    </row>
    <row r="1014" spans="1:65">
      <c r="A1014" s="1">
        <f>HYPERLINK("https://lsnyc.legalserver.org/matter/dynamic-profile/view/1879904","18-1879904")</f>
        <v>0</v>
      </c>
      <c r="B1014" t="s">
        <v>88</v>
      </c>
      <c r="C1014" t="s">
        <v>93</v>
      </c>
      <c r="D1014" t="s">
        <v>209</v>
      </c>
      <c r="F1014" t="s">
        <v>853</v>
      </c>
      <c r="G1014" t="s">
        <v>1100</v>
      </c>
      <c r="H1014" t="s">
        <v>1830</v>
      </c>
      <c r="I1014" t="s">
        <v>1929</v>
      </c>
      <c r="J1014" t="s">
        <v>2205</v>
      </c>
      <c r="K1014">
        <v>11207</v>
      </c>
      <c r="N1014" t="s">
        <v>2233</v>
      </c>
      <c r="O1014" t="s">
        <v>2700</v>
      </c>
      <c r="Q1014" t="s">
        <v>3324</v>
      </c>
      <c r="R1014">
        <v>1</v>
      </c>
      <c r="S1014">
        <v>1</v>
      </c>
      <c r="T1014">
        <v>45.52</v>
      </c>
      <c r="W1014">
        <v>7492</v>
      </c>
      <c r="X1014" t="s">
        <v>3789</v>
      </c>
      <c r="Y1014">
        <v>0.25</v>
      </c>
      <c r="Z1014" t="s">
        <v>211</v>
      </c>
      <c r="AA1014" t="s">
        <v>90</v>
      </c>
      <c r="AC1014" t="s">
        <v>3942</v>
      </c>
      <c r="AD1014" t="s">
        <v>141</v>
      </c>
      <c r="AF1014" t="s">
        <v>4059</v>
      </c>
      <c r="AH1014" t="s">
        <v>4078</v>
      </c>
      <c r="AJ1014" t="s">
        <v>3942</v>
      </c>
      <c r="AL1014" t="s">
        <v>4089</v>
      </c>
      <c r="AM1014" t="s">
        <v>2230</v>
      </c>
      <c r="AO1014">
        <v>1250</v>
      </c>
      <c r="AQ1014">
        <v>6</v>
      </c>
      <c r="AS1014" t="s">
        <v>4113</v>
      </c>
      <c r="AU1014" t="s">
        <v>4130</v>
      </c>
      <c r="AW1014">
        <v>7</v>
      </c>
      <c r="AY1014" t="s">
        <v>4140</v>
      </c>
      <c r="BA1014" t="s">
        <v>4149</v>
      </c>
      <c r="BB1014" t="s">
        <v>4154</v>
      </c>
      <c r="BE1014" t="s">
        <v>4162</v>
      </c>
      <c r="BG1014" t="s">
        <v>4542</v>
      </c>
      <c r="BM1014" t="s">
        <v>4627</v>
      </c>
    </row>
    <row r="1015" spans="1:65">
      <c r="A1015" s="1">
        <f>HYPERLINK("https://lsnyc.legalserver.org/matter/dynamic-profile/view/1879893","18-1879893")</f>
        <v>0</v>
      </c>
      <c r="B1015" t="s">
        <v>88</v>
      </c>
      <c r="C1015" t="s">
        <v>93</v>
      </c>
      <c r="D1015" t="s">
        <v>209</v>
      </c>
      <c r="F1015" t="s">
        <v>853</v>
      </c>
      <c r="G1015" t="s">
        <v>1100</v>
      </c>
      <c r="H1015" t="s">
        <v>1830</v>
      </c>
      <c r="I1015" t="s">
        <v>1929</v>
      </c>
      <c r="J1015" t="s">
        <v>2205</v>
      </c>
      <c r="K1015">
        <v>11207</v>
      </c>
      <c r="N1015" t="s">
        <v>2233</v>
      </c>
      <c r="O1015" t="s">
        <v>2700</v>
      </c>
      <c r="Q1015" t="s">
        <v>3324</v>
      </c>
      <c r="R1015">
        <v>1</v>
      </c>
      <c r="S1015">
        <v>1</v>
      </c>
      <c r="T1015">
        <v>45.52</v>
      </c>
      <c r="W1015">
        <v>7492</v>
      </c>
      <c r="X1015" t="s">
        <v>3789</v>
      </c>
      <c r="Y1015">
        <v>0.38</v>
      </c>
      <c r="Z1015" t="s">
        <v>142</v>
      </c>
      <c r="AA1015" t="s">
        <v>90</v>
      </c>
      <c r="AC1015" t="s">
        <v>3942</v>
      </c>
      <c r="AD1015" t="s">
        <v>167</v>
      </c>
      <c r="AF1015" t="s">
        <v>4054</v>
      </c>
      <c r="AH1015" t="s">
        <v>3510</v>
      </c>
      <c r="AJ1015" t="s">
        <v>3942</v>
      </c>
      <c r="AL1015" t="s">
        <v>4089</v>
      </c>
      <c r="AM1015" t="s">
        <v>2230</v>
      </c>
      <c r="AO1015">
        <v>1250</v>
      </c>
      <c r="AQ1015">
        <v>6</v>
      </c>
      <c r="AS1015" t="s">
        <v>4113</v>
      </c>
      <c r="AU1015" t="s">
        <v>4130</v>
      </c>
      <c r="AW1015">
        <v>7</v>
      </c>
      <c r="AY1015" t="s">
        <v>4140</v>
      </c>
      <c r="BA1015" t="s">
        <v>4149</v>
      </c>
      <c r="BB1015" t="s">
        <v>4154</v>
      </c>
      <c r="BE1015" t="s">
        <v>4162</v>
      </c>
      <c r="BF1015" t="s">
        <v>4281</v>
      </c>
      <c r="BG1015" t="s">
        <v>4054</v>
      </c>
      <c r="BM1015" t="s">
        <v>4627</v>
      </c>
    </row>
    <row r="1016" spans="1:65">
      <c r="A1016" s="1">
        <f>HYPERLINK("https://lsnyc.legalserver.org/matter/dynamic-profile/view/1900672","19-1900672")</f>
        <v>0</v>
      </c>
      <c r="B1016" t="s">
        <v>88</v>
      </c>
      <c r="C1016" t="s">
        <v>93</v>
      </c>
      <c r="D1016" t="s">
        <v>444</v>
      </c>
      <c r="F1016" t="s">
        <v>843</v>
      </c>
      <c r="G1016" t="s">
        <v>1478</v>
      </c>
      <c r="H1016" t="s">
        <v>1582</v>
      </c>
      <c r="I1016">
        <v>24</v>
      </c>
      <c r="J1016" t="s">
        <v>2205</v>
      </c>
      <c r="K1016">
        <v>11213</v>
      </c>
      <c r="N1016" t="s">
        <v>2233</v>
      </c>
      <c r="O1016" t="s">
        <v>2818</v>
      </c>
      <c r="Q1016" t="s">
        <v>3343</v>
      </c>
      <c r="R1016">
        <v>3</v>
      </c>
      <c r="S1016">
        <v>0</v>
      </c>
      <c r="T1016">
        <v>197.84</v>
      </c>
      <c r="W1016">
        <v>42200</v>
      </c>
      <c r="X1016" t="s">
        <v>3790</v>
      </c>
      <c r="Y1016">
        <v>0.3</v>
      </c>
      <c r="Z1016" t="s">
        <v>435</v>
      </c>
      <c r="AA1016" t="s">
        <v>90</v>
      </c>
      <c r="AC1016" t="s">
        <v>3942</v>
      </c>
      <c r="AD1016" t="s">
        <v>431</v>
      </c>
      <c r="AF1016" t="s">
        <v>4054</v>
      </c>
      <c r="AH1016" t="s">
        <v>3510</v>
      </c>
      <c r="AJ1016" t="s">
        <v>3942</v>
      </c>
      <c r="AL1016" t="s">
        <v>4087</v>
      </c>
      <c r="AM1016" t="s">
        <v>2230</v>
      </c>
      <c r="AO1016">
        <v>917</v>
      </c>
      <c r="AQ1016">
        <v>31</v>
      </c>
      <c r="AS1016" t="s">
        <v>4113</v>
      </c>
      <c r="AU1016" t="s">
        <v>4128</v>
      </c>
      <c r="AW1016">
        <v>18</v>
      </c>
      <c r="AY1016" t="s">
        <v>4140</v>
      </c>
      <c r="BA1016" t="s">
        <v>4149</v>
      </c>
      <c r="BC1016" t="s">
        <v>4155</v>
      </c>
      <c r="BF1016" t="s">
        <v>4281</v>
      </c>
      <c r="BG1016" t="s">
        <v>4128</v>
      </c>
      <c r="BM1016" t="s">
        <v>4627</v>
      </c>
    </row>
    <row r="1017" spans="1:65">
      <c r="A1017" s="1">
        <f>HYPERLINK("https://lsnyc.legalserver.org/matter/dynamic-profile/view/1879255","18-1879255")</f>
        <v>0</v>
      </c>
      <c r="B1017" t="s">
        <v>88</v>
      </c>
      <c r="C1017" t="s">
        <v>93</v>
      </c>
      <c r="D1017" t="s">
        <v>167</v>
      </c>
      <c r="F1017" t="s">
        <v>949</v>
      </c>
      <c r="G1017" t="s">
        <v>1494</v>
      </c>
      <c r="H1017" t="s">
        <v>1585</v>
      </c>
      <c r="I1017" t="s">
        <v>1921</v>
      </c>
      <c r="J1017" t="s">
        <v>2205</v>
      </c>
      <c r="K1017">
        <v>11213</v>
      </c>
      <c r="N1017" t="s">
        <v>2233</v>
      </c>
      <c r="O1017" t="s">
        <v>2839</v>
      </c>
      <c r="Q1017" t="s">
        <v>3362</v>
      </c>
      <c r="R1017">
        <v>3</v>
      </c>
      <c r="S1017">
        <v>1</v>
      </c>
      <c r="T1017">
        <v>79.68000000000001</v>
      </c>
      <c r="W1017">
        <v>20000</v>
      </c>
      <c r="Y1017">
        <v>0.1</v>
      </c>
      <c r="Z1017" t="s">
        <v>444</v>
      </c>
      <c r="AA1017" t="s">
        <v>90</v>
      </c>
      <c r="AC1017" t="s">
        <v>3942</v>
      </c>
      <c r="AD1017" t="s">
        <v>365</v>
      </c>
      <c r="AF1017" t="s">
        <v>4058</v>
      </c>
      <c r="AH1017" t="s">
        <v>4076</v>
      </c>
      <c r="AJ1017" t="s">
        <v>3942</v>
      </c>
      <c r="AK1017" t="s">
        <v>4084</v>
      </c>
      <c r="AM1017" t="s">
        <v>2230</v>
      </c>
      <c r="AO1017">
        <v>1200</v>
      </c>
      <c r="AQ1017">
        <v>35</v>
      </c>
      <c r="AS1017" t="s">
        <v>4113</v>
      </c>
      <c r="AT1017" t="s">
        <v>4127</v>
      </c>
      <c r="AW1017">
        <v>10</v>
      </c>
      <c r="AY1017" t="s">
        <v>4140</v>
      </c>
      <c r="BC1017" t="s">
        <v>4155</v>
      </c>
      <c r="BG1017" t="s">
        <v>4301</v>
      </c>
      <c r="BM1017" t="s">
        <v>4627</v>
      </c>
    </row>
    <row r="1018" spans="1:65">
      <c r="A1018" s="1">
        <f>HYPERLINK("https://lsnyc.legalserver.org/matter/dynamic-profile/view/1866186","18-1866186")</f>
        <v>0</v>
      </c>
      <c r="B1018" t="s">
        <v>88</v>
      </c>
      <c r="C1018" t="s">
        <v>93</v>
      </c>
      <c r="D1018" t="s">
        <v>445</v>
      </c>
      <c r="F1018" t="s">
        <v>950</v>
      </c>
      <c r="G1018" t="s">
        <v>780</v>
      </c>
      <c r="H1018" t="s">
        <v>1847</v>
      </c>
      <c r="I1018" t="s">
        <v>2174</v>
      </c>
      <c r="J1018" t="s">
        <v>2205</v>
      </c>
      <c r="K1018">
        <v>11212</v>
      </c>
      <c r="N1018" t="s">
        <v>2233</v>
      </c>
      <c r="O1018" t="s">
        <v>2840</v>
      </c>
      <c r="Q1018" t="s">
        <v>3363</v>
      </c>
      <c r="R1018">
        <v>1</v>
      </c>
      <c r="S1018">
        <v>1</v>
      </c>
      <c r="T1018">
        <v>199.34</v>
      </c>
      <c r="W1018">
        <v>32812</v>
      </c>
      <c r="X1018" t="s">
        <v>3473</v>
      </c>
      <c r="Y1018">
        <v>1</v>
      </c>
      <c r="Z1018" t="s">
        <v>445</v>
      </c>
      <c r="AA1018" t="s">
        <v>3932</v>
      </c>
      <c r="AC1018" t="s">
        <v>3942</v>
      </c>
      <c r="AD1018" t="s">
        <v>4008</v>
      </c>
      <c r="AF1018" t="s">
        <v>4061</v>
      </c>
      <c r="AH1018" t="s">
        <v>3510</v>
      </c>
      <c r="AJ1018" t="s">
        <v>3943</v>
      </c>
      <c r="AL1018" t="s">
        <v>4095</v>
      </c>
      <c r="AM1018" t="s">
        <v>2230</v>
      </c>
      <c r="AO1018">
        <v>710</v>
      </c>
      <c r="AQ1018">
        <v>90</v>
      </c>
      <c r="AS1018" t="s">
        <v>4120</v>
      </c>
      <c r="AU1018" t="s">
        <v>4129</v>
      </c>
      <c r="AW1018">
        <v>11</v>
      </c>
      <c r="AY1018" t="s">
        <v>4140</v>
      </c>
      <c r="BB1018" t="s">
        <v>4154</v>
      </c>
      <c r="BD1018" t="s">
        <v>4157</v>
      </c>
      <c r="BE1018" t="s">
        <v>4255</v>
      </c>
      <c r="BF1018" t="s">
        <v>4281</v>
      </c>
      <c r="BG1018" t="s">
        <v>4054</v>
      </c>
      <c r="BM1018" t="s">
        <v>4627</v>
      </c>
    </row>
    <row r="1019" spans="1:65">
      <c r="A1019" s="1">
        <f>HYPERLINK("https://lsnyc.legalserver.org/matter/dynamic-profile/view/1900683","19-1900683")</f>
        <v>0</v>
      </c>
      <c r="B1019" t="s">
        <v>88</v>
      </c>
      <c r="C1019" t="s">
        <v>93</v>
      </c>
      <c r="D1019" t="s">
        <v>435</v>
      </c>
      <c r="F1019" t="s">
        <v>951</v>
      </c>
      <c r="G1019" t="s">
        <v>1495</v>
      </c>
      <c r="H1019" t="s">
        <v>1585</v>
      </c>
      <c r="I1019" t="s">
        <v>2035</v>
      </c>
      <c r="J1019" t="s">
        <v>2205</v>
      </c>
      <c r="K1019">
        <v>11213</v>
      </c>
      <c r="N1019" t="s">
        <v>2233</v>
      </c>
      <c r="O1019" t="s">
        <v>2841</v>
      </c>
      <c r="P1019" t="s">
        <v>2930</v>
      </c>
      <c r="R1019">
        <v>2</v>
      </c>
      <c r="S1019">
        <v>3</v>
      </c>
      <c r="T1019">
        <v>79.55</v>
      </c>
      <c r="W1019">
        <v>24000</v>
      </c>
      <c r="X1019" t="s">
        <v>3791</v>
      </c>
      <c r="Y1019">
        <v>0</v>
      </c>
      <c r="AA1019" t="s">
        <v>90</v>
      </c>
      <c r="AC1019" t="s">
        <v>3942</v>
      </c>
      <c r="AD1019" t="s">
        <v>431</v>
      </c>
      <c r="AF1019" t="s">
        <v>4054</v>
      </c>
      <c r="AH1019" t="s">
        <v>4080</v>
      </c>
      <c r="AJ1019" t="s">
        <v>3942</v>
      </c>
      <c r="AL1019" t="s">
        <v>4087</v>
      </c>
      <c r="AM1019" t="s">
        <v>2230</v>
      </c>
      <c r="AO1019">
        <v>606</v>
      </c>
      <c r="AQ1019">
        <v>35</v>
      </c>
      <c r="AS1019" t="s">
        <v>4113</v>
      </c>
      <c r="AU1019" t="s">
        <v>4128</v>
      </c>
      <c r="AW1019">
        <v>5</v>
      </c>
      <c r="AY1019" t="s">
        <v>4140</v>
      </c>
      <c r="BA1019" t="s">
        <v>4149</v>
      </c>
      <c r="BC1019" t="s">
        <v>4155</v>
      </c>
      <c r="BF1019" t="s">
        <v>4281</v>
      </c>
      <c r="BG1019" t="s">
        <v>4128</v>
      </c>
      <c r="BM1019" t="s">
        <v>4627</v>
      </c>
    </row>
    <row r="1020" spans="1:65">
      <c r="A1020" s="1">
        <f>HYPERLINK("https://lsnyc.legalserver.org/matter/dynamic-profile/view/1913028","19-1913028")</f>
        <v>0</v>
      </c>
      <c r="B1020" t="s">
        <v>88</v>
      </c>
      <c r="C1020" t="s">
        <v>93</v>
      </c>
      <c r="D1020" t="s">
        <v>254</v>
      </c>
      <c r="F1020" t="s">
        <v>777</v>
      </c>
      <c r="G1020" t="s">
        <v>927</v>
      </c>
      <c r="H1020" t="s">
        <v>1582</v>
      </c>
      <c r="I1020">
        <v>4</v>
      </c>
      <c r="J1020" t="s">
        <v>2205</v>
      </c>
      <c r="K1020">
        <v>11213</v>
      </c>
      <c r="N1020" t="s">
        <v>2233</v>
      </c>
      <c r="O1020" t="s">
        <v>2605</v>
      </c>
      <c r="Q1020" t="s">
        <v>3249</v>
      </c>
      <c r="R1020">
        <v>3</v>
      </c>
      <c r="S1020">
        <v>0</v>
      </c>
      <c r="T1020">
        <v>267.23</v>
      </c>
      <c r="W1020">
        <v>57000</v>
      </c>
      <c r="X1020" t="s">
        <v>3792</v>
      </c>
      <c r="Y1020">
        <v>1.1</v>
      </c>
      <c r="Z1020" t="s">
        <v>358</v>
      </c>
      <c r="AA1020" t="s">
        <v>90</v>
      </c>
      <c r="AC1020" t="s">
        <v>3942</v>
      </c>
      <c r="AD1020" t="s">
        <v>254</v>
      </c>
      <c r="AF1020" t="s">
        <v>4054</v>
      </c>
      <c r="AH1020" t="s">
        <v>3510</v>
      </c>
      <c r="AJ1020" t="s">
        <v>3942</v>
      </c>
      <c r="AL1020" t="s">
        <v>4089</v>
      </c>
      <c r="AM1020" t="s">
        <v>2230</v>
      </c>
      <c r="AO1020">
        <v>993</v>
      </c>
      <c r="AQ1020">
        <v>31</v>
      </c>
      <c r="AS1020" t="s">
        <v>4113</v>
      </c>
      <c r="AU1020" t="s">
        <v>4128</v>
      </c>
      <c r="AW1020">
        <v>20</v>
      </c>
      <c r="AY1020" t="s">
        <v>4140</v>
      </c>
      <c r="BA1020" t="s">
        <v>4149</v>
      </c>
      <c r="BC1020" t="s">
        <v>4155</v>
      </c>
      <c r="BE1020" t="s">
        <v>4159</v>
      </c>
      <c r="BF1020" t="s">
        <v>4281</v>
      </c>
      <c r="BG1020" t="s">
        <v>4128</v>
      </c>
      <c r="BM1020" t="s">
        <v>4627</v>
      </c>
    </row>
    <row r="1021" spans="1:65">
      <c r="A1021" s="1">
        <f>HYPERLINK("https://lsnyc.legalserver.org/matter/dynamic-profile/view/1892214","19-1892214")</f>
        <v>0</v>
      </c>
      <c r="B1021" t="s">
        <v>88</v>
      </c>
      <c r="C1021" t="s">
        <v>93</v>
      </c>
      <c r="D1021" t="s">
        <v>446</v>
      </c>
      <c r="F1021" t="s">
        <v>952</v>
      </c>
      <c r="G1021" t="s">
        <v>1487</v>
      </c>
      <c r="H1021" t="s">
        <v>1585</v>
      </c>
      <c r="I1021" t="s">
        <v>2175</v>
      </c>
      <c r="J1021" t="s">
        <v>2205</v>
      </c>
      <c r="K1021">
        <v>11213</v>
      </c>
      <c r="N1021" t="s">
        <v>2233</v>
      </c>
      <c r="O1021" t="s">
        <v>2842</v>
      </c>
      <c r="P1021" t="s">
        <v>2930</v>
      </c>
      <c r="R1021">
        <v>3</v>
      </c>
      <c r="S1021">
        <v>1</v>
      </c>
      <c r="T1021">
        <v>201.94</v>
      </c>
      <c r="W1021">
        <v>52000</v>
      </c>
      <c r="X1021" t="s">
        <v>3793</v>
      </c>
      <c r="Y1021">
        <v>0</v>
      </c>
      <c r="AA1021" t="s">
        <v>90</v>
      </c>
      <c r="AC1021" t="s">
        <v>3942</v>
      </c>
      <c r="AD1021" t="s">
        <v>166</v>
      </c>
      <c r="AF1021" t="s">
        <v>4058</v>
      </c>
      <c r="AH1021" t="s">
        <v>4076</v>
      </c>
      <c r="AJ1021" t="s">
        <v>3942</v>
      </c>
      <c r="AK1021" t="s">
        <v>4084</v>
      </c>
      <c r="AM1021" t="s">
        <v>2230</v>
      </c>
      <c r="AO1021">
        <v>1071.14</v>
      </c>
      <c r="AQ1021">
        <v>35</v>
      </c>
      <c r="AS1021" t="s">
        <v>4113</v>
      </c>
      <c r="AU1021" t="s">
        <v>4128</v>
      </c>
      <c r="AW1021">
        <v>19</v>
      </c>
      <c r="AY1021" t="s">
        <v>4140</v>
      </c>
      <c r="BA1021" t="s">
        <v>4149</v>
      </c>
      <c r="BB1021" t="s">
        <v>4154</v>
      </c>
      <c r="BG1021" t="s">
        <v>4560</v>
      </c>
      <c r="BM1021" t="s">
        <v>4627</v>
      </c>
    </row>
    <row r="1022" spans="1:65">
      <c r="A1022" s="1">
        <f>HYPERLINK("https://lsnyc.legalserver.org/matter/dynamic-profile/view/1906010","19-1906010")</f>
        <v>0</v>
      </c>
      <c r="B1022" t="s">
        <v>88</v>
      </c>
      <c r="C1022" t="s">
        <v>93</v>
      </c>
      <c r="D1022" t="s">
        <v>443</v>
      </c>
      <c r="F1022" t="s">
        <v>625</v>
      </c>
      <c r="G1022" t="s">
        <v>1449</v>
      </c>
      <c r="H1022" t="s">
        <v>1633</v>
      </c>
      <c r="J1022" t="s">
        <v>2205</v>
      </c>
      <c r="K1022">
        <v>11233</v>
      </c>
      <c r="N1022" t="s">
        <v>2233</v>
      </c>
      <c r="O1022" t="s">
        <v>2843</v>
      </c>
      <c r="Q1022" t="s">
        <v>3364</v>
      </c>
      <c r="R1022">
        <v>1</v>
      </c>
      <c r="S1022">
        <v>0</v>
      </c>
      <c r="T1022">
        <v>0</v>
      </c>
      <c r="W1022">
        <v>0</v>
      </c>
      <c r="Y1022">
        <v>0</v>
      </c>
      <c r="AA1022" t="s">
        <v>90</v>
      </c>
      <c r="AB1022" t="s">
        <v>3940</v>
      </c>
      <c r="AC1022" t="s">
        <v>3943</v>
      </c>
      <c r="AF1022" t="s">
        <v>4054</v>
      </c>
      <c r="AG1022" t="s">
        <v>4075</v>
      </c>
      <c r="AJ1022" t="s">
        <v>3943</v>
      </c>
      <c r="AL1022" t="s">
        <v>4070</v>
      </c>
      <c r="AM1022" t="s">
        <v>2230</v>
      </c>
      <c r="AN1022" t="s">
        <v>4107</v>
      </c>
      <c r="AO1022">
        <v>0</v>
      </c>
      <c r="AQ1022">
        <v>1117</v>
      </c>
      <c r="AS1022" t="s">
        <v>4113</v>
      </c>
      <c r="AT1022" t="s">
        <v>4127</v>
      </c>
      <c r="AW1022">
        <v>1</v>
      </c>
      <c r="AY1022" t="s">
        <v>4140</v>
      </c>
      <c r="BA1022" t="s">
        <v>4149</v>
      </c>
      <c r="BB1022" t="s">
        <v>4154</v>
      </c>
      <c r="BC1022" t="s">
        <v>4128</v>
      </c>
      <c r="BF1022" t="s">
        <v>4281</v>
      </c>
      <c r="BG1022" t="s">
        <v>4327</v>
      </c>
      <c r="BM1022" t="s">
        <v>4627</v>
      </c>
    </row>
    <row r="1023" spans="1:65">
      <c r="A1023" s="1">
        <f>HYPERLINK("https://lsnyc.legalserver.org/matter/dynamic-profile/view/1912381","19-1912381")</f>
        <v>0</v>
      </c>
      <c r="B1023" t="s">
        <v>88</v>
      </c>
      <c r="C1023" t="s">
        <v>93</v>
      </c>
      <c r="D1023" t="s">
        <v>447</v>
      </c>
      <c r="F1023" t="s">
        <v>845</v>
      </c>
      <c r="G1023" t="s">
        <v>1377</v>
      </c>
      <c r="H1023" t="s">
        <v>1633</v>
      </c>
      <c r="I1023" t="s">
        <v>2077</v>
      </c>
      <c r="J1023" t="s">
        <v>2205</v>
      </c>
      <c r="K1023">
        <v>11233</v>
      </c>
      <c r="N1023" t="s">
        <v>2233</v>
      </c>
      <c r="O1023" t="s">
        <v>2690</v>
      </c>
      <c r="P1023" t="s">
        <v>2930</v>
      </c>
      <c r="R1023">
        <v>2</v>
      </c>
      <c r="S1023">
        <v>0</v>
      </c>
      <c r="T1023">
        <v>47.31</v>
      </c>
      <c r="W1023">
        <v>8000</v>
      </c>
      <c r="Y1023">
        <v>0</v>
      </c>
      <c r="AA1023" t="s">
        <v>70</v>
      </c>
      <c r="AB1023" t="s">
        <v>3940</v>
      </c>
      <c r="AC1023" t="s">
        <v>3944</v>
      </c>
      <c r="AF1023" t="s">
        <v>4054</v>
      </c>
      <c r="AG1023" t="s">
        <v>4075</v>
      </c>
      <c r="AJ1023" t="s">
        <v>3942</v>
      </c>
      <c r="AL1023" t="s">
        <v>4086</v>
      </c>
      <c r="AM1023" t="s">
        <v>2230</v>
      </c>
      <c r="AO1023">
        <v>1375</v>
      </c>
      <c r="AQ1023">
        <v>359</v>
      </c>
      <c r="AS1023" t="s">
        <v>4113</v>
      </c>
      <c r="AU1023" t="s">
        <v>4128</v>
      </c>
      <c r="AW1023">
        <v>10</v>
      </c>
      <c r="AY1023" t="s">
        <v>4140</v>
      </c>
      <c r="AZ1023" t="s">
        <v>4148</v>
      </c>
      <c r="BB1023" t="s">
        <v>4154</v>
      </c>
      <c r="BF1023" t="s">
        <v>4281</v>
      </c>
      <c r="BG1023" t="s">
        <v>4303</v>
      </c>
      <c r="BM1023" t="s">
        <v>4627</v>
      </c>
    </row>
    <row r="1024" spans="1:65">
      <c r="A1024" s="1">
        <f>HYPERLINK("https://lsnyc.legalserver.org/matter/dynamic-profile/view/1906014","19-1906014")</f>
        <v>0</v>
      </c>
      <c r="B1024" t="s">
        <v>88</v>
      </c>
      <c r="C1024" t="s">
        <v>93</v>
      </c>
      <c r="D1024" t="s">
        <v>443</v>
      </c>
      <c r="F1024" t="s">
        <v>953</v>
      </c>
      <c r="G1024" t="s">
        <v>1139</v>
      </c>
      <c r="H1024" t="s">
        <v>1577</v>
      </c>
      <c r="I1024" t="s">
        <v>2176</v>
      </c>
      <c r="J1024" t="s">
        <v>2205</v>
      </c>
      <c r="K1024">
        <v>11233</v>
      </c>
      <c r="N1024" t="s">
        <v>2233</v>
      </c>
      <c r="O1024" t="s">
        <v>2844</v>
      </c>
      <c r="P1024" t="s">
        <v>2930</v>
      </c>
      <c r="R1024">
        <v>2</v>
      </c>
      <c r="S1024">
        <v>0</v>
      </c>
      <c r="T1024">
        <v>195.15</v>
      </c>
      <c r="W1024">
        <v>33000</v>
      </c>
      <c r="Y1024">
        <v>0</v>
      </c>
      <c r="AA1024" t="s">
        <v>90</v>
      </c>
      <c r="AC1024" t="s">
        <v>3942</v>
      </c>
      <c r="AD1024" t="s">
        <v>443</v>
      </c>
      <c r="AF1024" t="s">
        <v>4061</v>
      </c>
      <c r="AH1024" t="s">
        <v>3510</v>
      </c>
      <c r="AJ1024" t="s">
        <v>3943</v>
      </c>
      <c r="AK1024" t="s">
        <v>4084</v>
      </c>
      <c r="AM1024" t="s">
        <v>2230</v>
      </c>
      <c r="AO1024">
        <v>1418</v>
      </c>
      <c r="AQ1024">
        <v>1117</v>
      </c>
      <c r="AS1024" t="s">
        <v>4113</v>
      </c>
      <c r="AU1024" t="s">
        <v>4128</v>
      </c>
      <c r="AW1024">
        <v>18</v>
      </c>
      <c r="AY1024" t="s">
        <v>4140</v>
      </c>
      <c r="BA1024" t="s">
        <v>4149</v>
      </c>
      <c r="BB1024" t="s">
        <v>4154</v>
      </c>
      <c r="BC1024" t="s">
        <v>4128</v>
      </c>
      <c r="BE1024" t="s">
        <v>4159</v>
      </c>
      <c r="BF1024" t="s">
        <v>4281</v>
      </c>
      <c r="BG1024" t="s">
        <v>4327</v>
      </c>
      <c r="BM1024" t="s">
        <v>4627</v>
      </c>
    </row>
    <row r="1025" spans="1:65">
      <c r="A1025" s="1">
        <f>HYPERLINK("https://lsnyc.legalserver.org/matter/dynamic-profile/view/1900799","19-1900799")</f>
        <v>0</v>
      </c>
      <c r="B1025" t="s">
        <v>88</v>
      </c>
      <c r="C1025" t="s">
        <v>93</v>
      </c>
      <c r="D1025" t="s">
        <v>440</v>
      </c>
      <c r="F1025" t="s">
        <v>949</v>
      </c>
      <c r="G1025" t="s">
        <v>1494</v>
      </c>
      <c r="H1025" t="s">
        <v>1585</v>
      </c>
      <c r="I1025" t="s">
        <v>1921</v>
      </c>
      <c r="J1025" t="s">
        <v>2205</v>
      </c>
      <c r="K1025">
        <v>11213</v>
      </c>
      <c r="N1025" t="s">
        <v>2233</v>
      </c>
      <c r="O1025" t="s">
        <v>2839</v>
      </c>
      <c r="Q1025" t="s">
        <v>3362</v>
      </c>
      <c r="R1025">
        <v>3</v>
      </c>
      <c r="S1025">
        <v>1</v>
      </c>
      <c r="T1025">
        <v>77.67</v>
      </c>
      <c r="W1025">
        <v>20000</v>
      </c>
      <c r="X1025" t="s">
        <v>3794</v>
      </c>
      <c r="Y1025">
        <v>0</v>
      </c>
      <c r="AA1025" t="s">
        <v>90</v>
      </c>
      <c r="AC1025" t="s">
        <v>3942</v>
      </c>
      <c r="AD1025" t="s">
        <v>431</v>
      </c>
      <c r="AF1025" t="s">
        <v>4054</v>
      </c>
      <c r="AH1025" t="s">
        <v>4080</v>
      </c>
      <c r="AJ1025" t="s">
        <v>3942</v>
      </c>
      <c r="AK1025" t="s">
        <v>4084</v>
      </c>
      <c r="AM1025" t="s">
        <v>2230</v>
      </c>
      <c r="AO1025">
        <v>1200</v>
      </c>
      <c r="AQ1025">
        <v>35</v>
      </c>
      <c r="AS1025" t="s">
        <v>4113</v>
      </c>
      <c r="AT1025" t="s">
        <v>4127</v>
      </c>
      <c r="AW1025">
        <v>10</v>
      </c>
      <c r="AY1025" t="s">
        <v>4140</v>
      </c>
      <c r="BA1025" t="s">
        <v>4149</v>
      </c>
      <c r="BC1025" t="s">
        <v>4155</v>
      </c>
      <c r="BF1025" t="s">
        <v>4281</v>
      </c>
      <c r="BM1025" t="s">
        <v>4627</v>
      </c>
    </row>
    <row r="1026" spans="1:65">
      <c r="A1026" s="1">
        <f>HYPERLINK("https://lsnyc.legalserver.org/matter/dynamic-profile/view/1905984","19-1905984")</f>
        <v>0</v>
      </c>
      <c r="B1026" t="s">
        <v>88</v>
      </c>
      <c r="C1026" t="s">
        <v>93</v>
      </c>
      <c r="D1026" t="s">
        <v>443</v>
      </c>
      <c r="F1026" t="s">
        <v>636</v>
      </c>
      <c r="G1026" t="s">
        <v>916</v>
      </c>
      <c r="H1026" t="s">
        <v>1577</v>
      </c>
      <c r="I1026" t="s">
        <v>2177</v>
      </c>
      <c r="J1026" t="s">
        <v>2205</v>
      </c>
      <c r="K1026">
        <v>11233</v>
      </c>
      <c r="N1026" t="s">
        <v>2233</v>
      </c>
      <c r="O1026" t="s">
        <v>2845</v>
      </c>
      <c r="P1026" t="s">
        <v>2930</v>
      </c>
      <c r="R1026">
        <v>2</v>
      </c>
      <c r="S1026">
        <v>0</v>
      </c>
      <c r="T1026">
        <v>620.9299999999999</v>
      </c>
      <c r="V1026" t="s">
        <v>3458</v>
      </c>
      <c r="W1026">
        <v>105000</v>
      </c>
      <c r="X1026" t="s">
        <v>3495</v>
      </c>
      <c r="Y1026">
        <v>0</v>
      </c>
      <c r="AA1026" t="s">
        <v>90</v>
      </c>
      <c r="AC1026" t="s">
        <v>3942</v>
      </c>
      <c r="AF1026" t="s">
        <v>4061</v>
      </c>
      <c r="AG1026" t="s">
        <v>4075</v>
      </c>
      <c r="AJ1026" t="s">
        <v>3942</v>
      </c>
      <c r="AL1026" t="s">
        <v>4089</v>
      </c>
      <c r="AM1026" t="s">
        <v>2230</v>
      </c>
      <c r="AO1026">
        <v>1001.91</v>
      </c>
      <c r="AQ1026">
        <v>1117</v>
      </c>
      <c r="AS1026" t="s">
        <v>4113</v>
      </c>
      <c r="AU1026" t="s">
        <v>4128</v>
      </c>
      <c r="AW1026">
        <v>40</v>
      </c>
      <c r="AY1026" t="s">
        <v>4140</v>
      </c>
      <c r="BA1026" t="s">
        <v>4149</v>
      </c>
      <c r="BC1026" t="s">
        <v>4155</v>
      </c>
      <c r="BE1026" t="s">
        <v>4159</v>
      </c>
      <c r="BF1026" t="s">
        <v>4281</v>
      </c>
      <c r="BG1026" t="s">
        <v>4303</v>
      </c>
      <c r="BM1026" t="s">
        <v>4627</v>
      </c>
    </row>
    <row r="1027" spans="1:65">
      <c r="A1027" s="1">
        <f>HYPERLINK("https://lsnyc.legalserver.org/matter/dynamic-profile/view/1880021","18-1880021")</f>
        <v>0</v>
      </c>
      <c r="B1027" t="s">
        <v>88</v>
      </c>
      <c r="C1027" t="s">
        <v>93</v>
      </c>
      <c r="D1027" t="s">
        <v>179</v>
      </c>
      <c r="F1027" t="s">
        <v>625</v>
      </c>
      <c r="G1027" t="s">
        <v>1082</v>
      </c>
      <c r="H1027" t="s">
        <v>1830</v>
      </c>
      <c r="I1027" t="s">
        <v>1945</v>
      </c>
      <c r="J1027" t="s">
        <v>2205</v>
      </c>
      <c r="K1027">
        <v>11207</v>
      </c>
      <c r="N1027" t="s">
        <v>2233</v>
      </c>
      <c r="O1027" t="s">
        <v>2712</v>
      </c>
      <c r="Q1027" t="s">
        <v>3325</v>
      </c>
      <c r="R1027">
        <v>2</v>
      </c>
      <c r="S1027">
        <v>0</v>
      </c>
      <c r="T1027">
        <v>55.12</v>
      </c>
      <c r="W1027">
        <v>9072</v>
      </c>
      <c r="X1027" t="s">
        <v>3656</v>
      </c>
      <c r="Y1027">
        <v>0.45</v>
      </c>
      <c r="Z1027" t="s">
        <v>142</v>
      </c>
      <c r="AA1027" t="s">
        <v>90</v>
      </c>
      <c r="AC1027" t="s">
        <v>3942</v>
      </c>
      <c r="AD1027" t="s">
        <v>4008</v>
      </c>
      <c r="AF1027" t="s">
        <v>4059</v>
      </c>
      <c r="AH1027" t="s">
        <v>4078</v>
      </c>
      <c r="AJ1027" t="s">
        <v>3942</v>
      </c>
      <c r="AL1027" t="s">
        <v>4086</v>
      </c>
      <c r="AM1027" t="s">
        <v>2230</v>
      </c>
      <c r="AO1027">
        <v>1365</v>
      </c>
      <c r="AQ1027">
        <v>6</v>
      </c>
      <c r="AS1027" t="s">
        <v>4113</v>
      </c>
      <c r="AU1027" t="s">
        <v>4130</v>
      </c>
      <c r="AW1027">
        <v>5</v>
      </c>
      <c r="AY1027" t="s">
        <v>4140</v>
      </c>
      <c r="BA1027" t="s">
        <v>4149</v>
      </c>
      <c r="BB1027" t="s">
        <v>4154</v>
      </c>
      <c r="BE1027" t="s">
        <v>4162</v>
      </c>
      <c r="BG1027" t="s">
        <v>4561</v>
      </c>
      <c r="BM1027" t="s">
        <v>4627</v>
      </c>
    </row>
    <row r="1028" spans="1:65">
      <c r="A1028" s="1">
        <f>HYPERLINK("https://lsnyc.legalserver.org/matter/dynamic-profile/view/1900793","19-1900793")</f>
        <v>0</v>
      </c>
      <c r="B1028" t="s">
        <v>88</v>
      </c>
      <c r="C1028" t="s">
        <v>93</v>
      </c>
      <c r="D1028" t="s">
        <v>440</v>
      </c>
      <c r="F1028" t="s">
        <v>954</v>
      </c>
      <c r="G1028" t="s">
        <v>1039</v>
      </c>
      <c r="H1028" t="s">
        <v>1848</v>
      </c>
      <c r="I1028" t="s">
        <v>1942</v>
      </c>
      <c r="J1028" t="s">
        <v>2205</v>
      </c>
      <c r="K1028">
        <v>11213</v>
      </c>
      <c r="N1028" t="s">
        <v>2233</v>
      </c>
      <c r="O1028" t="s">
        <v>2846</v>
      </c>
      <c r="Q1028" t="s">
        <v>3365</v>
      </c>
      <c r="R1028">
        <v>2</v>
      </c>
      <c r="S1028">
        <v>0</v>
      </c>
      <c r="T1028">
        <v>224.33</v>
      </c>
      <c r="W1028">
        <v>37934.16</v>
      </c>
      <c r="X1028" t="s">
        <v>3795</v>
      </c>
      <c r="Y1028">
        <v>0</v>
      </c>
      <c r="AA1028" t="s">
        <v>90</v>
      </c>
      <c r="AC1028" t="s">
        <v>3942</v>
      </c>
      <c r="AD1028" t="s">
        <v>431</v>
      </c>
      <c r="AF1028" t="s">
        <v>4054</v>
      </c>
      <c r="AH1028" t="s">
        <v>4080</v>
      </c>
      <c r="AJ1028" t="s">
        <v>3942</v>
      </c>
      <c r="AK1028" t="s">
        <v>4084</v>
      </c>
      <c r="AM1028" t="s">
        <v>2230</v>
      </c>
      <c r="AO1028">
        <v>652.36</v>
      </c>
      <c r="AQ1028">
        <v>6</v>
      </c>
      <c r="AS1028" t="s">
        <v>4113</v>
      </c>
      <c r="AU1028" t="s">
        <v>4128</v>
      </c>
      <c r="AW1028">
        <v>45</v>
      </c>
      <c r="AY1028" t="s">
        <v>4140</v>
      </c>
      <c r="BA1028" t="s">
        <v>4149</v>
      </c>
      <c r="BC1028" t="s">
        <v>4155</v>
      </c>
      <c r="BF1028" t="s">
        <v>4281</v>
      </c>
      <c r="BM1028" t="s">
        <v>4627</v>
      </c>
    </row>
    <row r="1029" spans="1:65">
      <c r="A1029" s="1">
        <f>HYPERLINK("https://lsnyc.legalserver.org/matter/dynamic-profile/view/1880018","18-1880018")</f>
        <v>0</v>
      </c>
      <c r="B1029" t="s">
        <v>88</v>
      </c>
      <c r="C1029" t="s">
        <v>93</v>
      </c>
      <c r="D1029" t="s">
        <v>179</v>
      </c>
      <c r="F1029" t="s">
        <v>625</v>
      </c>
      <c r="G1029" t="s">
        <v>1082</v>
      </c>
      <c r="H1029" t="s">
        <v>1830</v>
      </c>
      <c r="I1029" t="s">
        <v>1945</v>
      </c>
      <c r="J1029" t="s">
        <v>2205</v>
      </c>
      <c r="K1029">
        <v>11207</v>
      </c>
      <c r="N1029" t="s">
        <v>2233</v>
      </c>
      <c r="O1029" t="s">
        <v>2712</v>
      </c>
      <c r="Q1029" t="s">
        <v>3325</v>
      </c>
      <c r="R1029">
        <v>2</v>
      </c>
      <c r="S1029">
        <v>0</v>
      </c>
      <c r="T1029">
        <v>55.12</v>
      </c>
      <c r="W1029">
        <v>9072</v>
      </c>
      <c r="X1029" t="s">
        <v>3656</v>
      </c>
      <c r="Y1029">
        <v>0.3</v>
      </c>
      <c r="Z1029" t="s">
        <v>142</v>
      </c>
      <c r="AA1029" t="s">
        <v>90</v>
      </c>
      <c r="AC1029" t="s">
        <v>3942</v>
      </c>
      <c r="AD1029" t="s">
        <v>167</v>
      </c>
      <c r="AF1029" t="s">
        <v>4054</v>
      </c>
      <c r="AH1029" t="s">
        <v>3510</v>
      </c>
      <c r="AJ1029" t="s">
        <v>3942</v>
      </c>
      <c r="AL1029" t="s">
        <v>4086</v>
      </c>
      <c r="AM1029" t="s">
        <v>2230</v>
      </c>
      <c r="AO1029">
        <v>1365</v>
      </c>
      <c r="AQ1029">
        <v>6</v>
      </c>
      <c r="AS1029" t="s">
        <v>4113</v>
      </c>
      <c r="AU1029" t="s">
        <v>4130</v>
      </c>
      <c r="AW1029">
        <v>5</v>
      </c>
      <c r="AY1029" t="s">
        <v>4140</v>
      </c>
      <c r="BA1029" t="s">
        <v>4149</v>
      </c>
      <c r="BB1029" t="s">
        <v>4154</v>
      </c>
      <c r="BE1029" t="s">
        <v>4162</v>
      </c>
      <c r="BF1029" t="s">
        <v>4281</v>
      </c>
      <c r="BG1029" t="s">
        <v>4054</v>
      </c>
      <c r="BM1029" t="s">
        <v>4627</v>
      </c>
    </row>
    <row r="1030" spans="1:65">
      <c r="A1030" s="1">
        <f>HYPERLINK("https://lsnyc.legalserver.org/matter/dynamic-profile/view/1879248","18-1879248")</f>
        <v>0</v>
      </c>
      <c r="B1030" t="s">
        <v>88</v>
      </c>
      <c r="C1030" t="s">
        <v>93</v>
      </c>
      <c r="D1030" t="s">
        <v>167</v>
      </c>
      <c r="F1030" t="s">
        <v>954</v>
      </c>
      <c r="G1030" t="s">
        <v>1039</v>
      </c>
      <c r="H1030" t="s">
        <v>1848</v>
      </c>
      <c r="I1030" t="s">
        <v>1942</v>
      </c>
      <c r="J1030" t="s">
        <v>2205</v>
      </c>
      <c r="K1030">
        <v>11213</v>
      </c>
      <c r="M1030" t="s">
        <v>2230</v>
      </c>
      <c r="N1030" t="s">
        <v>2233</v>
      </c>
      <c r="O1030" t="s">
        <v>2846</v>
      </c>
      <c r="Q1030" t="s">
        <v>3365</v>
      </c>
      <c r="R1030">
        <v>2</v>
      </c>
      <c r="S1030">
        <v>0</v>
      </c>
      <c r="T1030">
        <v>230.46</v>
      </c>
      <c r="W1030">
        <v>37934.16</v>
      </c>
      <c r="Y1030">
        <v>0.2</v>
      </c>
      <c r="Z1030" t="s">
        <v>142</v>
      </c>
      <c r="AA1030" t="s">
        <v>90</v>
      </c>
      <c r="AC1030" t="s">
        <v>3942</v>
      </c>
      <c r="AD1030" t="s">
        <v>365</v>
      </c>
      <c r="AF1030" t="s">
        <v>4058</v>
      </c>
      <c r="AH1030" t="s">
        <v>4076</v>
      </c>
      <c r="AJ1030" t="s">
        <v>3942</v>
      </c>
      <c r="AK1030" t="s">
        <v>4084</v>
      </c>
      <c r="AM1030" t="s">
        <v>2230</v>
      </c>
      <c r="AO1030">
        <v>652.36</v>
      </c>
      <c r="AQ1030">
        <v>6</v>
      </c>
      <c r="AS1030" t="s">
        <v>4113</v>
      </c>
      <c r="AU1030" t="s">
        <v>4128</v>
      </c>
      <c r="AW1030">
        <v>45</v>
      </c>
      <c r="AY1030" t="s">
        <v>4140</v>
      </c>
      <c r="BB1030" t="s">
        <v>4154</v>
      </c>
      <c r="BG1030" t="s">
        <v>4301</v>
      </c>
      <c r="BM1030" t="s">
        <v>4627</v>
      </c>
    </row>
    <row r="1031" spans="1:65">
      <c r="A1031" s="1">
        <f>HYPERLINK("https://lsnyc.legalserver.org/matter/dynamic-profile/view/1858154","18-1858154")</f>
        <v>0</v>
      </c>
      <c r="B1031" t="s">
        <v>88</v>
      </c>
      <c r="C1031" t="s">
        <v>93</v>
      </c>
      <c r="D1031" t="s">
        <v>441</v>
      </c>
      <c r="F1031" t="s">
        <v>955</v>
      </c>
      <c r="G1031" t="s">
        <v>1496</v>
      </c>
      <c r="H1031" t="s">
        <v>1752</v>
      </c>
      <c r="I1031" t="s">
        <v>1924</v>
      </c>
      <c r="J1031" t="s">
        <v>2205</v>
      </c>
      <c r="K1031">
        <v>11237</v>
      </c>
      <c r="N1031" t="s">
        <v>2233</v>
      </c>
      <c r="O1031" t="s">
        <v>2847</v>
      </c>
      <c r="Q1031" t="s">
        <v>3366</v>
      </c>
      <c r="R1031">
        <v>1</v>
      </c>
      <c r="S1031">
        <v>0</v>
      </c>
      <c r="T1031">
        <v>247.12</v>
      </c>
      <c r="U1031" t="s">
        <v>3447</v>
      </c>
      <c r="W1031">
        <v>30000</v>
      </c>
      <c r="Y1031">
        <v>0</v>
      </c>
      <c r="AA1031" t="s">
        <v>3897</v>
      </c>
      <c r="AC1031" t="s">
        <v>3942</v>
      </c>
      <c r="AD1031" t="s">
        <v>3953</v>
      </c>
      <c r="AE1031" t="s">
        <v>4049</v>
      </c>
      <c r="AH1031" t="s">
        <v>4079</v>
      </c>
      <c r="AJ1031" t="s">
        <v>3942</v>
      </c>
      <c r="AK1031" t="s">
        <v>4084</v>
      </c>
      <c r="AM1031" t="s">
        <v>2230</v>
      </c>
      <c r="AO1031">
        <v>1570</v>
      </c>
      <c r="AQ1031">
        <v>8</v>
      </c>
      <c r="AS1031" t="s">
        <v>4113</v>
      </c>
      <c r="AT1031" t="s">
        <v>4127</v>
      </c>
      <c r="AW1031">
        <v>8</v>
      </c>
      <c r="AY1031" t="s">
        <v>4140</v>
      </c>
      <c r="BB1031" t="s">
        <v>4154</v>
      </c>
      <c r="BF1031" t="s">
        <v>4281</v>
      </c>
      <c r="BM1031" t="s">
        <v>4627</v>
      </c>
    </row>
    <row r="1032" spans="1:65">
      <c r="A1032" s="1">
        <f>HYPERLINK("https://lsnyc.legalserver.org/matter/dynamic-profile/view/1879657","18-1879657")</f>
        <v>0</v>
      </c>
      <c r="B1032" t="s">
        <v>88</v>
      </c>
      <c r="C1032" t="s">
        <v>93</v>
      </c>
      <c r="D1032" t="s">
        <v>448</v>
      </c>
      <c r="F1032" t="s">
        <v>481</v>
      </c>
      <c r="G1032" t="s">
        <v>1434</v>
      </c>
      <c r="H1032" t="s">
        <v>1830</v>
      </c>
      <c r="I1032" t="s">
        <v>1924</v>
      </c>
      <c r="J1032" t="s">
        <v>2205</v>
      </c>
      <c r="K1032">
        <v>11207</v>
      </c>
      <c r="N1032" t="s">
        <v>2233</v>
      </c>
      <c r="O1032" t="s">
        <v>2763</v>
      </c>
      <c r="P1032" t="s">
        <v>2930</v>
      </c>
      <c r="R1032">
        <v>1</v>
      </c>
      <c r="S1032">
        <v>0</v>
      </c>
      <c r="T1032">
        <v>494.23</v>
      </c>
      <c r="W1032">
        <v>60000</v>
      </c>
      <c r="Y1032">
        <v>0</v>
      </c>
      <c r="AA1032" t="s">
        <v>90</v>
      </c>
      <c r="AC1032" t="s">
        <v>3942</v>
      </c>
      <c r="AD1032" t="s">
        <v>167</v>
      </c>
      <c r="AF1032" t="s">
        <v>4054</v>
      </c>
      <c r="AH1032" t="s">
        <v>3510</v>
      </c>
      <c r="AJ1032" t="s">
        <v>3942</v>
      </c>
      <c r="AL1032" t="s">
        <v>4086</v>
      </c>
      <c r="AM1032" t="s">
        <v>2230</v>
      </c>
      <c r="AO1032">
        <v>1000</v>
      </c>
      <c r="AQ1032">
        <v>6</v>
      </c>
      <c r="AS1032" t="s">
        <v>4113</v>
      </c>
      <c r="AU1032" t="s">
        <v>4128</v>
      </c>
      <c r="AW1032">
        <v>3</v>
      </c>
      <c r="AY1032" t="s">
        <v>4140</v>
      </c>
      <c r="BA1032" t="s">
        <v>4149</v>
      </c>
      <c r="BC1032" t="s">
        <v>4155</v>
      </c>
      <c r="BF1032" t="s">
        <v>4281</v>
      </c>
      <c r="BG1032" t="s">
        <v>4054</v>
      </c>
      <c r="BM1032" t="s">
        <v>4627</v>
      </c>
    </row>
    <row r="1033" spans="1:65">
      <c r="A1033" s="1">
        <f>HYPERLINK("https://lsnyc.legalserver.org/matter/dynamic-profile/view/0823980","17-0823980")</f>
        <v>0</v>
      </c>
      <c r="B1033" t="s">
        <v>88</v>
      </c>
      <c r="C1033" t="s">
        <v>93</v>
      </c>
      <c r="D1033" t="s">
        <v>449</v>
      </c>
      <c r="F1033" t="s">
        <v>956</v>
      </c>
      <c r="G1033" t="s">
        <v>1497</v>
      </c>
      <c r="H1033" t="s">
        <v>1849</v>
      </c>
      <c r="I1033" t="s">
        <v>1941</v>
      </c>
      <c r="J1033" t="s">
        <v>2205</v>
      </c>
      <c r="K1033">
        <v>11204</v>
      </c>
      <c r="N1033" t="s">
        <v>2233</v>
      </c>
      <c r="O1033" t="s">
        <v>2848</v>
      </c>
      <c r="P1033" t="s">
        <v>2930</v>
      </c>
      <c r="R1033">
        <v>1</v>
      </c>
      <c r="S1033">
        <v>1</v>
      </c>
      <c r="T1033">
        <v>57.68</v>
      </c>
      <c r="U1033" t="s">
        <v>3444</v>
      </c>
      <c r="V1033" t="s">
        <v>3457</v>
      </c>
      <c r="W1033">
        <v>9240</v>
      </c>
      <c r="Y1033">
        <v>9.550000000000001</v>
      </c>
      <c r="Z1033" t="s">
        <v>3878</v>
      </c>
      <c r="AA1033" t="s">
        <v>3933</v>
      </c>
      <c r="AC1033" t="s">
        <v>3942</v>
      </c>
      <c r="AD1033" t="s">
        <v>4044</v>
      </c>
      <c r="AE1033" t="s">
        <v>4049</v>
      </c>
      <c r="AH1033" t="s">
        <v>3510</v>
      </c>
      <c r="AI1033" t="s">
        <v>4082</v>
      </c>
      <c r="AL1033" t="s">
        <v>4091</v>
      </c>
      <c r="AM1033" t="s">
        <v>4106</v>
      </c>
      <c r="AO1033">
        <v>1038</v>
      </c>
      <c r="AQ1033">
        <v>40</v>
      </c>
      <c r="AS1033" t="s">
        <v>4113</v>
      </c>
      <c r="AU1033" t="s">
        <v>4133</v>
      </c>
      <c r="AW1033">
        <v>16</v>
      </c>
      <c r="AY1033" t="s">
        <v>4147</v>
      </c>
      <c r="BB1033" t="s">
        <v>4154</v>
      </c>
      <c r="BE1033" t="s">
        <v>4256</v>
      </c>
      <c r="BF1033" t="s">
        <v>4281</v>
      </c>
      <c r="BM1033" t="s">
        <v>4627</v>
      </c>
    </row>
    <row r="1034" spans="1:65">
      <c r="A1034" s="1">
        <f>HYPERLINK("https://lsnyc.legalserver.org/matter/dynamic-profile/view/1879667","18-1879667")</f>
        <v>0</v>
      </c>
      <c r="B1034" t="s">
        <v>88</v>
      </c>
      <c r="C1034" t="s">
        <v>93</v>
      </c>
      <c r="D1034" t="s">
        <v>448</v>
      </c>
      <c r="F1034" t="s">
        <v>481</v>
      </c>
      <c r="G1034" t="s">
        <v>1434</v>
      </c>
      <c r="H1034" t="s">
        <v>1830</v>
      </c>
      <c r="I1034" t="s">
        <v>1924</v>
      </c>
      <c r="J1034" t="s">
        <v>2205</v>
      </c>
      <c r="K1034">
        <v>11207</v>
      </c>
      <c r="N1034" t="s">
        <v>2233</v>
      </c>
      <c r="O1034" t="s">
        <v>2763</v>
      </c>
      <c r="P1034" t="s">
        <v>2930</v>
      </c>
      <c r="R1034">
        <v>1</v>
      </c>
      <c r="S1034">
        <v>0</v>
      </c>
      <c r="T1034">
        <v>494.23</v>
      </c>
      <c r="W1034">
        <v>60000</v>
      </c>
      <c r="X1034" t="s">
        <v>3796</v>
      </c>
      <c r="Y1034">
        <v>0</v>
      </c>
      <c r="AA1034" t="s">
        <v>90</v>
      </c>
      <c r="AC1034" t="s">
        <v>3942</v>
      </c>
      <c r="AD1034" t="s">
        <v>141</v>
      </c>
      <c r="AF1034" t="s">
        <v>4059</v>
      </c>
      <c r="AH1034" t="s">
        <v>4081</v>
      </c>
      <c r="AJ1034" t="s">
        <v>3942</v>
      </c>
      <c r="AL1034" t="s">
        <v>4086</v>
      </c>
      <c r="AM1034" t="s">
        <v>2230</v>
      </c>
      <c r="AO1034">
        <v>1000</v>
      </c>
      <c r="AQ1034">
        <v>6</v>
      </c>
      <c r="AS1034" t="s">
        <v>4113</v>
      </c>
      <c r="AU1034" t="s">
        <v>4128</v>
      </c>
      <c r="AW1034">
        <v>3</v>
      </c>
      <c r="AY1034" t="s">
        <v>4140</v>
      </c>
      <c r="BA1034" t="s">
        <v>4149</v>
      </c>
      <c r="BC1034" t="s">
        <v>4155</v>
      </c>
      <c r="BE1034" t="s">
        <v>4128</v>
      </c>
      <c r="BF1034" t="s">
        <v>4281</v>
      </c>
      <c r="BG1034" t="s">
        <v>4054</v>
      </c>
      <c r="BM1034" t="s">
        <v>4627</v>
      </c>
    </row>
    <row r="1035" spans="1:65">
      <c r="A1035" s="1">
        <f>HYPERLINK("https://lsnyc.legalserver.org/matter/dynamic-profile/view/1879674","18-1879674")</f>
        <v>0</v>
      </c>
      <c r="B1035" t="s">
        <v>88</v>
      </c>
      <c r="C1035" t="s">
        <v>93</v>
      </c>
      <c r="D1035" t="s">
        <v>448</v>
      </c>
      <c r="F1035" t="s">
        <v>481</v>
      </c>
      <c r="G1035" t="s">
        <v>1434</v>
      </c>
      <c r="H1035" t="s">
        <v>1830</v>
      </c>
      <c r="I1035" t="s">
        <v>1924</v>
      </c>
      <c r="J1035" t="s">
        <v>2205</v>
      </c>
      <c r="K1035">
        <v>11207</v>
      </c>
      <c r="N1035" t="s">
        <v>2233</v>
      </c>
      <c r="O1035" t="s">
        <v>2763</v>
      </c>
      <c r="P1035" t="s">
        <v>2930</v>
      </c>
      <c r="R1035">
        <v>1</v>
      </c>
      <c r="S1035">
        <v>0</v>
      </c>
      <c r="T1035">
        <v>494.23</v>
      </c>
      <c r="W1035">
        <v>60000</v>
      </c>
      <c r="X1035" t="s">
        <v>3797</v>
      </c>
      <c r="Y1035">
        <v>0</v>
      </c>
      <c r="AA1035" t="s">
        <v>90</v>
      </c>
      <c r="AC1035" t="s">
        <v>3942</v>
      </c>
      <c r="AD1035" t="s">
        <v>3981</v>
      </c>
      <c r="AF1035" t="s">
        <v>4062</v>
      </c>
      <c r="AH1035" t="s">
        <v>3510</v>
      </c>
      <c r="AJ1035" t="s">
        <v>3942</v>
      </c>
      <c r="AL1035" t="s">
        <v>4086</v>
      </c>
      <c r="AM1035" t="s">
        <v>2230</v>
      </c>
      <c r="AO1035">
        <v>1000</v>
      </c>
      <c r="AQ1035">
        <v>6</v>
      </c>
      <c r="AS1035" t="s">
        <v>4113</v>
      </c>
      <c r="AU1035" t="s">
        <v>4128</v>
      </c>
      <c r="AW1035">
        <v>3</v>
      </c>
      <c r="AY1035" t="s">
        <v>4140</v>
      </c>
      <c r="BA1035" t="s">
        <v>4149</v>
      </c>
      <c r="BC1035" t="s">
        <v>4155</v>
      </c>
      <c r="BE1035" t="s">
        <v>4128</v>
      </c>
      <c r="BF1035" t="s">
        <v>4281</v>
      </c>
      <c r="BG1035" t="s">
        <v>4054</v>
      </c>
      <c r="BM1035" t="s">
        <v>4627</v>
      </c>
    </row>
    <row r="1036" spans="1:65">
      <c r="A1036" s="1">
        <f>HYPERLINK("https://lsnyc.legalserver.org/matter/dynamic-profile/view/1906007","19-1906007")</f>
        <v>0</v>
      </c>
      <c r="B1036" t="s">
        <v>88</v>
      </c>
      <c r="C1036" t="s">
        <v>93</v>
      </c>
      <c r="D1036" t="s">
        <v>443</v>
      </c>
      <c r="F1036" t="s">
        <v>539</v>
      </c>
      <c r="G1036" t="s">
        <v>1327</v>
      </c>
      <c r="H1036" t="s">
        <v>1577</v>
      </c>
      <c r="I1036" t="s">
        <v>2178</v>
      </c>
      <c r="J1036" t="s">
        <v>2205</v>
      </c>
      <c r="K1036">
        <v>11233</v>
      </c>
      <c r="N1036" t="s">
        <v>2233</v>
      </c>
      <c r="O1036" t="s">
        <v>2849</v>
      </c>
      <c r="Q1036" t="s">
        <v>3367</v>
      </c>
      <c r="R1036">
        <v>1</v>
      </c>
      <c r="S1036">
        <v>0</v>
      </c>
      <c r="T1036">
        <v>238.46</v>
      </c>
      <c r="W1036">
        <v>29784</v>
      </c>
      <c r="Y1036">
        <v>0</v>
      </c>
      <c r="AA1036" t="s">
        <v>90</v>
      </c>
      <c r="AB1036" t="s">
        <v>3941</v>
      </c>
      <c r="AC1036" t="s">
        <v>3943</v>
      </c>
      <c r="AD1036" t="s">
        <v>4045</v>
      </c>
      <c r="AF1036" t="s">
        <v>4061</v>
      </c>
      <c r="AG1036" t="s">
        <v>4075</v>
      </c>
      <c r="AJ1036" t="s">
        <v>3943</v>
      </c>
      <c r="AL1036" t="s">
        <v>4070</v>
      </c>
      <c r="AM1036" t="s">
        <v>2230</v>
      </c>
      <c r="AO1036">
        <v>925</v>
      </c>
      <c r="AQ1036">
        <v>1117</v>
      </c>
      <c r="AS1036" t="s">
        <v>4113</v>
      </c>
      <c r="AU1036" t="s">
        <v>4128</v>
      </c>
      <c r="AW1036">
        <v>16</v>
      </c>
      <c r="AY1036" t="s">
        <v>4140</v>
      </c>
      <c r="BA1036" t="s">
        <v>4149</v>
      </c>
      <c r="BB1036" t="s">
        <v>4154</v>
      </c>
      <c r="BC1036" t="s">
        <v>4128</v>
      </c>
      <c r="BE1036" t="s">
        <v>4159</v>
      </c>
      <c r="BF1036" t="s">
        <v>4281</v>
      </c>
      <c r="BG1036" t="s">
        <v>4327</v>
      </c>
      <c r="BM1036" t="s">
        <v>4627</v>
      </c>
    </row>
    <row r="1037" spans="1:65">
      <c r="A1037" s="1">
        <f>HYPERLINK("https://lsnyc.legalserver.org/matter/dynamic-profile/view/1861154","18-1861154")</f>
        <v>0</v>
      </c>
      <c r="B1037" t="s">
        <v>88</v>
      </c>
      <c r="C1037" t="s">
        <v>93</v>
      </c>
      <c r="D1037" t="s">
        <v>337</v>
      </c>
      <c r="F1037" t="s">
        <v>957</v>
      </c>
      <c r="G1037" t="s">
        <v>1498</v>
      </c>
      <c r="H1037" t="s">
        <v>1850</v>
      </c>
      <c r="I1037" t="s">
        <v>2179</v>
      </c>
      <c r="J1037" t="s">
        <v>2205</v>
      </c>
      <c r="K1037">
        <v>11212</v>
      </c>
      <c r="N1037" t="s">
        <v>2233</v>
      </c>
      <c r="O1037" t="s">
        <v>2850</v>
      </c>
      <c r="Q1037" t="s">
        <v>3368</v>
      </c>
      <c r="R1037">
        <v>1</v>
      </c>
      <c r="S1037">
        <v>0</v>
      </c>
      <c r="T1037">
        <v>76.11</v>
      </c>
      <c r="W1037">
        <v>9240</v>
      </c>
      <c r="Y1037">
        <v>1.75</v>
      </c>
      <c r="Z1037" t="s">
        <v>3879</v>
      </c>
      <c r="AA1037" t="s">
        <v>3898</v>
      </c>
      <c r="AB1037" t="s">
        <v>3940</v>
      </c>
      <c r="AC1037" t="s">
        <v>3943</v>
      </c>
      <c r="AE1037" t="s">
        <v>4049</v>
      </c>
      <c r="AG1037" t="s">
        <v>4075</v>
      </c>
      <c r="AI1037" t="s">
        <v>4082</v>
      </c>
      <c r="AL1037" t="s">
        <v>4095</v>
      </c>
      <c r="AM1037" t="s">
        <v>2230</v>
      </c>
      <c r="AO1037">
        <v>48</v>
      </c>
      <c r="AQ1037">
        <v>43</v>
      </c>
      <c r="AS1037" t="s">
        <v>4113</v>
      </c>
      <c r="AU1037" t="s">
        <v>4129</v>
      </c>
      <c r="AW1037">
        <v>9</v>
      </c>
      <c r="AY1037" t="s">
        <v>4141</v>
      </c>
      <c r="AZ1037" t="s">
        <v>4148</v>
      </c>
      <c r="BB1037" t="s">
        <v>4154</v>
      </c>
      <c r="BF1037" t="s">
        <v>4281</v>
      </c>
      <c r="BG1037" t="s">
        <v>4054</v>
      </c>
      <c r="BM1037" t="s">
        <v>4627</v>
      </c>
    </row>
    <row r="1038" spans="1:65">
      <c r="A1038" s="1">
        <f>HYPERLINK("https://lsnyc.legalserver.org/matter/dynamic-profile/view/1900676","19-1900676")</f>
        <v>0</v>
      </c>
      <c r="B1038" t="s">
        <v>88</v>
      </c>
      <c r="C1038" t="s">
        <v>93</v>
      </c>
      <c r="D1038" t="s">
        <v>444</v>
      </c>
      <c r="F1038" t="s">
        <v>506</v>
      </c>
      <c r="G1038" t="s">
        <v>1499</v>
      </c>
      <c r="H1038" t="s">
        <v>1580</v>
      </c>
      <c r="I1038" t="s">
        <v>1937</v>
      </c>
      <c r="J1038" t="s">
        <v>2205</v>
      </c>
      <c r="K1038">
        <v>11213</v>
      </c>
      <c r="N1038" t="s">
        <v>2233</v>
      </c>
      <c r="O1038" t="s">
        <v>2271</v>
      </c>
      <c r="P1038" t="s">
        <v>2930</v>
      </c>
      <c r="R1038">
        <v>3</v>
      </c>
      <c r="S1038">
        <v>0</v>
      </c>
      <c r="T1038">
        <v>383.7</v>
      </c>
      <c r="W1038">
        <v>81843</v>
      </c>
      <c r="X1038" t="s">
        <v>3798</v>
      </c>
      <c r="Y1038">
        <v>0</v>
      </c>
      <c r="AA1038" t="s">
        <v>90</v>
      </c>
      <c r="AC1038" t="s">
        <v>3942</v>
      </c>
      <c r="AD1038" t="s">
        <v>431</v>
      </c>
      <c r="AF1038" t="s">
        <v>4054</v>
      </c>
      <c r="AH1038" t="s">
        <v>4080</v>
      </c>
      <c r="AJ1038" t="s">
        <v>3942</v>
      </c>
      <c r="AL1038" t="s">
        <v>4087</v>
      </c>
      <c r="AM1038" t="s">
        <v>2230</v>
      </c>
      <c r="AO1038">
        <v>1205</v>
      </c>
      <c r="AQ1038">
        <v>34</v>
      </c>
      <c r="AS1038" t="s">
        <v>4113</v>
      </c>
      <c r="AU1038" t="s">
        <v>4128</v>
      </c>
      <c r="AW1038">
        <v>34</v>
      </c>
      <c r="AY1038" t="s">
        <v>4140</v>
      </c>
      <c r="BA1038" t="s">
        <v>4149</v>
      </c>
      <c r="BC1038" t="s">
        <v>4155</v>
      </c>
      <c r="BE1038" t="s">
        <v>4128</v>
      </c>
      <c r="BF1038" t="s">
        <v>4281</v>
      </c>
      <c r="BG1038" t="s">
        <v>4054</v>
      </c>
      <c r="BM1038" t="s">
        <v>4627</v>
      </c>
    </row>
    <row r="1039" spans="1:65">
      <c r="A1039" s="1">
        <f>HYPERLINK("https://lsnyc.legalserver.org/matter/dynamic-profile/view/1911659","19-1911659")</f>
        <v>0</v>
      </c>
      <c r="B1039" t="s">
        <v>88</v>
      </c>
      <c r="C1039" t="s">
        <v>93</v>
      </c>
      <c r="D1039" t="s">
        <v>401</v>
      </c>
      <c r="F1039" t="s">
        <v>543</v>
      </c>
      <c r="G1039" t="s">
        <v>1100</v>
      </c>
      <c r="H1039" t="s">
        <v>1577</v>
      </c>
      <c r="J1039" t="s">
        <v>2205</v>
      </c>
      <c r="K1039">
        <v>11233</v>
      </c>
      <c r="N1039" t="s">
        <v>2233</v>
      </c>
      <c r="O1039" t="s">
        <v>2698</v>
      </c>
      <c r="Q1039" t="s">
        <v>3369</v>
      </c>
      <c r="R1039">
        <v>1</v>
      </c>
      <c r="S1039">
        <v>0</v>
      </c>
      <c r="T1039">
        <v>194.56</v>
      </c>
      <c r="W1039">
        <v>24300</v>
      </c>
      <c r="Y1039">
        <v>0</v>
      </c>
      <c r="AA1039" t="s">
        <v>90</v>
      </c>
      <c r="AC1039" t="s">
        <v>3942</v>
      </c>
      <c r="AD1039" t="s">
        <v>213</v>
      </c>
      <c r="AF1039" t="s">
        <v>4054</v>
      </c>
      <c r="AH1039" t="s">
        <v>3510</v>
      </c>
      <c r="AJ1039" t="s">
        <v>3942</v>
      </c>
      <c r="AL1039" t="s">
        <v>4090</v>
      </c>
      <c r="AM1039" t="s">
        <v>2230</v>
      </c>
      <c r="AO1039">
        <v>1029.4</v>
      </c>
      <c r="AQ1039">
        <v>359</v>
      </c>
      <c r="AS1039" t="s">
        <v>4113</v>
      </c>
      <c r="AU1039" t="s">
        <v>4134</v>
      </c>
      <c r="AW1039">
        <v>35</v>
      </c>
      <c r="AY1039" t="s">
        <v>4140</v>
      </c>
      <c r="BA1039" t="s">
        <v>4149</v>
      </c>
      <c r="BC1039" t="s">
        <v>4155</v>
      </c>
      <c r="BF1039" t="s">
        <v>4281</v>
      </c>
      <c r="BG1039" t="s">
        <v>4054</v>
      </c>
      <c r="BM1039" t="s">
        <v>4627</v>
      </c>
    </row>
    <row r="1040" spans="1:65">
      <c r="A1040" s="1">
        <f>HYPERLINK("https://lsnyc.legalserver.org/matter/dynamic-profile/view/1911764","19-1911764")</f>
        <v>0</v>
      </c>
      <c r="B1040" t="s">
        <v>88</v>
      </c>
      <c r="C1040" t="s">
        <v>93</v>
      </c>
      <c r="D1040" t="s">
        <v>192</v>
      </c>
      <c r="F1040" t="s">
        <v>902</v>
      </c>
      <c r="G1040" t="s">
        <v>1438</v>
      </c>
      <c r="H1040" t="s">
        <v>1828</v>
      </c>
      <c r="I1040" t="s">
        <v>2133</v>
      </c>
      <c r="J1040" t="s">
        <v>2205</v>
      </c>
      <c r="K1040">
        <v>11233</v>
      </c>
      <c r="N1040" t="s">
        <v>2233</v>
      </c>
      <c r="O1040" t="s">
        <v>2767</v>
      </c>
      <c r="Q1040" t="s">
        <v>3370</v>
      </c>
      <c r="R1040">
        <v>1</v>
      </c>
      <c r="S1040">
        <v>1</v>
      </c>
      <c r="T1040">
        <v>0</v>
      </c>
      <c r="W1040">
        <v>0</v>
      </c>
      <c r="Y1040">
        <v>0</v>
      </c>
      <c r="AA1040" t="s">
        <v>90</v>
      </c>
      <c r="AC1040" t="s">
        <v>3942</v>
      </c>
      <c r="AD1040" t="s">
        <v>455</v>
      </c>
      <c r="AF1040" t="s">
        <v>4054</v>
      </c>
      <c r="AH1040" t="s">
        <v>3510</v>
      </c>
      <c r="AJ1040" t="s">
        <v>3942</v>
      </c>
      <c r="AL1040" t="s">
        <v>4086</v>
      </c>
      <c r="AM1040" t="s">
        <v>2230</v>
      </c>
      <c r="AO1040">
        <v>1930</v>
      </c>
      <c r="AQ1040">
        <v>359</v>
      </c>
      <c r="AS1040" t="s">
        <v>4113</v>
      </c>
      <c r="AU1040" t="s">
        <v>4128</v>
      </c>
      <c r="AW1040">
        <v>1</v>
      </c>
      <c r="AY1040" t="s">
        <v>4140</v>
      </c>
      <c r="BA1040" t="s">
        <v>4149</v>
      </c>
      <c r="BB1040" t="s">
        <v>4154</v>
      </c>
      <c r="BC1040" t="s">
        <v>4128</v>
      </c>
      <c r="BE1040" t="s">
        <v>4159</v>
      </c>
      <c r="BF1040" t="s">
        <v>4281</v>
      </c>
      <c r="BG1040" t="s">
        <v>4303</v>
      </c>
      <c r="BM1040" t="s">
        <v>4627</v>
      </c>
    </row>
    <row r="1041" spans="1:65">
      <c r="A1041" s="1">
        <f>HYPERLINK("https://lsnyc.legalserver.org/matter/dynamic-profile/view/1879627","18-1879627")</f>
        <v>0</v>
      </c>
      <c r="B1041" t="s">
        <v>88</v>
      </c>
      <c r="C1041" t="s">
        <v>93</v>
      </c>
      <c r="D1041" t="s">
        <v>448</v>
      </c>
      <c r="F1041" t="s">
        <v>888</v>
      </c>
      <c r="G1041" t="s">
        <v>1419</v>
      </c>
      <c r="H1041" t="s">
        <v>1830</v>
      </c>
      <c r="I1041" t="s">
        <v>1950</v>
      </c>
      <c r="J1041" t="s">
        <v>2205</v>
      </c>
      <c r="K1041">
        <v>11207</v>
      </c>
      <c r="N1041" t="s">
        <v>2233</v>
      </c>
      <c r="O1041" t="s">
        <v>2745</v>
      </c>
      <c r="Q1041" t="s">
        <v>3331</v>
      </c>
      <c r="R1041">
        <v>1</v>
      </c>
      <c r="S1041">
        <v>0</v>
      </c>
      <c r="T1041">
        <v>171.33</v>
      </c>
      <c r="W1041">
        <v>20800</v>
      </c>
      <c r="Y1041">
        <v>0</v>
      </c>
      <c r="AA1041" t="s">
        <v>90</v>
      </c>
      <c r="AC1041" t="s">
        <v>3942</v>
      </c>
      <c r="AD1041" t="s">
        <v>3981</v>
      </c>
      <c r="AF1041" t="s">
        <v>4062</v>
      </c>
      <c r="AH1041" t="s">
        <v>3510</v>
      </c>
      <c r="AJ1041" t="s">
        <v>3942</v>
      </c>
      <c r="AL1041" t="s">
        <v>4086</v>
      </c>
      <c r="AM1041" t="s">
        <v>2230</v>
      </c>
      <c r="AO1041">
        <v>1000</v>
      </c>
      <c r="AQ1041">
        <v>6</v>
      </c>
      <c r="AS1041" t="s">
        <v>4113</v>
      </c>
      <c r="AU1041" t="s">
        <v>4128</v>
      </c>
      <c r="AW1041">
        <v>4</v>
      </c>
      <c r="AY1041" t="s">
        <v>4140</v>
      </c>
      <c r="BA1041" t="s">
        <v>4149</v>
      </c>
      <c r="BC1041" t="s">
        <v>4155</v>
      </c>
      <c r="BF1041" t="s">
        <v>4281</v>
      </c>
      <c r="BG1041" t="s">
        <v>4054</v>
      </c>
      <c r="BM1041" t="s">
        <v>4627</v>
      </c>
    </row>
    <row r="1042" spans="1:65">
      <c r="A1042" s="1">
        <f>HYPERLINK("https://lsnyc.legalserver.org/matter/dynamic-profile/view/1879613","18-1879613")</f>
        <v>0</v>
      </c>
      <c r="B1042" t="s">
        <v>88</v>
      </c>
      <c r="C1042" t="s">
        <v>93</v>
      </c>
      <c r="D1042" t="s">
        <v>448</v>
      </c>
      <c r="F1042" t="s">
        <v>888</v>
      </c>
      <c r="G1042" t="s">
        <v>1419</v>
      </c>
      <c r="H1042" t="s">
        <v>1830</v>
      </c>
      <c r="I1042" t="s">
        <v>1950</v>
      </c>
      <c r="J1042" t="s">
        <v>2205</v>
      </c>
      <c r="K1042">
        <v>11207</v>
      </c>
      <c r="N1042" t="s">
        <v>2233</v>
      </c>
      <c r="O1042" t="s">
        <v>2745</v>
      </c>
      <c r="Q1042" t="s">
        <v>3331</v>
      </c>
      <c r="R1042">
        <v>1</v>
      </c>
      <c r="S1042">
        <v>0</v>
      </c>
      <c r="T1042">
        <v>171.33</v>
      </c>
      <c r="W1042">
        <v>20800</v>
      </c>
      <c r="Y1042">
        <v>0</v>
      </c>
      <c r="AA1042" t="s">
        <v>90</v>
      </c>
      <c r="AC1042" t="s">
        <v>3942</v>
      </c>
      <c r="AD1042" t="s">
        <v>167</v>
      </c>
      <c r="AF1042" t="s">
        <v>4054</v>
      </c>
      <c r="AH1042" t="s">
        <v>3510</v>
      </c>
      <c r="AJ1042" t="s">
        <v>3942</v>
      </c>
      <c r="AL1042" t="s">
        <v>4086</v>
      </c>
      <c r="AM1042" t="s">
        <v>2230</v>
      </c>
      <c r="AO1042">
        <v>1000</v>
      </c>
      <c r="AQ1042">
        <v>6</v>
      </c>
      <c r="AS1042" t="s">
        <v>4113</v>
      </c>
      <c r="AU1042" t="s">
        <v>4128</v>
      </c>
      <c r="AW1042">
        <v>4</v>
      </c>
      <c r="AY1042" t="s">
        <v>4140</v>
      </c>
      <c r="BA1042" t="s">
        <v>4149</v>
      </c>
      <c r="BC1042" t="s">
        <v>4155</v>
      </c>
      <c r="BF1042" t="s">
        <v>4281</v>
      </c>
      <c r="BG1042" t="s">
        <v>4054</v>
      </c>
      <c r="BM1042" t="s">
        <v>4627</v>
      </c>
    </row>
    <row r="1043" spans="1:65">
      <c r="A1043" s="1">
        <f>HYPERLINK("https://lsnyc.legalserver.org/matter/dynamic-profile/view/1900714","19-1900714")</f>
        <v>0</v>
      </c>
      <c r="B1043" t="s">
        <v>88</v>
      </c>
      <c r="C1043" t="s">
        <v>93</v>
      </c>
      <c r="D1043" t="s">
        <v>435</v>
      </c>
      <c r="F1043" t="s">
        <v>780</v>
      </c>
      <c r="G1043" t="s">
        <v>1323</v>
      </c>
      <c r="H1043" t="s">
        <v>1582</v>
      </c>
      <c r="I1043">
        <v>28</v>
      </c>
      <c r="J1043" t="s">
        <v>2205</v>
      </c>
      <c r="K1043">
        <v>11213</v>
      </c>
      <c r="N1043" t="s">
        <v>2233</v>
      </c>
      <c r="O1043" t="s">
        <v>2609</v>
      </c>
      <c r="Q1043" t="s">
        <v>3253</v>
      </c>
      <c r="R1043">
        <v>2</v>
      </c>
      <c r="S1043">
        <v>0</v>
      </c>
      <c r="T1043">
        <v>372.56</v>
      </c>
      <c r="W1043">
        <v>63000</v>
      </c>
      <c r="X1043" t="s">
        <v>3799</v>
      </c>
      <c r="Y1043">
        <v>0</v>
      </c>
      <c r="AA1043" t="s">
        <v>90</v>
      </c>
      <c r="AC1043" t="s">
        <v>3942</v>
      </c>
      <c r="AD1043" t="s">
        <v>431</v>
      </c>
      <c r="AF1043" t="s">
        <v>4054</v>
      </c>
      <c r="AH1043" t="s">
        <v>3510</v>
      </c>
      <c r="AJ1043" t="s">
        <v>3942</v>
      </c>
      <c r="AL1043" t="s">
        <v>4087</v>
      </c>
      <c r="AM1043" t="s">
        <v>2230</v>
      </c>
      <c r="AO1043">
        <v>1326</v>
      </c>
      <c r="AQ1043">
        <v>31</v>
      </c>
      <c r="AS1043" t="s">
        <v>4113</v>
      </c>
      <c r="AU1043" t="s">
        <v>4128</v>
      </c>
      <c r="AW1043">
        <v>2</v>
      </c>
      <c r="AY1043" t="s">
        <v>4140</v>
      </c>
      <c r="BA1043" t="s">
        <v>4149</v>
      </c>
      <c r="BC1043" t="s">
        <v>4155</v>
      </c>
      <c r="BD1043" t="s">
        <v>4157</v>
      </c>
      <c r="BE1043" t="s">
        <v>4227</v>
      </c>
      <c r="BF1043" t="s">
        <v>4281</v>
      </c>
      <c r="BG1043" t="s">
        <v>4128</v>
      </c>
      <c r="BM1043" t="s">
        <v>4627</v>
      </c>
    </row>
    <row r="1044" spans="1:65">
      <c r="A1044" s="1">
        <f>HYPERLINK("https://lsnyc.legalserver.org/matter/dynamic-profile/view/1844422","17-1844422")</f>
        <v>0</v>
      </c>
      <c r="B1044" t="s">
        <v>88</v>
      </c>
      <c r="C1044" t="s">
        <v>93</v>
      </c>
      <c r="D1044" t="s">
        <v>450</v>
      </c>
      <c r="F1044" t="s">
        <v>633</v>
      </c>
      <c r="G1044" t="s">
        <v>1500</v>
      </c>
      <c r="H1044" t="s">
        <v>1851</v>
      </c>
      <c r="I1044" t="s">
        <v>2044</v>
      </c>
      <c r="J1044" t="s">
        <v>2210</v>
      </c>
      <c r="K1044">
        <v>10457</v>
      </c>
      <c r="N1044" t="s">
        <v>2239</v>
      </c>
      <c r="O1044" t="s">
        <v>2851</v>
      </c>
      <c r="Q1044" t="s">
        <v>3371</v>
      </c>
      <c r="R1044">
        <v>2</v>
      </c>
      <c r="S1044">
        <v>0</v>
      </c>
      <c r="T1044">
        <v>36.58</v>
      </c>
      <c r="U1044" t="s">
        <v>3444</v>
      </c>
      <c r="V1044" t="s">
        <v>3457</v>
      </c>
      <c r="W1044">
        <v>5940</v>
      </c>
      <c r="Y1044">
        <v>0</v>
      </c>
      <c r="AA1044" t="s">
        <v>3901</v>
      </c>
      <c r="AC1044" t="s">
        <v>3942</v>
      </c>
      <c r="AD1044" t="s">
        <v>450</v>
      </c>
      <c r="AE1044" t="s">
        <v>4049</v>
      </c>
      <c r="AH1044" t="s">
        <v>4081</v>
      </c>
      <c r="AJ1044" t="s">
        <v>3943</v>
      </c>
      <c r="AL1044" t="s">
        <v>4091</v>
      </c>
      <c r="AM1044" t="s">
        <v>4106</v>
      </c>
      <c r="AN1044" t="s">
        <v>4107</v>
      </c>
      <c r="AO1044">
        <v>0</v>
      </c>
      <c r="AQ1044">
        <v>60</v>
      </c>
      <c r="AS1044" t="s">
        <v>4123</v>
      </c>
      <c r="AT1044" t="s">
        <v>4127</v>
      </c>
      <c r="AV1044" t="s">
        <v>4137</v>
      </c>
      <c r="AW1044">
        <v>0</v>
      </c>
      <c r="AY1044" t="s">
        <v>4140</v>
      </c>
      <c r="BB1044" t="s">
        <v>4154</v>
      </c>
      <c r="BF1044" t="s">
        <v>4281</v>
      </c>
      <c r="BM1044" t="s">
        <v>4627</v>
      </c>
    </row>
    <row r="1045" spans="1:65">
      <c r="A1045" s="1">
        <f>HYPERLINK("https://lsnyc.legalserver.org/matter/dynamic-profile/view/1884207","18-1884207")</f>
        <v>0</v>
      </c>
      <c r="B1045" t="s">
        <v>88</v>
      </c>
      <c r="C1045" t="s">
        <v>93</v>
      </c>
      <c r="D1045" t="s">
        <v>451</v>
      </c>
      <c r="F1045" t="s">
        <v>958</v>
      </c>
      <c r="G1045" t="s">
        <v>1501</v>
      </c>
      <c r="H1045" t="s">
        <v>1585</v>
      </c>
      <c r="I1045" t="s">
        <v>2180</v>
      </c>
      <c r="J1045" t="s">
        <v>2205</v>
      </c>
      <c r="K1045">
        <v>11213</v>
      </c>
      <c r="N1045" t="s">
        <v>2233</v>
      </c>
      <c r="O1045" t="s">
        <v>2515</v>
      </c>
      <c r="P1045" t="s">
        <v>2930</v>
      </c>
      <c r="R1045">
        <v>2</v>
      </c>
      <c r="S1045">
        <v>0</v>
      </c>
      <c r="T1045">
        <v>94.78</v>
      </c>
      <c r="W1045">
        <v>15600</v>
      </c>
      <c r="Y1045">
        <v>0.1</v>
      </c>
      <c r="Z1045" t="s">
        <v>3880</v>
      </c>
      <c r="AA1045" t="s">
        <v>90</v>
      </c>
      <c r="AC1045" t="s">
        <v>3942</v>
      </c>
      <c r="AD1045" t="s">
        <v>166</v>
      </c>
      <c r="AF1045" t="s">
        <v>4058</v>
      </c>
      <c r="AH1045" t="s">
        <v>4076</v>
      </c>
      <c r="AJ1045" t="s">
        <v>3942</v>
      </c>
      <c r="AL1045" t="s">
        <v>4087</v>
      </c>
      <c r="AM1045" t="s">
        <v>2230</v>
      </c>
      <c r="AO1045">
        <v>659.52</v>
      </c>
      <c r="AQ1045">
        <v>35</v>
      </c>
      <c r="AS1045" t="s">
        <v>4113</v>
      </c>
      <c r="AU1045" t="s">
        <v>4128</v>
      </c>
      <c r="AW1045">
        <v>30</v>
      </c>
      <c r="AY1045" t="s">
        <v>4140</v>
      </c>
      <c r="BA1045" t="s">
        <v>4149</v>
      </c>
      <c r="BC1045" t="s">
        <v>4155</v>
      </c>
      <c r="BD1045" t="s">
        <v>4157</v>
      </c>
      <c r="BE1045" t="s">
        <v>4257</v>
      </c>
      <c r="BG1045" t="s">
        <v>4301</v>
      </c>
      <c r="BM1045" t="s">
        <v>4627</v>
      </c>
    </row>
    <row r="1046" spans="1:65">
      <c r="A1046" s="1">
        <f>HYPERLINK("https://lsnyc.legalserver.org/matter/dynamic-profile/view/1900725","19-1900725")</f>
        <v>0</v>
      </c>
      <c r="B1046" t="s">
        <v>88</v>
      </c>
      <c r="C1046" t="s">
        <v>93</v>
      </c>
      <c r="D1046" t="s">
        <v>435</v>
      </c>
      <c r="F1046" t="s">
        <v>508</v>
      </c>
      <c r="G1046" t="s">
        <v>1043</v>
      </c>
      <c r="H1046" t="s">
        <v>1582</v>
      </c>
      <c r="I1046">
        <v>27</v>
      </c>
      <c r="J1046" t="s">
        <v>2205</v>
      </c>
      <c r="K1046">
        <v>11213</v>
      </c>
      <c r="N1046" t="s">
        <v>2233</v>
      </c>
      <c r="O1046" t="s">
        <v>2273</v>
      </c>
      <c r="Q1046" t="s">
        <v>2958</v>
      </c>
      <c r="R1046">
        <v>2</v>
      </c>
      <c r="S1046">
        <v>0</v>
      </c>
      <c r="T1046">
        <v>359.55</v>
      </c>
      <c r="W1046">
        <v>60800</v>
      </c>
      <c r="X1046" t="s">
        <v>3800</v>
      </c>
      <c r="Y1046">
        <v>0</v>
      </c>
      <c r="AA1046" t="s">
        <v>90</v>
      </c>
      <c r="AC1046" t="s">
        <v>3942</v>
      </c>
      <c r="AD1046" t="s">
        <v>431</v>
      </c>
      <c r="AF1046" t="s">
        <v>4054</v>
      </c>
      <c r="AH1046" t="s">
        <v>3510</v>
      </c>
      <c r="AJ1046" t="s">
        <v>3942</v>
      </c>
      <c r="AL1046" t="s">
        <v>4087</v>
      </c>
      <c r="AM1046" t="s">
        <v>2230</v>
      </c>
      <c r="AO1046">
        <v>861.2</v>
      </c>
      <c r="AQ1046">
        <v>31</v>
      </c>
      <c r="AS1046" t="s">
        <v>4113</v>
      </c>
      <c r="AU1046" t="s">
        <v>4128</v>
      </c>
      <c r="AW1046">
        <v>34</v>
      </c>
      <c r="AY1046" t="s">
        <v>4140</v>
      </c>
      <c r="BA1046" t="s">
        <v>4149</v>
      </c>
      <c r="BC1046" t="s">
        <v>4155</v>
      </c>
      <c r="BF1046" t="s">
        <v>4281</v>
      </c>
      <c r="BG1046" t="s">
        <v>4128</v>
      </c>
      <c r="BM1046" t="s">
        <v>4627</v>
      </c>
    </row>
    <row r="1047" spans="1:65">
      <c r="A1047" s="1">
        <f>HYPERLINK("https://lsnyc.legalserver.org/matter/dynamic-profile/view/1901085","19-1901085")</f>
        <v>0</v>
      </c>
      <c r="B1047" t="s">
        <v>88</v>
      </c>
      <c r="C1047" t="s">
        <v>93</v>
      </c>
      <c r="D1047" t="s">
        <v>439</v>
      </c>
      <c r="F1047" t="s">
        <v>508</v>
      </c>
      <c r="G1047" t="s">
        <v>1502</v>
      </c>
      <c r="H1047" t="s">
        <v>1688</v>
      </c>
      <c r="I1047" t="s">
        <v>1975</v>
      </c>
      <c r="J1047" t="s">
        <v>2205</v>
      </c>
      <c r="K1047">
        <v>11212</v>
      </c>
      <c r="N1047" t="s">
        <v>2234</v>
      </c>
      <c r="O1047" t="s">
        <v>2852</v>
      </c>
      <c r="Q1047" t="s">
        <v>3372</v>
      </c>
      <c r="R1047">
        <v>2</v>
      </c>
      <c r="S1047">
        <v>0</v>
      </c>
      <c r="T1047">
        <v>0</v>
      </c>
      <c r="W1047">
        <v>0</v>
      </c>
      <c r="X1047" t="s">
        <v>3801</v>
      </c>
      <c r="Y1047">
        <v>0.7</v>
      </c>
      <c r="Z1047" t="s">
        <v>171</v>
      </c>
      <c r="AA1047" t="s">
        <v>90</v>
      </c>
      <c r="AC1047" t="s">
        <v>3942</v>
      </c>
      <c r="AD1047" t="s">
        <v>99</v>
      </c>
      <c r="AE1047" t="s">
        <v>4049</v>
      </c>
      <c r="AH1047" t="s">
        <v>4077</v>
      </c>
      <c r="AJ1047" t="s">
        <v>3942</v>
      </c>
      <c r="AL1047" t="s">
        <v>4089</v>
      </c>
      <c r="AM1047" t="s">
        <v>2230</v>
      </c>
      <c r="AO1047">
        <v>1515</v>
      </c>
      <c r="AQ1047">
        <v>16</v>
      </c>
      <c r="AS1047" t="s">
        <v>4113</v>
      </c>
      <c r="AU1047" t="s">
        <v>4135</v>
      </c>
      <c r="AW1047">
        <v>3</v>
      </c>
      <c r="AY1047" t="s">
        <v>4140</v>
      </c>
      <c r="BA1047" t="s">
        <v>4149</v>
      </c>
      <c r="BC1047" t="s">
        <v>4155</v>
      </c>
      <c r="BF1047" t="s">
        <v>4281</v>
      </c>
      <c r="BG1047" t="s">
        <v>4307</v>
      </c>
      <c r="BM1047" t="s">
        <v>4627</v>
      </c>
    </row>
    <row r="1048" spans="1:65">
      <c r="A1048" s="1">
        <f>HYPERLINK("https://lsnyc.legalserver.org/matter/dynamic-profile/view/1900693","19-1900693")</f>
        <v>0</v>
      </c>
      <c r="B1048" t="s">
        <v>88</v>
      </c>
      <c r="C1048" t="s">
        <v>93</v>
      </c>
      <c r="D1048" t="s">
        <v>435</v>
      </c>
      <c r="F1048" t="s">
        <v>938</v>
      </c>
      <c r="G1048" t="s">
        <v>1503</v>
      </c>
      <c r="H1048" t="s">
        <v>1585</v>
      </c>
      <c r="J1048" t="s">
        <v>2205</v>
      </c>
      <c r="K1048">
        <v>11213</v>
      </c>
      <c r="N1048" t="s">
        <v>2233</v>
      </c>
      <c r="O1048" t="s">
        <v>2853</v>
      </c>
      <c r="Q1048" t="s">
        <v>3373</v>
      </c>
      <c r="R1048">
        <v>1</v>
      </c>
      <c r="S1048">
        <v>0</v>
      </c>
      <c r="T1048">
        <v>176.55</v>
      </c>
      <c r="W1048">
        <v>22051</v>
      </c>
      <c r="X1048" t="s">
        <v>3802</v>
      </c>
      <c r="Y1048">
        <v>4.8</v>
      </c>
      <c r="Z1048" t="s">
        <v>364</v>
      </c>
      <c r="AA1048" t="s">
        <v>90</v>
      </c>
      <c r="AC1048" t="s">
        <v>3942</v>
      </c>
      <c r="AD1048" t="s">
        <v>431</v>
      </c>
      <c r="AF1048" t="s">
        <v>4054</v>
      </c>
      <c r="AH1048" t="s">
        <v>4080</v>
      </c>
      <c r="AJ1048" t="s">
        <v>3942</v>
      </c>
      <c r="AL1048" t="s">
        <v>4087</v>
      </c>
      <c r="AM1048" t="s">
        <v>2230</v>
      </c>
      <c r="AO1048">
        <v>678.92</v>
      </c>
      <c r="AQ1048">
        <v>35</v>
      </c>
      <c r="AS1048" t="s">
        <v>4113</v>
      </c>
      <c r="AU1048" t="s">
        <v>4128</v>
      </c>
      <c r="AW1048">
        <v>22</v>
      </c>
      <c r="AY1048" t="s">
        <v>4140</v>
      </c>
      <c r="BA1048" t="s">
        <v>4149</v>
      </c>
      <c r="BC1048" t="s">
        <v>4155</v>
      </c>
      <c r="BE1048" t="s">
        <v>4128</v>
      </c>
      <c r="BF1048" t="s">
        <v>4281</v>
      </c>
      <c r="BM1048" t="s">
        <v>4627</v>
      </c>
    </row>
    <row r="1049" spans="1:65">
      <c r="A1049" s="1">
        <f>HYPERLINK("https://lsnyc.legalserver.org/matter/dynamic-profile/view/1901098","19-1901098")</f>
        <v>0</v>
      </c>
      <c r="B1049" t="s">
        <v>88</v>
      </c>
      <c r="C1049" t="s">
        <v>93</v>
      </c>
      <c r="D1049" t="s">
        <v>439</v>
      </c>
      <c r="F1049" t="s">
        <v>637</v>
      </c>
      <c r="G1049" t="s">
        <v>1171</v>
      </c>
      <c r="H1049" t="s">
        <v>1688</v>
      </c>
      <c r="I1049" t="s">
        <v>1930</v>
      </c>
      <c r="J1049" t="s">
        <v>2205</v>
      </c>
      <c r="K1049">
        <v>11212</v>
      </c>
      <c r="N1049" t="s">
        <v>2234</v>
      </c>
      <c r="O1049" t="s">
        <v>2419</v>
      </c>
      <c r="Q1049" t="s">
        <v>3091</v>
      </c>
      <c r="R1049">
        <v>1</v>
      </c>
      <c r="S1049">
        <v>0</v>
      </c>
      <c r="T1049">
        <v>88.29000000000001</v>
      </c>
      <c r="W1049">
        <v>11028</v>
      </c>
      <c r="Y1049">
        <v>0</v>
      </c>
      <c r="AA1049" t="s">
        <v>90</v>
      </c>
      <c r="AC1049" t="s">
        <v>3942</v>
      </c>
      <c r="AD1049" t="s">
        <v>99</v>
      </c>
      <c r="AE1049" t="s">
        <v>4049</v>
      </c>
      <c r="AH1049" t="s">
        <v>4077</v>
      </c>
      <c r="AJ1049" t="s">
        <v>3942</v>
      </c>
      <c r="AL1049" t="s">
        <v>4089</v>
      </c>
      <c r="AM1049" t="s">
        <v>2230</v>
      </c>
      <c r="AN1049" t="s">
        <v>4107</v>
      </c>
      <c r="AO1049">
        <v>0</v>
      </c>
      <c r="AQ1049">
        <v>23</v>
      </c>
      <c r="AS1049" t="s">
        <v>4113</v>
      </c>
      <c r="AU1049" t="s">
        <v>4128</v>
      </c>
      <c r="AV1049" t="s">
        <v>4137</v>
      </c>
      <c r="AW1049">
        <v>0</v>
      </c>
      <c r="AY1049" t="s">
        <v>4140</v>
      </c>
      <c r="BA1049" t="s">
        <v>4149</v>
      </c>
      <c r="BC1049" t="s">
        <v>4155</v>
      </c>
      <c r="BF1049" t="s">
        <v>4281</v>
      </c>
      <c r="BG1049" t="s">
        <v>4307</v>
      </c>
      <c r="BM1049" t="s">
        <v>4627</v>
      </c>
    </row>
    <row r="1050" spans="1:65">
      <c r="A1050" s="1">
        <f>HYPERLINK("https://lsnyc.legalserver.org/matter/dynamic-profile/view/1880059","18-1880059")</f>
        <v>0</v>
      </c>
      <c r="B1050" t="s">
        <v>88</v>
      </c>
      <c r="C1050" t="s">
        <v>93</v>
      </c>
      <c r="D1050" t="s">
        <v>179</v>
      </c>
      <c r="F1050" t="s">
        <v>552</v>
      </c>
      <c r="G1050" t="s">
        <v>1394</v>
      </c>
      <c r="H1050" t="s">
        <v>1830</v>
      </c>
      <c r="I1050" t="s">
        <v>1922</v>
      </c>
      <c r="J1050" t="s">
        <v>2205</v>
      </c>
      <c r="K1050">
        <v>11207</v>
      </c>
      <c r="N1050" t="s">
        <v>2233</v>
      </c>
      <c r="O1050" t="s">
        <v>2714</v>
      </c>
      <c r="P1050" t="s">
        <v>2930</v>
      </c>
      <c r="R1050">
        <v>1</v>
      </c>
      <c r="S1050">
        <v>3</v>
      </c>
      <c r="T1050">
        <v>41.43</v>
      </c>
      <c r="W1050">
        <v>10400</v>
      </c>
      <c r="Y1050">
        <v>0</v>
      </c>
      <c r="AA1050" t="s">
        <v>90</v>
      </c>
      <c r="AC1050" t="s">
        <v>3942</v>
      </c>
      <c r="AD1050" t="s">
        <v>141</v>
      </c>
      <c r="AF1050" t="s">
        <v>4065</v>
      </c>
      <c r="AH1050" t="s">
        <v>3510</v>
      </c>
      <c r="AJ1050" t="s">
        <v>3942</v>
      </c>
      <c r="AL1050" t="s">
        <v>4086</v>
      </c>
      <c r="AM1050" t="s">
        <v>2230</v>
      </c>
      <c r="AN1050" t="s">
        <v>4107</v>
      </c>
      <c r="AO1050">
        <v>0</v>
      </c>
      <c r="AQ1050">
        <v>6</v>
      </c>
      <c r="AS1050" t="s">
        <v>4113</v>
      </c>
      <c r="AU1050" t="s">
        <v>4128</v>
      </c>
      <c r="AV1050" t="s">
        <v>4137</v>
      </c>
      <c r="AW1050">
        <v>0</v>
      </c>
      <c r="AY1050" t="s">
        <v>4140</v>
      </c>
      <c r="BA1050" t="s">
        <v>4149</v>
      </c>
      <c r="BC1050" t="s">
        <v>4155</v>
      </c>
      <c r="BE1050" t="s">
        <v>4128</v>
      </c>
      <c r="BF1050" t="s">
        <v>4281</v>
      </c>
      <c r="BG1050" t="s">
        <v>4054</v>
      </c>
      <c r="BM1050" t="s">
        <v>4627</v>
      </c>
    </row>
    <row r="1051" spans="1:65">
      <c r="A1051" s="1">
        <f>HYPERLINK("https://lsnyc.legalserver.org/matter/dynamic-profile/view/1880062","18-1880062")</f>
        <v>0</v>
      </c>
      <c r="B1051" t="s">
        <v>88</v>
      </c>
      <c r="C1051" t="s">
        <v>93</v>
      </c>
      <c r="D1051" t="s">
        <v>179</v>
      </c>
      <c r="F1051" t="s">
        <v>552</v>
      </c>
      <c r="G1051" t="s">
        <v>1394</v>
      </c>
      <c r="H1051" t="s">
        <v>1830</v>
      </c>
      <c r="I1051" t="s">
        <v>1922</v>
      </c>
      <c r="J1051" t="s">
        <v>2205</v>
      </c>
      <c r="K1051">
        <v>11207</v>
      </c>
      <c r="N1051" t="s">
        <v>2233</v>
      </c>
      <c r="O1051" t="s">
        <v>2714</v>
      </c>
      <c r="P1051" t="s">
        <v>2930</v>
      </c>
      <c r="R1051">
        <v>1</v>
      </c>
      <c r="S1051">
        <v>3</v>
      </c>
      <c r="T1051">
        <v>41.43</v>
      </c>
      <c r="W1051">
        <v>10400</v>
      </c>
      <c r="Y1051">
        <v>0</v>
      </c>
      <c r="AA1051" t="s">
        <v>90</v>
      </c>
      <c r="AC1051" t="s">
        <v>3942</v>
      </c>
      <c r="AD1051" t="s">
        <v>3981</v>
      </c>
      <c r="AF1051" t="s">
        <v>4062</v>
      </c>
      <c r="AH1051" t="s">
        <v>3510</v>
      </c>
      <c r="AJ1051" t="s">
        <v>3942</v>
      </c>
      <c r="AL1051" t="s">
        <v>4086</v>
      </c>
      <c r="AM1051" t="s">
        <v>2230</v>
      </c>
      <c r="AN1051" t="s">
        <v>4107</v>
      </c>
      <c r="AO1051">
        <v>0</v>
      </c>
      <c r="AQ1051">
        <v>6</v>
      </c>
      <c r="AS1051" t="s">
        <v>4113</v>
      </c>
      <c r="AU1051" t="s">
        <v>4128</v>
      </c>
      <c r="AV1051" t="s">
        <v>4137</v>
      </c>
      <c r="AW1051">
        <v>0</v>
      </c>
      <c r="AY1051" t="s">
        <v>4140</v>
      </c>
      <c r="BA1051" t="s">
        <v>4149</v>
      </c>
      <c r="BC1051" t="s">
        <v>4155</v>
      </c>
      <c r="BE1051" t="s">
        <v>4128</v>
      </c>
      <c r="BF1051" t="s">
        <v>4281</v>
      </c>
      <c r="BG1051" t="s">
        <v>4054</v>
      </c>
      <c r="BM1051" t="s">
        <v>4627</v>
      </c>
    </row>
    <row r="1052" spans="1:65">
      <c r="A1052" s="1">
        <f>HYPERLINK("https://lsnyc.legalserver.org/matter/dynamic-profile/view/1880274","18-1880274")</f>
        <v>0</v>
      </c>
      <c r="B1052" t="s">
        <v>88</v>
      </c>
      <c r="C1052" t="s">
        <v>93</v>
      </c>
      <c r="D1052" t="s">
        <v>119</v>
      </c>
      <c r="F1052" t="s">
        <v>516</v>
      </c>
      <c r="G1052" t="s">
        <v>776</v>
      </c>
      <c r="H1052" t="s">
        <v>1582</v>
      </c>
      <c r="I1052">
        <v>7</v>
      </c>
      <c r="J1052" t="s">
        <v>2205</v>
      </c>
      <c r="K1052">
        <v>11213</v>
      </c>
      <c r="N1052" t="s">
        <v>2233</v>
      </c>
      <c r="O1052" t="s">
        <v>2281</v>
      </c>
      <c r="P1052" t="s">
        <v>2930</v>
      </c>
      <c r="R1052">
        <v>2</v>
      </c>
      <c r="S1052">
        <v>0</v>
      </c>
      <c r="T1052">
        <v>194.41</v>
      </c>
      <c r="W1052">
        <v>32000</v>
      </c>
      <c r="X1052" t="s">
        <v>3803</v>
      </c>
      <c r="Y1052">
        <v>0</v>
      </c>
      <c r="AA1052" t="s">
        <v>90</v>
      </c>
      <c r="AC1052" t="s">
        <v>3942</v>
      </c>
      <c r="AD1052" t="s">
        <v>209</v>
      </c>
      <c r="AF1052" t="s">
        <v>4060</v>
      </c>
      <c r="AH1052" t="s">
        <v>3510</v>
      </c>
      <c r="AJ1052" t="s">
        <v>3943</v>
      </c>
      <c r="AK1052" t="s">
        <v>4084</v>
      </c>
      <c r="AM1052" t="s">
        <v>2230</v>
      </c>
      <c r="AO1052">
        <v>931.36</v>
      </c>
      <c r="AQ1052">
        <v>31</v>
      </c>
      <c r="AS1052" t="s">
        <v>4113</v>
      </c>
      <c r="AU1052" t="s">
        <v>4128</v>
      </c>
      <c r="AW1052">
        <v>35</v>
      </c>
      <c r="AY1052" t="s">
        <v>4140</v>
      </c>
      <c r="BA1052" t="s">
        <v>4149</v>
      </c>
      <c r="BC1052" t="s">
        <v>4155</v>
      </c>
      <c r="BE1052" t="s">
        <v>4128</v>
      </c>
      <c r="BF1052" t="s">
        <v>4281</v>
      </c>
      <c r="BG1052" t="s">
        <v>4054</v>
      </c>
      <c r="BM1052" t="s">
        <v>4627</v>
      </c>
    </row>
    <row r="1053" spans="1:65">
      <c r="A1053" s="1">
        <f>HYPERLINK("https://lsnyc.legalserver.org/matter/dynamic-profile/view/1882161","18-1882161")</f>
        <v>0</v>
      </c>
      <c r="B1053" t="s">
        <v>88</v>
      </c>
      <c r="C1053" t="s">
        <v>93</v>
      </c>
      <c r="D1053" t="s">
        <v>141</v>
      </c>
      <c r="F1053" t="s">
        <v>786</v>
      </c>
      <c r="G1053" t="s">
        <v>1326</v>
      </c>
      <c r="H1053" t="s">
        <v>1582</v>
      </c>
      <c r="J1053" t="s">
        <v>2205</v>
      </c>
      <c r="K1053">
        <v>11213</v>
      </c>
      <c r="N1053" t="s">
        <v>2233</v>
      </c>
      <c r="O1053" t="s">
        <v>2615</v>
      </c>
      <c r="Q1053" t="s">
        <v>3257</v>
      </c>
      <c r="R1053">
        <v>2</v>
      </c>
      <c r="S1053">
        <v>0</v>
      </c>
      <c r="T1053">
        <v>179.22</v>
      </c>
      <c r="W1053">
        <v>29500</v>
      </c>
      <c r="Y1053">
        <v>0.1</v>
      </c>
      <c r="Z1053" t="s">
        <v>444</v>
      </c>
      <c r="AA1053" t="s">
        <v>90</v>
      </c>
      <c r="AC1053" t="s">
        <v>3942</v>
      </c>
      <c r="AD1053" t="s">
        <v>4042</v>
      </c>
      <c r="AF1053" t="s">
        <v>4058</v>
      </c>
      <c r="AH1053" t="s">
        <v>4076</v>
      </c>
      <c r="AJ1053" t="s">
        <v>3942</v>
      </c>
      <c r="AL1053" t="s">
        <v>4087</v>
      </c>
      <c r="AM1053" t="s">
        <v>2230</v>
      </c>
      <c r="AO1053">
        <v>881.67</v>
      </c>
      <c r="AQ1053">
        <v>31</v>
      </c>
      <c r="AS1053" t="s">
        <v>4113</v>
      </c>
      <c r="AU1053" t="s">
        <v>4128</v>
      </c>
      <c r="AW1053">
        <v>17</v>
      </c>
      <c r="AY1053" t="s">
        <v>4140</v>
      </c>
      <c r="BA1053" t="s">
        <v>4149</v>
      </c>
      <c r="BB1053" t="s">
        <v>4154</v>
      </c>
      <c r="BE1053" t="s">
        <v>4128</v>
      </c>
      <c r="BG1053" t="s">
        <v>4301</v>
      </c>
      <c r="BM1053" t="s">
        <v>4627</v>
      </c>
    </row>
    <row r="1054" spans="1:65">
      <c r="A1054" s="1">
        <f>HYPERLINK("https://lsnyc.legalserver.org/matter/dynamic-profile/view/1882164","18-1882164")</f>
        <v>0</v>
      </c>
      <c r="B1054" t="s">
        <v>88</v>
      </c>
      <c r="C1054" t="s">
        <v>93</v>
      </c>
      <c r="D1054" t="s">
        <v>141</v>
      </c>
      <c r="F1054" t="s">
        <v>938</v>
      </c>
      <c r="G1054" t="s">
        <v>1503</v>
      </c>
      <c r="H1054" t="s">
        <v>1585</v>
      </c>
      <c r="J1054" t="s">
        <v>2205</v>
      </c>
      <c r="K1054">
        <v>11213</v>
      </c>
      <c r="N1054" t="s">
        <v>2233</v>
      </c>
      <c r="O1054" t="s">
        <v>2853</v>
      </c>
      <c r="Q1054" t="s">
        <v>3373</v>
      </c>
      <c r="R1054">
        <v>1</v>
      </c>
      <c r="S1054">
        <v>0</v>
      </c>
      <c r="T1054">
        <v>181.64</v>
      </c>
      <c r="V1054" t="s">
        <v>3459</v>
      </c>
      <c r="W1054">
        <v>22051</v>
      </c>
      <c r="Y1054">
        <v>3.85</v>
      </c>
      <c r="Z1054" t="s">
        <v>470</v>
      </c>
      <c r="AA1054" t="s">
        <v>90</v>
      </c>
      <c r="AC1054" t="s">
        <v>3942</v>
      </c>
      <c r="AD1054" t="s">
        <v>4042</v>
      </c>
      <c r="AF1054" t="s">
        <v>4058</v>
      </c>
      <c r="AH1054" t="s">
        <v>4076</v>
      </c>
      <c r="AJ1054" t="s">
        <v>3942</v>
      </c>
      <c r="AL1054" t="s">
        <v>4087</v>
      </c>
      <c r="AM1054" t="s">
        <v>2230</v>
      </c>
      <c r="AO1054">
        <v>678.92</v>
      </c>
      <c r="AQ1054">
        <v>35</v>
      </c>
      <c r="AS1054" t="s">
        <v>4113</v>
      </c>
      <c r="AU1054" t="s">
        <v>4128</v>
      </c>
      <c r="AW1054">
        <v>22</v>
      </c>
      <c r="AY1054" t="s">
        <v>4140</v>
      </c>
      <c r="BA1054" t="s">
        <v>4149</v>
      </c>
      <c r="BC1054" t="s">
        <v>4155</v>
      </c>
      <c r="BE1054" t="s">
        <v>4128</v>
      </c>
      <c r="BF1054" t="s">
        <v>4281</v>
      </c>
      <c r="BG1054" t="s">
        <v>4562</v>
      </c>
      <c r="BM1054" t="s">
        <v>4627</v>
      </c>
    </row>
    <row r="1055" spans="1:65">
      <c r="A1055" s="1">
        <f>HYPERLINK("https://lsnyc.legalserver.org/matter/dynamic-profile/view/1880054","18-1880054")</f>
        <v>0</v>
      </c>
      <c r="B1055" t="s">
        <v>88</v>
      </c>
      <c r="C1055" t="s">
        <v>93</v>
      </c>
      <c r="D1055" t="s">
        <v>179</v>
      </c>
      <c r="F1055" t="s">
        <v>552</v>
      </c>
      <c r="G1055" t="s">
        <v>1394</v>
      </c>
      <c r="H1055" t="s">
        <v>1830</v>
      </c>
      <c r="I1055" t="s">
        <v>1922</v>
      </c>
      <c r="J1055" t="s">
        <v>2205</v>
      </c>
      <c r="K1055">
        <v>11207</v>
      </c>
      <c r="N1055" t="s">
        <v>2233</v>
      </c>
      <c r="O1055" t="s">
        <v>2714</v>
      </c>
      <c r="P1055" t="s">
        <v>2930</v>
      </c>
      <c r="R1055">
        <v>1</v>
      </c>
      <c r="S1055">
        <v>3</v>
      </c>
      <c r="T1055">
        <v>41.43</v>
      </c>
      <c r="W1055">
        <v>10400</v>
      </c>
      <c r="Y1055">
        <v>0.35</v>
      </c>
      <c r="Z1055" t="s">
        <v>154</v>
      </c>
      <c r="AA1055" t="s">
        <v>90</v>
      </c>
      <c r="AC1055" t="s">
        <v>3942</v>
      </c>
      <c r="AD1055" t="s">
        <v>4008</v>
      </c>
      <c r="AF1055" t="s">
        <v>4059</v>
      </c>
      <c r="AH1055" t="s">
        <v>4078</v>
      </c>
      <c r="AJ1055" t="s">
        <v>3942</v>
      </c>
      <c r="AL1055" t="s">
        <v>4086</v>
      </c>
      <c r="AM1055" t="s">
        <v>2230</v>
      </c>
      <c r="AN1055" t="s">
        <v>4107</v>
      </c>
      <c r="AO1055">
        <v>0</v>
      </c>
      <c r="AQ1055">
        <v>6</v>
      </c>
      <c r="AS1055" t="s">
        <v>4113</v>
      </c>
      <c r="AU1055" t="s">
        <v>4128</v>
      </c>
      <c r="AV1055" t="s">
        <v>4137</v>
      </c>
      <c r="AW1055">
        <v>0</v>
      </c>
      <c r="AY1055" t="s">
        <v>4140</v>
      </c>
      <c r="BA1055" t="s">
        <v>4149</v>
      </c>
      <c r="BC1055" t="s">
        <v>4155</v>
      </c>
      <c r="BE1055" t="s">
        <v>4159</v>
      </c>
      <c r="BG1055" t="s">
        <v>4542</v>
      </c>
      <c r="BM1055" t="s">
        <v>4627</v>
      </c>
    </row>
    <row r="1056" spans="1:65">
      <c r="A1056" s="1">
        <f>HYPERLINK("https://lsnyc.legalserver.org/matter/dynamic-profile/view/1905862","19-1905862")</f>
        <v>0</v>
      </c>
      <c r="B1056" t="s">
        <v>88</v>
      </c>
      <c r="C1056" t="s">
        <v>93</v>
      </c>
      <c r="D1056" t="s">
        <v>142</v>
      </c>
      <c r="F1056" t="s">
        <v>524</v>
      </c>
      <c r="G1056" t="s">
        <v>1430</v>
      </c>
      <c r="H1056" t="s">
        <v>1832</v>
      </c>
      <c r="I1056" t="s">
        <v>1922</v>
      </c>
      <c r="J1056" t="s">
        <v>2205</v>
      </c>
      <c r="K1056">
        <v>11215</v>
      </c>
      <c r="N1056" t="s">
        <v>2233</v>
      </c>
      <c r="O1056" t="s">
        <v>2758</v>
      </c>
      <c r="P1056" t="s">
        <v>2930</v>
      </c>
      <c r="R1056">
        <v>2</v>
      </c>
      <c r="S1056">
        <v>0</v>
      </c>
      <c r="T1056">
        <v>182.38</v>
      </c>
      <c r="W1056">
        <v>30840</v>
      </c>
      <c r="Y1056">
        <v>0</v>
      </c>
      <c r="AA1056" t="s">
        <v>90</v>
      </c>
      <c r="AC1056" t="s">
        <v>3942</v>
      </c>
      <c r="AD1056" t="s">
        <v>3971</v>
      </c>
      <c r="AF1056" t="s">
        <v>4059</v>
      </c>
      <c r="AH1056" t="s">
        <v>4078</v>
      </c>
      <c r="AJ1056" t="s">
        <v>3942</v>
      </c>
      <c r="AL1056" t="s">
        <v>4086</v>
      </c>
      <c r="AM1056" t="s">
        <v>2230</v>
      </c>
      <c r="AO1056">
        <v>149</v>
      </c>
      <c r="AQ1056">
        <v>7</v>
      </c>
      <c r="AS1056" t="s">
        <v>4115</v>
      </c>
      <c r="AU1056" t="s">
        <v>4128</v>
      </c>
      <c r="AW1056">
        <v>42</v>
      </c>
      <c r="AY1056" t="s">
        <v>4140</v>
      </c>
      <c r="BA1056" t="s">
        <v>4149</v>
      </c>
      <c r="BC1056" t="s">
        <v>4155</v>
      </c>
      <c r="BE1056" t="s">
        <v>4128</v>
      </c>
      <c r="BF1056" t="s">
        <v>4281</v>
      </c>
      <c r="BG1056" t="s">
        <v>4159</v>
      </c>
      <c r="BM1056" t="s">
        <v>4627</v>
      </c>
    </row>
    <row r="1057" spans="1:65">
      <c r="A1057" s="1">
        <f>HYPERLINK("https://lsnyc.legalserver.org/matter/dynamic-profile/view/1880041","18-1880041")</f>
        <v>0</v>
      </c>
      <c r="B1057" t="s">
        <v>88</v>
      </c>
      <c r="C1057" t="s">
        <v>93</v>
      </c>
      <c r="D1057" t="s">
        <v>179</v>
      </c>
      <c r="F1057" t="s">
        <v>552</v>
      </c>
      <c r="G1057" t="s">
        <v>1394</v>
      </c>
      <c r="H1057" t="s">
        <v>1830</v>
      </c>
      <c r="I1057" t="s">
        <v>1922</v>
      </c>
      <c r="J1057" t="s">
        <v>2205</v>
      </c>
      <c r="K1057">
        <v>11207</v>
      </c>
      <c r="N1057" t="s">
        <v>2233</v>
      </c>
      <c r="O1057" t="s">
        <v>2714</v>
      </c>
      <c r="P1057" t="s">
        <v>2930</v>
      </c>
      <c r="R1057">
        <v>1</v>
      </c>
      <c r="S1057">
        <v>3</v>
      </c>
      <c r="T1057">
        <v>41.43</v>
      </c>
      <c r="W1057">
        <v>10400</v>
      </c>
      <c r="Y1057">
        <v>0</v>
      </c>
      <c r="AA1057" t="s">
        <v>90</v>
      </c>
      <c r="AC1057" t="s">
        <v>3942</v>
      </c>
      <c r="AD1057" t="s">
        <v>167</v>
      </c>
      <c r="AF1057" t="s">
        <v>4054</v>
      </c>
      <c r="AH1057" t="s">
        <v>3510</v>
      </c>
      <c r="AJ1057" t="s">
        <v>3942</v>
      </c>
      <c r="AL1057" t="s">
        <v>4086</v>
      </c>
      <c r="AM1057" t="s">
        <v>2230</v>
      </c>
      <c r="AN1057" t="s">
        <v>4107</v>
      </c>
      <c r="AO1057">
        <v>0</v>
      </c>
      <c r="AQ1057">
        <v>6</v>
      </c>
      <c r="AS1057" t="s">
        <v>4113</v>
      </c>
      <c r="AU1057" t="s">
        <v>4128</v>
      </c>
      <c r="AV1057" t="s">
        <v>4137</v>
      </c>
      <c r="AW1057">
        <v>0</v>
      </c>
      <c r="AY1057" t="s">
        <v>4140</v>
      </c>
      <c r="BA1057" t="s">
        <v>4149</v>
      </c>
      <c r="BC1057" t="s">
        <v>4155</v>
      </c>
      <c r="BE1057" t="s">
        <v>4159</v>
      </c>
      <c r="BF1057" t="s">
        <v>4281</v>
      </c>
      <c r="BG1057" t="s">
        <v>4054</v>
      </c>
      <c r="BM1057" t="s">
        <v>4627</v>
      </c>
    </row>
    <row r="1058" spans="1:65">
      <c r="A1058" s="1">
        <f>HYPERLINK("https://lsnyc.legalserver.org/matter/dynamic-profile/view/1900700","19-1900700")</f>
        <v>0</v>
      </c>
      <c r="B1058" t="s">
        <v>88</v>
      </c>
      <c r="C1058" t="s">
        <v>93</v>
      </c>
      <c r="D1058" t="s">
        <v>435</v>
      </c>
      <c r="F1058" t="s">
        <v>958</v>
      </c>
      <c r="G1058" t="s">
        <v>1501</v>
      </c>
      <c r="H1058" t="s">
        <v>1585</v>
      </c>
      <c r="I1058" t="s">
        <v>2180</v>
      </c>
      <c r="J1058" t="s">
        <v>2205</v>
      </c>
      <c r="K1058">
        <v>11213</v>
      </c>
      <c r="N1058" t="s">
        <v>2233</v>
      </c>
      <c r="O1058" t="s">
        <v>2515</v>
      </c>
      <c r="P1058" t="s">
        <v>2930</v>
      </c>
      <c r="R1058">
        <v>2</v>
      </c>
      <c r="S1058">
        <v>0</v>
      </c>
      <c r="T1058">
        <v>85.16</v>
      </c>
      <c r="W1058">
        <v>14400</v>
      </c>
      <c r="X1058" t="s">
        <v>3804</v>
      </c>
      <c r="Y1058">
        <v>0</v>
      </c>
      <c r="AA1058" t="s">
        <v>90</v>
      </c>
      <c r="AC1058" t="s">
        <v>3942</v>
      </c>
      <c r="AD1058" t="s">
        <v>431</v>
      </c>
      <c r="AF1058" t="s">
        <v>4054</v>
      </c>
      <c r="AH1058" t="s">
        <v>4080</v>
      </c>
      <c r="AJ1058" t="s">
        <v>3942</v>
      </c>
      <c r="AL1058" t="s">
        <v>4087</v>
      </c>
      <c r="AM1058" t="s">
        <v>2230</v>
      </c>
      <c r="AO1058">
        <v>659.52</v>
      </c>
      <c r="AQ1058">
        <v>35</v>
      </c>
      <c r="AS1058" t="s">
        <v>4113</v>
      </c>
      <c r="AU1058" t="s">
        <v>4128</v>
      </c>
      <c r="AW1058">
        <v>30</v>
      </c>
      <c r="AY1058" t="s">
        <v>4140</v>
      </c>
      <c r="BA1058" t="s">
        <v>4149</v>
      </c>
      <c r="BC1058" t="s">
        <v>4155</v>
      </c>
      <c r="BD1058" t="s">
        <v>4157</v>
      </c>
      <c r="BE1058" t="s">
        <v>4257</v>
      </c>
      <c r="BF1058" t="s">
        <v>4281</v>
      </c>
      <c r="BM1058" t="s">
        <v>4627</v>
      </c>
    </row>
    <row r="1059" spans="1:65">
      <c r="A1059" s="1">
        <f>HYPERLINK("https://lsnyc.legalserver.org/matter/dynamic-profile/view/1900677","19-1900677")</f>
        <v>0</v>
      </c>
      <c r="B1059" t="s">
        <v>88</v>
      </c>
      <c r="C1059" t="s">
        <v>93</v>
      </c>
      <c r="D1059" t="s">
        <v>444</v>
      </c>
      <c r="F1059" t="s">
        <v>516</v>
      </c>
      <c r="G1059" t="s">
        <v>776</v>
      </c>
      <c r="H1059" t="s">
        <v>1582</v>
      </c>
      <c r="I1059">
        <v>7</v>
      </c>
      <c r="J1059" t="s">
        <v>2205</v>
      </c>
      <c r="K1059">
        <v>11213</v>
      </c>
      <c r="N1059" t="s">
        <v>2233</v>
      </c>
      <c r="O1059" t="s">
        <v>2281</v>
      </c>
      <c r="P1059" t="s">
        <v>2930</v>
      </c>
      <c r="R1059">
        <v>2</v>
      </c>
      <c r="S1059">
        <v>0</v>
      </c>
      <c r="T1059">
        <v>189.24</v>
      </c>
      <c r="W1059">
        <v>32000</v>
      </c>
      <c r="X1059" t="s">
        <v>3803</v>
      </c>
      <c r="Y1059">
        <v>0</v>
      </c>
      <c r="AA1059" t="s">
        <v>90</v>
      </c>
      <c r="AC1059" t="s">
        <v>3942</v>
      </c>
      <c r="AD1059" t="s">
        <v>444</v>
      </c>
      <c r="AF1059" t="s">
        <v>4054</v>
      </c>
      <c r="AH1059" t="s">
        <v>3510</v>
      </c>
      <c r="AJ1059" t="s">
        <v>3942</v>
      </c>
      <c r="AL1059" t="s">
        <v>4087</v>
      </c>
      <c r="AM1059" t="s">
        <v>2230</v>
      </c>
      <c r="AO1059">
        <v>931.36</v>
      </c>
      <c r="AQ1059">
        <v>31</v>
      </c>
      <c r="AS1059" t="s">
        <v>4113</v>
      </c>
      <c r="AU1059" t="s">
        <v>4128</v>
      </c>
      <c r="AW1059">
        <v>35</v>
      </c>
      <c r="AY1059" t="s">
        <v>4140</v>
      </c>
      <c r="BA1059" t="s">
        <v>4149</v>
      </c>
      <c r="BC1059" t="s">
        <v>4155</v>
      </c>
      <c r="BE1059" t="s">
        <v>4128</v>
      </c>
      <c r="BF1059" t="s">
        <v>4281</v>
      </c>
      <c r="BG1059" t="s">
        <v>4128</v>
      </c>
      <c r="BM1059" t="s">
        <v>4627</v>
      </c>
    </row>
    <row r="1060" spans="1:65">
      <c r="A1060" s="1">
        <f>HYPERLINK("https://lsnyc.legalserver.org/matter/dynamic-profile/view/1879615","18-1879615")</f>
        <v>0</v>
      </c>
      <c r="B1060" t="s">
        <v>88</v>
      </c>
      <c r="C1060" t="s">
        <v>93</v>
      </c>
      <c r="D1060" t="s">
        <v>448</v>
      </c>
      <c r="F1060" t="s">
        <v>888</v>
      </c>
      <c r="G1060" t="s">
        <v>1419</v>
      </c>
      <c r="H1060" t="s">
        <v>1830</v>
      </c>
      <c r="I1060" t="s">
        <v>1950</v>
      </c>
      <c r="J1060" t="s">
        <v>2205</v>
      </c>
      <c r="K1060">
        <v>11207</v>
      </c>
      <c r="N1060" t="s">
        <v>2233</v>
      </c>
      <c r="O1060" t="s">
        <v>2745</v>
      </c>
      <c r="Q1060" t="s">
        <v>3331</v>
      </c>
      <c r="R1060">
        <v>1</v>
      </c>
      <c r="S1060">
        <v>3</v>
      </c>
      <c r="T1060">
        <v>82.87</v>
      </c>
      <c r="W1060">
        <v>20800</v>
      </c>
      <c r="Y1060">
        <v>0</v>
      </c>
      <c r="AA1060" t="s">
        <v>90</v>
      </c>
      <c r="AB1060" t="s">
        <v>3940</v>
      </c>
      <c r="AC1060" t="s">
        <v>3943</v>
      </c>
      <c r="AF1060" t="s">
        <v>4061</v>
      </c>
      <c r="AH1060" t="s">
        <v>4080</v>
      </c>
      <c r="AJ1060" t="s">
        <v>3942</v>
      </c>
      <c r="AL1060" t="s">
        <v>4086</v>
      </c>
      <c r="AM1060" t="s">
        <v>2230</v>
      </c>
      <c r="AO1060">
        <v>1000</v>
      </c>
      <c r="AQ1060">
        <v>6</v>
      </c>
      <c r="AS1060" t="s">
        <v>4113</v>
      </c>
      <c r="AU1060" t="s">
        <v>4128</v>
      </c>
      <c r="AW1060">
        <v>4</v>
      </c>
      <c r="AY1060" t="s">
        <v>4140</v>
      </c>
      <c r="BA1060" t="s">
        <v>4149</v>
      </c>
      <c r="BB1060" t="s">
        <v>4154</v>
      </c>
      <c r="BE1060" t="s">
        <v>4162</v>
      </c>
      <c r="BF1060" t="s">
        <v>4281</v>
      </c>
      <c r="BG1060" t="s">
        <v>4054</v>
      </c>
      <c r="BM1060" t="s">
        <v>4627</v>
      </c>
    </row>
    <row r="1061" spans="1:65">
      <c r="A1061" s="1">
        <f>HYPERLINK("https://lsnyc.legalserver.org/matter/dynamic-profile/view/1868961","18-1868961")</f>
        <v>0</v>
      </c>
      <c r="B1061" t="s">
        <v>88</v>
      </c>
      <c r="C1061" t="s">
        <v>93</v>
      </c>
      <c r="D1061" t="s">
        <v>290</v>
      </c>
      <c r="F1061" t="s">
        <v>860</v>
      </c>
      <c r="G1061" t="s">
        <v>1504</v>
      </c>
      <c r="H1061" t="s">
        <v>1852</v>
      </c>
      <c r="I1061" t="s">
        <v>1924</v>
      </c>
      <c r="J1061" t="s">
        <v>2205</v>
      </c>
      <c r="K1061">
        <v>11208</v>
      </c>
      <c r="N1061" t="s">
        <v>2240</v>
      </c>
      <c r="O1061" t="s">
        <v>2854</v>
      </c>
      <c r="Q1061" t="s">
        <v>3374</v>
      </c>
      <c r="R1061">
        <v>1</v>
      </c>
      <c r="S1061">
        <v>1</v>
      </c>
      <c r="T1061">
        <v>43.74</v>
      </c>
      <c r="V1061" t="s">
        <v>3456</v>
      </c>
      <c r="W1061">
        <v>7200</v>
      </c>
      <c r="Y1061">
        <v>19.25</v>
      </c>
      <c r="Z1061" t="s">
        <v>3881</v>
      </c>
      <c r="AA1061" t="s">
        <v>88</v>
      </c>
      <c r="AC1061" t="s">
        <v>3942</v>
      </c>
      <c r="AD1061" t="s">
        <v>290</v>
      </c>
      <c r="AF1061" t="s">
        <v>4071</v>
      </c>
      <c r="AH1061" t="s">
        <v>4078</v>
      </c>
      <c r="AJ1061" t="s">
        <v>3943</v>
      </c>
      <c r="AL1061" t="s">
        <v>4086</v>
      </c>
      <c r="AM1061" t="s">
        <v>2230</v>
      </c>
      <c r="AO1061">
        <v>1166.88</v>
      </c>
      <c r="AQ1061">
        <v>6</v>
      </c>
      <c r="AS1061" t="s">
        <v>4113</v>
      </c>
      <c r="AT1061" t="s">
        <v>4127</v>
      </c>
      <c r="AW1061">
        <v>11</v>
      </c>
      <c r="AY1061" t="s">
        <v>4140</v>
      </c>
      <c r="BB1061" t="s">
        <v>4154</v>
      </c>
      <c r="BD1061" t="s">
        <v>4157</v>
      </c>
      <c r="BE1061" t="s">
        <v>4258</v>
      </c>
      <c r="BF1061" t="s">
        <v>4281</v>
      </c>
      <c r="BG1061" t="s">
        <v>4563</v>
      </c>
      <c r="BM1061" t="s">
        <v>4627</v>
      </c>
    </row>
    <row r="1062" spans="1:65">
      <c r="A1062" s="1">
        <f>HYPERLINK("https://lsnyc.legalserver.org/matter/dynamic-profile/view/1879917","18-1879917")</f>
        <v>0</v>
      </c>
      <c r="B1062" t="s">
        <v>88</v>
      </c>
      <c r="C1062" t="s">
        <v>93</v>
      </c>
      <c r="D1062" t="s">
        <v>209</v>
      </c>
      <c r="F1062" t="s">
        <v>853</v>
      </c>
      <c r="G1062" t="s">
        <v>1100</v>
      </c>
      <c r="H1062" t="s">
        <v>1830</v>
      </c>
      <c r="I1062" t="s">
        <v>1929</v>
      </c>
      <c r="J1062" t="s">
        <v>2205</v>
      </c>
      <c r="K1062">
        <v>11207</v>
      </c>
      <c r="N1062" t="s">
        <v>2233</v>
      </c>
      <c r="O1062" t="s">
        <v>2700</v>
      </c>
      <c r="Q1062" t="s">
        <v>3324</v>
      </c>
      <c r="R1062">
        <v>1</v>
      </c>
      <c r="S1062">
        <v>1</v>
      </c>
      <c r="T1062">
        <v>45.52</v>
      </c>
      <c r="W1062">
        <v>7492</v>
      </c>
      <c r="X1062" t="s">
        <v>3789</v>
      </c>
      <c r="Y1062">
        <v>0.12</v>
      </c>
      <c r="Z1062" t="s">
        <v>211</v>
      </c>
      <c r="AA1062" t="s">
        <v>90</v>
      </c>
      <c r="AC1062" t="s">
        <v>3942</v>
      </c>
      <c r="AD1062" t="s">
        <v>3981</v>
      </c>
      <c r="AF1062" t="s">
        <v>4062</v>
      </c>
      <c r="AH1062" t="s">
        <v>3510</v>
      </c>
      <c r="AJ1062" t="s">
        <v>3942</v>
      </c>
      <c r="AL1062" t="s">
        <v>4089</v>
      </c>
      <c r="AM1062" t="s">
        <v>2230</v>
      </c>
      <c r="AO1062">
        <v>1250</v>
      </c>
      <c r="AQ1062">
        <v>6</v>
      </c>
      <c r="AS1062" t="s">
        <v>4113</v>
      </c>
      <c r="AU1062" t="s">
        <v>4130</v>
      </c>
      <c r="AW1062">
        <v>7</v>
      </c>
      <c r="AY1062" t="s">
        <v>4140</v>
      </c>
      <c r="BA1062" t="s">
        <v>4149</v>
      </c>
      <c r="BB1062" t="s">
        <v>4154</v>
      </c>
      <c r="BE1062" t="s">
        <v>4162</v>
      </c>
      <c r="BF1062" t="s">
        <v>4281</v>
      </c>
      <c r="BG1062" t="s">
        <v>4054</v>
      </c>
      <c r="BM1062" t="s">
        <v>4627</v>
      </c>
    </row>
    <row r="1063" spans="1:65">
      <c r="A1063" s="1">
        <f>HYPERLINK("https://lsnyc.legalserver.org/matter/dynamic-profile/view/1901091","19-1901091")</f>
        <v>0</v>
      </c>
      <c r="B1063" t="s">
        <v>88</v>
      </c>
      <c r="C1063" t="s">
        <v>93</v>
      </c>
      <c r="D1063" t="s">
        <v>439</v>
      </c>
      <c r="F1063" t="s">
        <v>630</v>
      </c>
      <c r="G1063" t="s">
        <v>1505</v>
      </c>
      <c r="H1063" t="s">
        <v>1688</v>
      </c>
      <c r="I1063" t="s">
        <v>1928</v>
      </c>
      <c r="J1063" t="s">
        <v>2205</v>
      </c>
      <c r="K1063">
        <v>11212</v>
      </c>
      <c r="N1063" t="s">
        <v>2234</v>
      </c>
      <c r="O1063" t="s">
        <v>2855</v>
      </c>
      <c r="Q1063" t="s">
        <v>3375</v>
      </c>
      <c r="R1063">
        <v>3</v>
      </c>
      <c r="S1063">
        <v>0</v>
      </c>
      <c r="T1063">
        <v>468.82</v>
      </c>
      <c r="W1063">
        <v>100000</v>
      </c>
      <c r="X1063" t="s">
        <v>3805</v>
      </c>
      <c r="Y1063">
        <v>0</v>
      </c>
      <c r="AA1063" t="s">
        <v>90</v>
      </c>
      <c r="AC1063" t="s">
        <v>3942</v>
      </c>
      <c r="AD1063" t="s">
        <v>99</v>
      </c>
      <c r="AE1063" t="s">
        <v>4049</v>
      </c>
      <c r="AH1063" t="s">
        <v>4077</v>
      </c>
      <c r="AJ1063" t="s">
        <v>3942</v>
      </c>
      <c r="AL1063" t="s">
        <v>4086</v>
      </c>
      <c r="AM1063" t="s">
        <v>2230</v>
      </c>
      <c r="AO1063">
        <v>996</v>
      </c>
      <c r="AQ1063">
        <v>16</v>
      </c>
      <c r="AS1063" t="s">
        <v>4113</v>
      </c>
      <c r="AU1063" t="s">
        <v>4128</v>
      </c>
      <c r="AW1063">
        <v>16</v>
      </c>
      <c r="AY1063" t="s">
        <v>4140</v>
      </c>
      <c r="BA1063" t="s">
        <v>4149</v>
      </c>
      <c r="BC1063" t="s">
        <v>4155</v>
      </c>
      <c r="BF1063" t="s">
        <v>4281</v>
      </c>
      <c r="BG1063" t="s">
        <v>4307</v>
      </c>
      <c r="BM1063" t="s">
        <v>4627</v>
      </c>
    </row>
    <row r="1064" spans="1:65">
      <c r="A1064" s="1">
        <f>HYPERLINK("https://lsnyc.legalserver.org/matter/dynamic-profile/view/0826379","17-0826379")</f>
        <v>0</v>
      </c>
      <c r="B1064" t="s">
        <v>88</v>
      </c>
      <c r="C1064" t="s">
        <v>93</v>
      </c>
      <c r="D1064" t="s">
        <v>452</v>
      </c>
      <c r="F1064" t="s">
        <v>959</v>
      </c>
      <c r="G1064" t="s">
        <v>1506</v>
      </c>
      <c r="H1064" t="s">
        <v>1853</v>
      </c>
      <c r="I1064" t="s">
        <v>1984</v>
      </c>
      <c r="J1064" t="s">
        <v>2205</v>
      </c>
      <c r="K1064">
        <v>11207</v>
      </c>
      <c r="N1064" t="s">
        <v>2233</v>
      </c>
      <c r="O1064" t="s">
        <v>2856</v>
      </c>
      <c r="Q1064" t="s">
        <v>3376</v>
      </c>
      <c r="R1064">
        <v>4</v>
      </c>
      <c r="S1064">
        <v>3</v>
      </c>
      <c r="T1064">
        <v>81.84</v>
      </c>
      <c r="W1064">
        <v>30394</v>
      </c>
      <c r="X1064" t="s">
        <v>3806</v>
      </c>
      <c r="Y1064">
        <v>0.2</v>
      </c>
      <c r="Z1064" t="s">
        <v>3882</v>
      </c>
      <c r="AA1064" t="s">
        <v>90</v>
      </c>
      <c r="AC1064" t="s">
        <v>3942</v>
      </c>
      <c r="AE1064" t="s">
        <v>4049</v>
      </c>
      <c r="AH1064" t="s">
        <v>4081</v>
      </c>
      <c r="AJ1064" t="s">
        <v>3943</v>
      </c>
      <c r="AL1064" t="s">
        <v>4086</v>
      </c>
      <c r="AM1064" t="s">
        <v>2230</v>
      </c>
      <c r="AO1064">
        <v>1650</v>
      </c>
      <c r="AQ1064">
        <v>5</v>
      </c>
      <c r="AS1064" t="s">
        <v>4117</v>
      </c>
      <c r="AU1064" t="s">
        <v>4129</v>
      </c>
      <c r="AW1064">
        <v>10</v>
      </c>
      <c r="AY1064" t="s">
        <v>4140</v>
      </c>
      <c r="AZ1064" t="s">
        <v>4148</v>
      </c>
      <c r="BB1064" t="s">
        <v>4154</v>
      </c>
      <c r="BF1064" t="s">
        <v>4281</v>
      </c>
      <c r="BM1064" t="s">
        <v>4627</v>
      </c>
    </row>
    <row r="1065" spans="1:65">
      <c r="A1065" s="1">
        <f>HYPERLINK("https://lsnyc.legalserver.org/matter/dynamic-profile/view/1900719","19-1900719")</f>
        <v>0</v>
      </c>
      <c r="B1065" t="s">
        <v>88</v>
      </c>
      <c r="C1065" t="s">
        <v>93</v>
      </c>
      <c r="D1065" t="s">
        <v>435</v>
      </c>
      <c r="F1065" t="s">
        <v>960</v>
      </c>
      <c r="G1065" t="s">
        <v>1507</v>
      </c>
      <c r="H1065" t="s">
        <v>1580</v>
      </c>
      <c r="I1065" t="s">
        <v>2181</v>
      </c>
      <c r="J1065" t="s">
        <v>2205</v>
      </c>
      <c r="K1065">
        <v>11213</v>
      </c>
      <c r="N1065" t="s">
        <v>2233</v>
      </c>
      <c r="O1065" t="s">
        <v>2857</v>
      </c>
      <c r="Q1065" t="s">
        <v>3377</v>
      </c>
      <c r="R1065">
        <v>2</v>
      </c>
      <c r="S1065">
        <v>0</v>
      </c>
      <c r="T1065">
        <v>326.43</v>
      </c>
      <c r="W1065">
        <v>55200</v>
      </c>
      <c r="X1065" t="s">
        <v>3807</v>
      </c>
      <c r="Y1065">
        <v>0</v>
      </c>
      <c r="AA1065" t="s">
        <v>90</v>
      </c>
      <c r="AC1065" t="s">
        <v>3942</v>
      </c>
      <c r="AD1065" t="s">
        <v>431</v>
      </c>
      <c r="AF1065" t="s">
        <v>4054</v>
      </c>
      <c r="AH1065" t="s">
        <v>4080</v>
      </c>
      <c r="AJ1065" t="s">
        <v>3942</v>
      </c>
      <c r="AL1065" t="s">
        <v>4087</v>
      </c>
      <c r="AM1065" t="s">
        <v>2230</v>
      </c>
      <c r="AO1065">
        <v>756</v>
      </c>
      <c r="AQ1065">
        <v>34</v>
      </c>
      <c r="AS1065" t="s">
        <v>4113</v>
      </c>
      <c r="AU1065" t="s">
        <v>4128</v>
      </c>
      <c r="AW1065">
        <v>40</v>
      </c>
      <c r="AY1065" t="s">
        <v>4140</v>
      </c>
      <c r="BA1065" t="s">
        <v>4149</v>
      </c>
      <c r="BC1065" t="s">
        <v>4155</v>
      </c>
      <c r="BF1065" t="s">
        <v>4281</v>
      </c>
      <c r="BM1065" t="s">
        <v>4627</v>
      </c>
    </row>
    <row r="1066" spans="1:65">
      <c r="A1066" s="1">
        <f>HYPERLINK("https://lsnyc.legalserver.org/matter/dynamic-profile/view/1880097","18-1880097")</f>
        <v>0</v>
      </c>
      <c r="B1066" t="s">
        <v>88</v>
      </c>
      <c r="C1066" t="s">
        <v>93</v>
      </c>
      <c r="D1066" t="s">
        <v>179</v>
      </c>
      <c r="F1066" t="s">
        <v>946</v>
      </c>
      <c r="G1066" t="s">
        <v>1392</v>
      </c>
      <c r="H1066" t="s">
        <v>1580</v>
      </c>
      <c r="I1066" t="s">
        <v>1927</v>
      </c>
      <c r="J1066" t="s">
        <v>2205</v>
      </c>
      <c r="K1066">
        <v>11213</v>
      </c>
      <c r="N1066" t="s">
        <v>2233</v>
      </c>
      <c r="O1066" t="s">
        <v>2835</v>
      </c>
      <c r="Q1066" t="s">
        <v>3357</v>
      </c>
      <c r="R1066">
        <v>1</v>
      </c>
      <c r="S1066">
        <v>0</v>
      </c>
      <c r="T1066">
        <v>461.29</v>
      </c>
      <c r="W1066">
        <v>56000</v>
      </c>
      <c r="Y1066">
        <v>1.2</v>
      </c>
      <c r="Z1066" t="s">
        <v>232</v>
      </c>
      <c r="AA1066" t="s">
        <v>90</v>
      </c>
      <c r="AC1066" t="s">
        <v>3942</v>
      </c>
      <c r="AD1066" t="s">
        <v>232</v>
      </c>
      <c r="AF1066" t="s">
        <v>4058</v>
      </c>
      <c r="AH1066" t="s">
        <v>4076</v>
      </c>
      <c r="AJ1066" t="s">
        <v>3942</v>
      </c>
      <c r="AL1066" t="s">
        <v>4087</v>
      </c>
      <c r="AM1066" t="s">
        <v>2230</v>
      </c>
      <c r="AN1066" t="s">
        <v>4107</v>
      </c>
      <c r="AO1066">
        <v>0</v>
      </c>
      <c r="AQ1066">
        <v>34</v>
      </c>
      <c r="AS1066" t="s">
        <v>4113</v>
      </c>
      <c r="AU1066" t="s">
        <v>4128</v>
      </c>
      <c r="AV1066" t="s">
        <v>4137</v>
      </c>
      <c r="AW1066">
        <v>0</v>
      </c>
      <c r="AY1066" t="s">
        <v>4140</v>
      </c>
      <c r="BA1066" t="s">
        <v>4149</v>
      </c>
      <c r="BB1066" t="s">
        <v>4154</v>
      </c>
      <c r="BE1066" t="s">
        <v>4128</v>
      </c>
      <c r="BG1066" t="s">
        <v>4301</v>
      </c>
      <c r="BM1066" t="s">
        <v>4627</v>
      </c>
    </row>
    <row r="1067" spans="1:65">
      <c r="A1067" s="1">
        <f>HYPERLINK("https://lsnyc.legalserver.org/matter/dynamic-profile/view/1900069","19-1900069")</f>
        <v>0</v>
      </c>
      <c r="B1067" t="s">
        <v>89</v>
      </c>
      <c r="C1067" t="s">
        <v>96</v>
      </c>
      <c r="D1067" t="s">
        <v>453</v>
      </c>
      <c r="F1067" t="s">
        <v>961</v>
      </c>
      <c r="G1067" t="s">
        <v>1508</v>
      </c>
      <c r="H1067" t="s">
        <v>1854</v>
      </c>
      <c r="I1067" t="s">
        <v>1950</v>
      </c>
      <c r="J1067" t="s">
        <v>2211</v>
      </c>
      <c r="K1067">
        <v>11385</v>
      </c>
      <c r="N1067" t="s">
        <v>2233</v>
      </c>
      <c r="O1067" t="s">
        <v>2858</v>
      </c>
      <c r="Q1067" t="s">
        <v>3378</v>
      </c>
      <c r="R1067">
        <v>2</v>
      </c>
      <c r="S1067">
        <v>1</v>
      </c>
      <c r="T1067">
        <v>0</v>
      </c>
      <c r="W1067">
        <v>0</v>
      </c>
      <c r="Y1067">
        <v>48.67</v>
      </c>
      <c r="Z1067" t="s">
        <v>122</v>
      </c>
      <c r="AA1067" t="s">
        <v>3934</v>
      </c>
      <c r="AC1067" t="s">
        <v>3942</v>
      </c>
      <c r="AD1067" t="s">
        <v>182</v>
      </c>
      <c r="AF1067" t="s">
        <v>4058</v>
      </c>
      <c r="AH1067" t="s">
        <v>4076</v>
      </c>
      <c r="AJ1067" t="s">
        <v>3943</v>
      </c>
      <c r="AL1067" t="s">
        <v>4086</v>
      </c>
      <c r="AM1067" t="s">
        <v>2230</v>
      </c>
      <c r="AO1067">
        <v>204</v>
      </c>
      <c r="AQ1067">
        <v>6</v>
      </c>
      <c r="AS1067" t="s">
        <v>4115</v>
      </c>
      <c r="AU1067" t="s">
        <v>4128</v>
      </c>
      <c r="AW1067">
        <v>52</v>
      </c>
      <c r="AY1067" t="s">
        <v>4140</v>
      </c>
      <c r="BA1067" t="s">
        <v>4149</v>
      </c>
      <c r="BC1067" t="s">
        <v>4155</v>
      </c>
      <c r="BD1067" t="s">
        <v>4157</v>
      </c>
      <c r="BE1067" t="s">
        <v>3208</v>
      </c>
      <c r="BF1067" t="s">
        <v>4281</v>
      </c>
      <c r="BG1067" t="s">
        <v>4564</v>
      </c>
      <c r="BM1067" t="s">
        <v>4627</v>
      </c>
    </row>
    <row r="1068" spans="1:65">
      <c r="A1068" s="1">
        <f>HYPERLINK("https://lsnyc.legalserver.org/matter/dynamic-profile/view/1912929","19-1912929")</f>
        <v>0</v>
      </c>
      <c r="B1068" t="s">
        <v>89</v>
      </c>
      <c r="C1068" t="s">
        <v>96</v>
      </c>
      <c r="D1068" t="s">
        <v>111</v>
      </c>
      <c r="F1068" t="s">
        <v>962</v>
      </c>
      <c r="G1068" t="s">
        <v>1509</v>
      </c>
      <c r="H1068" t="s">
        <v>1855</v>
      </c>
      <c r="I1068" t="s">
        <v>2108</v>
      </c>
      <c r="J1068" t="s">
        <v>2212</v>
      </c>
      <c r="K1068">
        <v>11368</v>
      </c>
      <c r="N1068" t="s">
        <v>2233</v>
      </c>
      <c r="O1068" t="s">
        <v>2859</v>
      </c>
      <c r="Q1068" t="s">
        <v>3208</v>
      </c>
      <c r="R1068">
        <v>1</v>
      </c>
      <c r="S1068">
        <v>0</v>
      </c>
      <c r="T1068">
        <v>320.26</v>
      </c>
      <c r="W1068">
        <v>40000</v>
      </c>
      <c r="Y1068">
        <v>0.3</v>
      </c>
      <c r="Z1068" t="s">
        <v>111</v>
      </c>
      <c r="AA1068" t="s">
        <v>3935</v>
      </c>
      <c r="AC1068" t="s">
        <v>3942</v>
      </c>
      <c r="AD1068" t="s">
        <v>111</v>
      </c>
      <c r="AF1068" t="s">
        <v>4059</v>
      </c>
      <c r="AH1068" t="s">
        <v>4078</v>
      </c>
      <c r="AJ1068" t="s">
        <v>3942</v>
      </c>
      <c r="AL1068" t="s">
        <v>4089</v>
      </c>
      <c r="AM1068" t="s">
        <v>2230</v>
      </c>
      <c r="AO1068">
        <v>1000</v>
      </c>
      <c r="AP1068" t="s">
        <v>4108</v>
      </c>
      <c r="AQ1068" t="s">
        <v>4110</v>
      </c>
      <c r="AS1068" t="s">
        <v>4113</v>
      </c>
      <c r="AU1068" t="s">
        <v>4128</v>
      </c>
      <c r="AW1068">
        <v>40</v>
      </c>
      <c r="AY1068" t="s">
        <v>4140</v>
      </c>
      <c r="BA1068" t="s">
        <v>4149</v>
      </c>
      <c r="BC1068" t="s">
        <v>4155</v>
      </c>
      <c r="BD1068" t="s">
        <v>4157</v>
      </c>
      <c r="BE1068" t="s">
        <v>3208</v>
      </c>
      <c r="BG1068" t="s">
        <v>4565</v>
      </c>
      <c r="BK1068" t="s">
        <v>4070</v>
      </c>
      <c r="BM1068" t="s">
        <v>4627</v>
      </c>
    </row>
    <row r="1069" spans="1:65">
      <c r="A1069" s="1">
        <f>HYPERLINK("https://lsnyc.legalserver.org/matter/dynamic-profile/view/1915295","19-1915295")</f>
        <v>0</v>
      </c>
      <c r="B1069" t="s">
        <v>89</v>
      </c>
      <c r="C1069" t="s">
        <v>96</v>
      </c>
      <c r="D1069" t="s">
        <v>360</v>
      </c>
      <c r="F1069" t="s">
        <v>963</v>
      </c>
      <c r="G1069" t="s">
        <v>1510</v>
      </c>
      <c r="H1069" t="s">
        <v>1856</v>
      </c>
      <c r="I1069" t="s">
        <v>1940</v>
      </c>
      <c r="J1069" t="s">
        <v>2213</v>
      </c>
      <c r="K1069">
        <v>11354</v>
      </c>
      <c r="N1069" t="s">
        <v>2233</v>
      </c>
      <c r="O1069" t="s">
        <v>2860</v>
      </c>
      <c r="Q1069" t="s">
        <v>3379</v>
      </c>
      <c r="R1069">
        <v>1</v>
      </c>
      <c r="S1069">
        <v>0</v>
      </c>
      <c r="T1069">
        <v>137.39</v>
      </c>
      <c r="W1069">
        <v>17160</v>
      </c>
      <c r="Y1069">
        <v>0.2</v>
      </c>
      <c r="Z1069" t="s">
        <v>457</v>
      </c>
      <c r="AA1069" t="s">
        <v>3935</v>
      </c>
      <c r="AC1069" t="s">
        <v>3942</v>
      </c>
      <c r="AD1069" t="s">
        <v>360</v>
      </c>
      <c r="AF1069" t="s">
        <v>4058</v>
      </c>
      <c r="AH1069" t="s">
        <v>4076</v>
      </c>
      <c r="AJ1069" t="s">
        <v>3943</v>
      </c>
      <c r="AL1069" t="s">
        <v>4086</v>
      </c>
      <c r="AM1069" t="s">
        <v>2230</v>
      </c>
      <c r="AO1069">
        <v>923</v>
      </c>
      <c r="AQ1069">
        <v>72</v>
      </c>
      <c r="AR1069" t="s">
        <v>4112</v>
      </c>
      <c r="AU1069" t="s">
        <v>4128</v>
      </c>
      <c r="AW1069">
        <v>42</v>
      </c>
      <c r="AY1069" t="s">
        <v>4140</v>
      </c>
      <c r="BC1069" t="s">
        <v>4155</v>
      </c>
      <c r="BF1069" t="s">
        <v>4281</v>
      </c>
      <c r="BM1069" t="s">
        <v>4627</v>
      </c>
    </row>
    <row r="1070" spans="1:65">
      <c r="A1070" s="1">
        <f>HYPERLINK("https://lsnyc.legalserver.org/matter/dynamic-profile/view/1915200","19-1915200")</f>
        <v>0</v>
      </c>
      <c r="B1070" t="s">
        <v>89</v>
      </c>
      <c r="C1070" t="s">
        <v>96</v>
      </c>
      <c r="D1070" t="s">
        <v>454</v>
      </c>
      <c r="F1070" t="s">
        <v>964</v>
      </c>
      <c r="G1070" t="s">
        <v>1121</v>
      </c>
      <c r="H1070" t="s">
        <v>1857</v>
      </c>
      <c r="I1070" t="s">
        <v>2182</v>
      </c>
      <c r="J1070" t="s">
        <v>2212</v>
      </c>
      <c r="K1070">
        <v>11368</v>
      </c>
      <c r="N1070" t="s">
        <v>2233</v>
      </c>
      <c r="O1070" t="s">
        <v>2861</v>
      </c>
      <c r="Q1070" t="s">
        <v>3380</v>
      </c>
      <c r="R1070">
        <v>2</v>
      </c>
      <c r="S1070">
        <v>0</v>
      </c>
      <c r="T1070">
        <v>112.36</v>
      </c>
      <c r="W1070">
        <v>19000</v>
      </c>
      <c r="Y1070">
        <v>16.15</v>
      </c>
      <c r="Z1070" t="s">
        <v>135</v>
      </c>
      <c r="AA1070" t="s">
        <v>89</v>
      </c>
      <c r="AB1070" t="s">
        <v>3940</v>
      </c>
      <c r="AC1070" t="s">
        <v>3944</v>
      </c>
      <c r="AF1070" t="s">
        <v>4050</v>
      </c>
      <c r="AH1070" t="s">
        <v>4076</v>
      </c>
      <c r="AJ1070" t="s">
        <v>3943</v>
      </c>
      <c r="AK1070" t="s">
        <v>4084</v>
      </c>
      <c r="AM1070" t="s">
        <v>2230</v>
      </c>
      <c r="AO1070">
        <v>1188.26</v>
      </c>
      <c r="AP1070" t="s">
        <v>4108</v>
      </c>
      <c r="AQ1070" t="s">
        <v>4110</v>
      </c>
      <c r="AS1070" t="s">
        <v>4113</v>
      </c>
      <c r="AT1070" t="s">
        <v>4127</v>
      </c>
      <c r="AW1070">
        <v>22</v>
      </c>
      <c r="AY1070" t="s">
        <v>4141</v>
      </c>
      <c r="AZ1070" t="s">
        <v>4148</v>
      </c>
      <c r="BB1070" t="s">
        <v>4154</v>
      </c>
      <c r="BG1070" t="s">
        <v>4566</v>
      </c>
      <c r="BM1070" t="s">
        <v>4627</v>
      </c>
    </row>
    <row r="1071" spans="1:65">
      <c r="A1071" s="1">
        <f>HYPERLINK("https://lsnyc.legalserver.org/matter/dynamic-profile/view/1914416","19-1914416")</f>
        <v>0</v>
      </c>
      <c r="B1071" t="s">
        <v>89</v>
      </c>
      <c r="C1071" t="s">
        <v>96</v>
      </c>
      <c r="D1071" t="s">
        <v>136</v>
      </c>
      <c r="F1071" t="s">
        <v>965</v>
      </c>
      <c r="G1071" t="s">
        <v>1511</v>
      </c>
      <c r="H1071" t="s">
        <v>1858</v>
      </c>
      <c r="I1071" t="s">
        <v>2183</v>
      </c>
      <c r="J1071" t="s">
        <v>2214</v>
      </c>
      <c r="K1071">
        <v>11356</v>
      </c>
      <c r="N1071" t="s">
        <v>2233</v>
      </c>
      <c r="O1071" t="s">
        <v>2862</v>
      </c>
      <c r="Q1071" t="s">
        <v>3381</v>
      </c>
      <c r="R1071">
        <v>2</v>
      </c>
      <c r="S1071">
        <v>2</v>
      </c>
      <c r="T1071">
        <v>93.2</v>
      </c>
      <c r="W1071">
        <v>24000</v>
      </c>
      <c r="Y1071">
        <v>2.25</v>
      </c>
      <c r="Z1071" t="s">
        <v>122</v>
      </c>
      <c r="AA1071" t="s">
        <v>3936</v>
      </c>
      <c r="AC1071" t="s">
        <v>3942</v>
      </c>
      <c r="AF1071" t="s">
        <v>4050</v>
      </c>
      <c r="AH1071" t="s">
        <v>4081</v>
      </c>
      <c r="AI1071" t="s">
        <v>4082</v>
      </c>
      <c r="AL1071" t="s">
        <v>4099</v>
      </c>
      <c r="AM1071" t="s">
        <v>2230</v>
      </c>
      <c r="AO1071">
        <v>1800</v>
      </c>
      <c r="AQ1071">
        <v>2</v>
      </c>
      <c r="AS1071" t="s">
        <v>4114</v>
      </c>
      <c r="AU1071" t="s">
        <v>4128</v>
      </c>
      <c r="AW1071">
        <v>3</v>
      </c>
      <c r="AY1071" t="s">
        <v>4140</v>
      </c>
      <c r="BA1071" t="s">
        <v>4150</v>
      </c>
      <c r="BB1071" t="s">
        <v>4154</v>
      </c>
      <c r="BG1071" t="s">
        <v>4567</v>
      </c>
      <c r="BM1071" t="s">
        <v>4627</v>
      </c>
    </row>
    <row r="1072" spans="1:65">
      <c r="A1072" s="1">
        <f>HYPERLINK("https://lsnyc.legalserver.org/matter/dynamic-profile/view/1908549","19-1908549")</f>
        <v>0</v>
      </c>
      <c r="B1072" t="s">
        <v>89</v>
      </c>
      <c r="C1072" t="s">
        <v>96</v>
      </c>
      <c r="D1072" t="s">
        <v>455</v>
      </c>
      <c r="F1072" t="s">
        <v>579</v>
      </c>
      <c r="G1072" t="s">
        <v>1512</v>
      </c>
      <c r="H1072" t="s">
        <v>1859</v>
      </c>
      <c r="I1072">
        <v>4</v>
      </c>
      <c r="J1072" t="s">
        <v>2215</v>
      </c>
      <c r="K1072">
        <v>11103</v>
      </c>
      <c r="N1072" t="s">
        <v>2233</v>
      </c>
      <c r="O1072" t="s">
        <v>2863</v>
      </c>
      <c r="Q1072" t="s">
        <v>3382</v>
      </c>
      <c r="R1072">
        <v>1</v>
      </c>
      <c r="S1072">
        <v>0</v>
      </c>
      <c r="T1072">
        <v>192.15</v>
      </c>
      <c r="W1072">
        <v>24000</v>
      </c>
      <c r="Y1072">
        <v>2.85</v>
      </c>
      <c r="Z1072" t="s">
        <v>360</v>
      </c>
      <c r="AA1072" t="s">
        <v>3890</v>
      </c>
      <c r="AC1072" t="s">
        <v>3942</v>
      </c>
      <c r="AD1072" t="s">
        <v>4046</v>
      </c>
      <c r="AF1072" t="s">
        <v>4052</v>
      </c>
      <c r="AH1072" t="s">
        <v>3510</v>
      </c>
      <c r="AJ1072" t="s">
        <v>3943</v>
      </c>
      <c r="AL1072" t="s">
        <v>4105</v>
      </c>
      <c r="AM1072" t="s">
        <v>2230</v>
      </c>
      <c r="AO1072">
        <v>630</v>
      </c>
      <c r="AQ1072">
        <v>25</v>
      </c>
      <c r="AS1072" t="s">
        <v>4113</v>
      </c>
      <c r="AU1072" t="s">
        <v>4070</v>
      </c>
      <c r="AW1072">
        <v>50</v>
      </c>
      <c r="AY1072" t="s">
        <v>4140</v>
      </c>
      <c r="BA1072" t="s">
        <v>4149</v>
      </c>
      <c r="BC1072" t="s">
        <v>4155</v>
      </c>
      <c r="BF1072" t="s">
        <v>4281</v>
      </c>
      <c r="BM1072" t="s">
        <v>4627</v>
      </c>
    </row>
    <row r="1073" spans="1:65">
      <c r="A1073" s="1">
        <f>HYPERLINK("https://lsnyc.legalserver.org/matter/dynamic-profile/view/1898775","19-1898775")</f>
        <v>0</v>
      </c>
      <c r="B1073" t="s">
        <v>89</v>
      </c>
      <c r="C1073" t="s">
        <v>96</v>
      </c>
      <c r="D1073" t="s">
        <v>432</v>
      </c>
      <c r="F1073" t="s">
        <v>625</v>
      </c>
      <c r="G1073" t="s">
        <v>1079</v>
      </c>
      <c r="H1073" t="s">
        <v>1860</v>
      </c>
      <c r="I1073" t="s">
        <v>2184</v>
      </c>
      <c r="J1073" t="s">
        <v>2216</v>
      </c>
      <c r="K1073">
        <v>11369</v>
      </c>
      <c r="N1073" t="s">
        <v>2233</v>
      </c>
      <c r="O1073" t="s">
        <v>2864</v>
      </c>
      <c r="Q1073" t="s">
        <v>3383</v>
      </c>
      <c r="R1073">
        <v>3</v>
      </c>
      <c r="S1073">
        <v>0</v>
      </c>
      <c r="T1073">
        <v>84.89</v>
      </c>
      <c r="W1073">
        <v>18108</v>
      </c>
      <c r="Y1073">
        <v>47.8</v>
      </c>
      <c r="Z1073" t="s">
        <v>360</v>
      </c>
      <c r="AA1073" t="s">
        <v>3937</v>
      </c>
      <c r="AC1073" t="s">
        <v>3942</v>
      </c>
      <c r="AD1073" t="s">
        <v>432</v>
      </c>
      <c r="AF1073" t="s">
        <v>4050</v>
      </c>
      <c r="AH1073" t="s">
        <v>4076</v>
      </c>
      <c r="AJ1073" t="s">
        <v>3943</v>
      </c>
      <c r="AL1073" t="s">
        <v>4099</v>
      </c>
      <c r="AM1073" t="s">
        <v>2230</v>
      </c>
      <c r="AO1073">
        <v>1396</v>
      </c>
      <c r="AQ1073">
        <v>2</v>
      </c>
      <c r="AR1073" t="s">
        <v>4112</v>
      </c>
      <c r="AT1073" t="s">
        <v>4127</v>
      </c>
      <c r="AW1073">
        <v>11</v>
      </c>
      <c r="AY1073" t="s">
        <v>4141</v>
      </c>
      <c r="BA1073" t="s">
        <v>4149</v>
      </c>
      <c r="BC1073" t="s">
        <v>4155</v>
      </c>
      <c r="BG1073" t="s">
        <v>4568</v>
      </c>
      <c r="BM1073" t="s">
        <v>4627</v>
      </c>
    </row>
    <row r="1074" spans="1:65">
      <c r="A1074" s="1">
        <f>HYPERLINK("https://lsnyc.legalserver.org/matter/dynamic-profile/view/1897572","19-1897572")</f>
        <v>0</v>
      </c>
      <c r="B1074" t="s">
        <v>89</v>
      </c>
      <c r="C1074" t="s">
        <v>96</v>
      </c>
      <c r="D1074" t="s">
        <v>233</v>
      </c>
      <c r="F1074" t="s">
        <v>966</v>
      </c>
      <c r="G1074" t="s">
        <v>1102</v>
      </c>
      <c r="H1074" t="s">
        <v>1861</v>
      </c>
      <c r="I1074" t="s">
        <v>2185</v>
      </c>
      <c r="J1074" t="s">
        <v>2211</v>
      </c>
      <c r="K1074">
        <v>11386</v>
      </c>
      <c r="N1074" t="s">
        <v>2233</v>
      </c>
      <c r="O1074" t="s">
        <v>2865</v>
      </c>
      <c r="Q1074" t="s">
        <v>3384</v>
      </c>
      <c r="R1074">
        <v>1</v>
      </c>
      <c r="S1074">
        <v>0</v>
      </c>
      <c r="T1074">
        <v>376.3</v>
      </c>
      <c r="W1074">
        <v>47000</v>
      </c>
      <c r="Y1074">
        <v>85.95999999999999</v>
      </c>
      <c r="Z1074" t="s">
        <v>357</v>
      </c>
      <c r="AA1074" t="s">
        <v>3934</v>
      </c>
      <c r="AC1074" t="s">
        <v>3942</v>
      </c>
      <c r="AD1074" t="s">
        <v>3842</v>
      </c>
      <c r="AF1074" t="s">
        <v>4059</v>
      </c>
      <c r="AH1074" t="s">
        <v>4078</v>
      </c>
      <c r="AJ1074" t="s">
        <v>3942</v>
      </c>
      <c r="AL1074" t="s">
        <v>4089</v>
      </c>
      <c r="AM1074" t="s">
        <v>2230</v>
      </c>
      <c r="AO1074">
        <v>1260</v>
      </c>
      <c r="AQ1074">
        <v>70</v>
      </c>
      <c r="AS1074" t="s">
        <v>4113</v>
      </c>
      <c r="AU1074" t="s">
        <v>4128</v>
      </c>
      <c r="AW1074">
        <v>19</v>
      </c>
      <c r="AY1074" t="s">
        <v>4140</v>
      </c>
      <c r="BA1074" t="s">
        <v>4149</v>
      </c>
      <c r="BC1074" t="s">
        <v>4155</v>
      </c>
      <c r="BD1074" t="s">
        <v>4157</v>
      </c>
      <c r="BE1074" t="s">
        <v>3208</v>
      </c>
      <c r="BG1074" t="s">
        <v>4565</v>
      </c>
      <c r="BM1074" t="s">
        <v>4627</v>
      </c>
    </row>
    <row r="1075" spans="1:65">
      <c r="A1075" s="1">
        <f>HYPERLINK("https://lsnyc.legalserver.org/matter/dynamic-profile/view/1913357","19-1913357")</f>
        <v>0</v>
      </c>
      <c r="B1075" t="s">
        <v>89</v>
      </c>
      <c r="C1075" t="s">
        <v>96</v>
      </c>
      <c r="D1075" t="s">
        <v>139</v>
      </c>
      <c r="F1075" t="s">
        <v>840</v>
      </c>
      <c r="G1075" t="s">
        <v>1021</v>
      </c>
      <c r="H1075" t="s">
        <v>1862</v>
      </c>
      <c r="I1075" t="s">
        <v>1972</v>
      </c>
      <c r="J1075" t="s">
        <v>2217</v>
      </c>
      <c r="K1075">
        <v>11422</v>
      </c>
      <c r="N1075" t="s">
        <v>2233</v>
      </c>
      <c r="O1075" t="s">
        <v>2866</v>
      </c>
      <c r="Q1075" t="s">
        <v>3385</v>
      </c>
      <c r="R1075">
        <v>1</v>
      </c>
      <c r="S1075">
        <v>0</v>
      </c>
      <c r="T1075">
        <v>120.48</v>
      </c>
      <c r="W1075">
        <v>15048</v>
      </c>
      <c r="Y1075">
        <v>1.72</v>
      </c>
      <c r="Z1075" t="s">
        <v>340</v>
      </c>
      <c r="AA1075" t="s">
        <v>3932</v>
      </c>
      <c r="AC1075" t="s">
        <v>3942</v>
      </c>
      <c r="AF1075" t="s">
        <v>4050</v>
      </c>
      <c r="AH1075" t="s">
        <v>4081</v>
      </c>
      <c r="AJ1075" t="s">
        <v>3943</v>
      </c>
      <c r="AL1075" t="s">
        <v>4099</v>
      </c>
      <c r="AM1075" t="s">
        <v>2230</v>
      </c>
      <c r="AO1075">
        <v>1300</v>
      </c>
      <c r="AQ1075">
        <v>2</v>
      </c>
      <c r="AS1075" t="s">
        <v>4114</v>
      </c>
      <c r="AU1075" t="s">
        <v>4129</v>
      </c>
      <c r="AW1075">
        <v>13</v>
      </c>
      <c r="AY1075" t="s">
        <v>4140</v>
      </c>
      <c r="AZ1075" t="s">
        <v>4148</v>
      </c>
      <c r="BC1075" t="s">
        <v>4155</v>
      </c>
      <c r="BG1075" t="s">
        <v>4569</v>
      </c>
      <c r="BM1075" t="s">
        <v>4627</v>
      </c>
    </row>
    <row r="1076" spans="1:65">
      <c r="A1076" s="1">
        <f>HYPERLINK("https://lsnyc.legalserver.org/matter/dynamic-profile/view/1872303","18-1872303")</f>
        <v>0</v>
      </c>
      <c r="B1076" t="s">
        <v>89</v>
      </c>
      <c r="C1076" t="s">
        <v>96</v>
      </c>
      <c r="D1076" t="s">
        <v>262</v>
      </c>
      <c r="F1076" t="s">
        <v>829</v>
      </c>
      <c r="G1076" t="s">
        <v>1513</v>
      </c>
      <c r="H1076" t="s">
        <v>1863</v>
      </c>
      <c r="I1076" t="s">
        <v>1931</v>
      </c>
      <c r="J1076" t="s">
        <v>2218</v>
      </c>
      <c r="K1076">
        <v>11691</v>
      </c>
      <c r="N1076" t="s">
        <v>2233</v>
      </c>
      <c r="O1076" t="s">
        <v>2867</v>
      </c>
      <c r="Q1076" t="s">
        <v>3386</v>
      </c>
      <c r="R1076">
        <v>3</v>
      </c>
      <c r="S1076">
        <v>0</v>
      </c>
      <c r="T1076">
        <v>23.77</v>
      </c>
      <c r="W1076">
        <v>4940</v>
      </c>
      <c r="Y1076">
        <v>17.96</v>
      </c>
      <c r="Z1076" t="s">
        <v>254</v>
      </c>
      <c r="AA1076" t="s">
        <v>3935</v>
      </c>
      <c r="AC1076" t="s">
        <v>3942</v>
      </c>
      <c r="AD1076" t="s">
        <v>262</v>
      </c>
      <c r="AF1076" t="s">
        <v>4050</v>
      </c>
      <c r="AH1076" t="s">
        <v>4076</v>
      </c>
      <c r="AJ1076" t="s">
        <v>3943</v>
      </c>
      <c r="AL1076" t="s">
        <v>4086</v>
      </c>
      <c r="AM1076" t="s">
        <v>2230</v>
      </c>
      <c r="AO1076">
        <v>380</v>
      </c>
      <c r="AQ1076">
        <v>231</v>
      </c>
      <c r="AS1076" t="s">
        <v>4125</v>
      </c>
      <c r="AU1076" t="s">
        <v>4128</v>
      </c>
      <c r="AW1076">
        <v>19</v>
      </c>
      <c r="AY1076" t="s">
        <v>4140</v>
      </c>
      <c r="BA1076" t="s">
        <v>4149</v>
      </c>
      <c r="BB1076" t="s">
        <v>4154</v>
      </c>
      <c r="BE1076" t="s">
        <v>4259</v>
      </c>
      <c r="BF1076" t="s">
        <v>4281</v>
      </c>
      <c r="BG1076" t="s">
        <v>4570</v>
      </c>
      <c r="BM1076" t="s">
        <v>4627</v>
      </c>
    </row>
    <row r="1077" spans="1:65">
      <c r="A1077" s="1">
        <f>HYPERLINK("https://lsnyc.legalserver.org/matter/dynamic-profile/view/1912582","19-1912582")</f>
        <v>0</v>
      </c>
      <c r="B1077" t="s">
        <v>89</v>
      </c>
      <c r="C1077" t="s">
        <v>96</v>
      </c>
      <c r="D1077" t="s">
        <v>111</v>
      </c>
      <c r="F1077" t="s">
        <v>608</v>
      </c>
      <c r="G1077" t="s">
        <v>1362</v>
      </c>
      <c r="H1077" t="s">
        <v>1864</v>
      </c>
      <c r="J1077" t="s">
        <v>2212</v>
      </c>
      <c r="K1077">
        <v>11368</v>
      </c>
      <c r="N1077" t="s">
        <v>2233</v>
      </c>
      <c r="O1077" t="s">
        <v>2868</v>
      </c>
      <c r="Q1077" t="s">
        <v>3208</v>
      </c>
      <c r="R1077">
        <v>1</v>
      </c>
      <c r="S1077">
        <v>0</v>
      </c>
      <c r="T1077">
        <v>0</v>
      </c>
      <c r="W1077">
        <v>0</v>
      </c>
      <c r="Y1077">
        <v>0.5</v>
      </c>
      <c r="Z1077" t="s">
        <v>111</v>
      </c>
      <c r="AA1077" t="s">
        <v>3935</v>
      </c>
      <c r="AC1077" t="s">
        <v>3942</v>
      </c>
      <c r="AD1077" t="s">
        <v>111</v>
      </c>
      <c r="AF1077" t="s">
        <v>4059</v>
      </c>
      <c r="AH1077" t="s">
        <v>4078</v>
      </c>
      <c r="AJ1077" t="s">
        <v>3942</v>
      </c>
      <c r="AL1077" t="s">
        <v>4089</v>
      </c>
      <c r="AM1077" t="s">
        <v>2230</v>
      </c>
      <c r="AO1077">
        <v>1240</v>
      </c>
      <c r="AP1077" t="s">
        <v>4108</v>
      </c>
      <c r="AQ1077" t="s">
        <v>4110</v>
      </c>
      <c r="AS1077" t="s">
        <v>4113</v>
      </c>
      <c r="AU1077" t="s">
        <v>4128</v>
      </c>
      <c r="AW1077">
        <v>27</v>
      </c>
      <c r="AY1077" t="s">
        <v>4140</v>
      </c>
      <c r="BA1077" t="s">
        <v>4149</v>
      </c>
      <c r="BC1077" t="s">
        <v>4155</v>
      </c>
      <c r="BD1077" t="s">
        <v>4157</v>
      </c>
      <c r="BE1077" t="s">
        <v>3208</v>
      </c>
      <c r="BG1077" t="s">
        <v>4565</v>
      </c>
      <c r="BK1077" t="s">
        <v>4070</v>
      </c>
      <c r="BM1077" t="s">
        <v>4627</v>
      </c>
    </row>
    <row r="1078" spans="1:65">
      <c r="A1078" s="1">
        <f>HYPERLINK("https://lsnyc.legalserver.org/matter/dynamic-profile/view/1913067","19-1913067")</f>
        <v>0</v>
      </c>
      <c r="B1078" t="s">
        <v>89</v>
      </c>
      <c r="C1078" t="s">
        <v>96</v>
      </c>
      <c r="D1078" t="s">
        <v>298</v>
      </c>
      <c r="F1078" t="s">
        <v>967</v>
      </c>
      <c r="G1078" t="s">
        <v>1514</v>
      </c>
      <c r="H1078" t="s">
        <v>1865</v>
      </c>
      <c r="I1078" t="s">
        <v>2186</v>
      </c>
      <c r="J1078" t="s">
        <v>2212</v>
      </c>
      <c r="K1078">
        <v>11368</v>
      </c>
      <c r="N1078" t="s">
        <v>2233</v>
      </c>
      <c r="O1078" t="s">
        <v>2869</v>
      </c>
      <c r="Q1078" t="s">
        <v>3208</v>
      </c>
      <c r="R1078">
        <v>4</v>
      </c>
      <c r="S1078">
        <v>0</v>
      </c>
      <c r="T1078">
        <v>272.62</v>
      </c>
      <c r="W1078">
        <v>70200</v>
      </c>
      <c r="Y1078">
        <v>0.4</v>
      </c>
      <c r="Z1078" t="s">
        <v>298</v>
      </c>
      <c r="AA1078" t="s">
        <v>3935</v>
      </c>
      <c r="AC1078" t="s">
        <v>3942</v>
      </c>
      <c r="AD1078" t="s">
        <v>298</v>
      </c>
      <c r="AF1078" t="s">
        <v>4052</v>
      </c>
      <c r="AH1078" t="s">
        <v>3510</v>
      </c>
      <c r="AJ1078" t="s">
        <v>3942</v>
      </c>
      <c r="AL1078" t="s">
        <v>4089</v>
      </c>
      <c r="AM1078" t="s">
        <v>2230</v>
      </c>
      <c r="AO1078">
        <v>2275</v>
      </c>
      <c r="AQ1078">
        <v>232</v>
      </c>
      <c r="AS1078" t="s">
        <v>4113</v>
      </c>
      <c r="AU1078" t="s">
        <v>4128</v>
      </c>
      <c r="AW1078">
        <v>1</v>
      </c>
      <c r="AY1078" t="s">
        <v>4141</v>
      </c>
      <c r="BC1078" t="s">
        <v>4155</v>
      </c>
      <c r="BF1078" t="s">
        <v>4281</v>
      </c>
      <c r="BM1078" t="s">
        <v>4627</v>
      </c>
    </row>
    <row r="1079" spans="1:65">
      <c r="A1079" s="1">
        <f>HYPERLINK("https://lsnyc.legalserver.org/matter/dynamic-profile/view/1911999","19-1911999")</f>
        <v>0</v>
      </c>
      <c r="B1079" t="s">
        <v>89</v>
      </c>
      <c r="C1079" t="s">
        <v>96</v>
      </c>
      <c r="D1079" t="s">
        <v>137</v>
      </c>
      <c r="F1079" t="s">
        <v>968</v>
      </c>
      <c r="G1079" t="s">
        <v>1515</v>
      </c>
      <c r="H1079" t="s">
        <v>1866</v>
      </c>
      <c r="J1079" t="s">
        <v>2219</v>
      </c>
      <c r="K1079">
        <v>11373</v>
      </c>
      <c r="N1079" t="s">
        <v>2233</v>
      </c>
      <c r="O1079" t="s">
        <v>2870</v>
      </c>
      <c r="Q1079" t="s">
        <v>3387</v>
      </c>
      <c r="R1079">
        <v>1</v>
      </c>
      <c r="S1079">
        <v>2</v>
      </c>
      <c r="T1079">
        <v>0</v>
      </c>
      <c r="U1079" t="s">
        <v>3444</v>
      </c>
      <c r="V1079" t="s">
        <v>3457</v>
      </c>
      <c r="W1079">
        <v>0</v>
      </c>
      <c r="Y1079">
        <v>0.5</v>
      </c>
      <c r="Z1079" t="s">
        <v>137</v>
      </c>
      <c r="AA1079" t="s">
        <v>89</v>
      </c>
      <c r="AB1079" t="s">
        <v>3940</v>
      </c>
      <c r="AC1079" t="s">
        <v>3943</v>
      </c>
      <c r="AF1079" t="s">
        <v>4054</v>
      </c>
      <c r="AH1079" t="s">
        <v>4081</v>
      </c>
      <c r="AJ1079" t="s">
        <v>3943</v>
      </c>
      <c r="AL1079" t="s">
        <v>4091</v>
      </c>
      <c r="AM1079" t="s">
        <v>4106</v>
      </c>
      <c r="AO1079">
        <v>1300</v>
      </c>
      <c r="AQ1079">
        <v>3</v>
      </c>
      <c r="AS1079" t="s">
        <v>4114</v>
      </c>
      <c r="AT1079" t="s">
        <v>4127</v>
      </c>
      <c r="AV1079" t="s">
        <v>4137</v>
      </c>
      <c r="AW1079">
        <v>0</v>
      </c>
      <c r="AY1079" t="s">
        <v>4140</v>
      </c>
      <c r="AZ1079" t="s">
        <v>4148</v>
      </c>
      <c r="BB1079" t="s">
        <v>4154</v>
      </c>
      <c r="BC1079" t="s">
        <v>4128</v>
      </c>
      <c r="BF1079" t="s">
        <v>4281</v>
      </c>
      <c r="BG1079" t="s">
        <v>4327</v>
      </c>
      <c r="BM1079" t="s">
        <v>4627</v>
      </c>
    </row>
    <row r="1080" spans="1:65">
      <c r="A1080" s="1">
        <f>HYPERLINK("https://lsnyc.legalserver.org/matter/dynamic-profile/view/1906212","19-1906212")</f>
        <v>0</v>
      </c>
      <c r="B1080" t="s">
        <v>89</v>
      </c>
      <c r="C1080" t="s">
        <v>96</v>
      </c>
      <c r="D1080" t="s">
        <v>186</v>
      </c>
      <c r="F1080" t="s">
        <v>625</v>
      </c>
      <c r="G1080" t="s">
        <v>1516</v>
      </c>
      <c r="H1080" t="s">
        <v>1867</v>
      </c>
      <c r="I1080" t="s">
        <v>2187</v>
      </c>
      <c r="J1080" t="s">
        <v>2220</v>
      </c>
      <c r="K1080">
        <v>11377</v>
      </c>
      <c r="N1080" t="s">
        <v>2233</v>
      </c>
      <c r="O1080" t="s">
        <v>2871</v>
      </c>
      <c r="P1080" t="s">
        <v>2930</v>
      </c>
      <c r="R1080">
        <v>1</v>
      </c>
      <c r="S1080">
        <v>1</v>
      </c>
      <c r="T1080">
        <v>0</v>
      </c>
      <c r="W1080">
        <v>0</v>
      </c>
      <c r="Y1080">
        <v>19.92</v>
      </c>
      <c r="Z1080" t="s">
        <v>135</v>
      </c>
      <c r="AA1080" t="s">
        <v>3934</v>
      </c>
      <c r="AC1080" t="s">
        <v>3942</v>
      </c>
      <c r="AF1080" t="s">
        <v>4050</v>
      </c>
      <c r="AH1080" t="s">
        <v>4076</v>
      </c>
      <c r="AJ1080" t="s">
        <v>3943</v>
      </c>
      <c r="AL1080" t="s">
        <v>4086</v>
      </c>
      <c r="AM1080" t="s">
        <v>2230</v>
      </c>
      <c r="AO1080">
        <v>1400</v>
      </c>
      <c r="AQ1080">
        <v>8</v>
      </c>
      <c r="AS1080" t="s">
        <v>4114</v>
      </c>
      <c r="AU1080" t="s">
        <v>4128</v>
      </c>
      <c r="AW1080">
        <v>-1</v>
      </c>
      <c r="AY1080" t="s">
        <v>4141</v>
      </c>
      <c r="BA1080" t="s">
        <v>4149</v>
      </c>
      <c r="BC1080" t="s">
        <v>4155</v>
      </c>
      <c r="BF1080" t="s">
        <v>4281</v>
      </c>
      <c r="BM1080" t="s">
        <v>4627</v>
      </c>
    </row>
    <row r="1081" spans="1:65">
      <c r="A1081" s="1">
        <f>HYPERLINK("https://lsnyc.legalserver.org/matter/dynamic-profile/view/1913064","19-1913064")</f>
        <v>0</v>
      </c>
      <c r="B1081" t="s">
        <v>89</v>
      </c>
      <c r="C1081" t="s">
        <v>96</v>
      </c>
      <c r="D1081" t="s">
        <v>254</v>
      </c>
      <c r="F1081" t="s">
        <v>501</v>
      </c>
      <c r="G1081" t="s">
        <v>1517</v>
      </c>
      <c r="H1081" t="s">
        <v>1864</v>
      </c>
      <c r="I1081" t="s">
        <v>2159</v>
      </c>
      <c r="J1081" t="s">
        <v>2212</v>
      </c>
      <c r="K1081">
        <v>11368</v>
      </c>
      <c r="N1081" t="s">
        <v>2233</v>
      </c>
      <c r="O1081" t="s">
        <v>2872</v>
      </c>
      <c r="Q1081" t="s">
        <v>3388</v>
      </c>
      <c r="R1081">
        <v>1</v>
      </c>
      <c r="S1081">
        <v>1</v>
      </c>
      <c r="T1081">
        <v>293.32</v>
      </c>
      <c r="W1081">
        <v>49600</v>
      </c>
      <c r="Y1081">
        <v>0.3</v>
      </c>
      <c r="Z1081" t="s">
        <v>254</v>
      </c>
      <c r="AA1081" t="s">
        <v>3935</v>
      </c>
      <c r="AC1081" t="s">
        <v>3942</v>
      </c>
      <c r="AD1081" t="s">
        <v>254</v>
      </c>
      <c r="AF1081" t="s">
        <v>4059</v>
      </c>
      <c r="AH1081" t="s">
        <v>4078</v>
      </c>
      <c r="AJ1081" t="s">
        <v>3942</v>
      </c>
      <c r="AL1081" t="s">
        <v>4089</v>
      </c>
      <c r="AM1081" t="s">
        <v>2230</v>
      </c>
      <c r="AO1081">
        <v>994</v>
      </c>
      <c r="AP1081" t="s">
        <v>4108</v>
      </c>
      <c r="AQ1081" t="s">
        <v>4110</v>
      </c>
      <c r="AS1081" t="s">
        <v>4113</v>
      </c>
      <c r="AU1081" t="s">
        <v>4134</v>
      </c>
      <c r="AW1081">
        <v>15</v>
      </c>
      <c r="AY1081" t="s">
        <v>4140</v>
      </c>
      <c r="BA1081" t="s">
        <v>4149</v>
      </c>
      <c r="BC1081" t="s">
        <v>4155</v>
      </c>
      <c r="BD1081" t="s">
        <v>4157</v>
      </c>
      <c r="BE1081" t="s">
        <v>3208</v>
      </c>
      <c r="BG1081" t="s">
        <v>4565</v>
      </c>
      <c r="BK1081" t="s">
        <v>4070</v>
      </c>
      <c r="BM1081" t="s">
        <v>4627</v>
      </c>
    </row>
    <row r="1082" spans="1:65">
      <c r="A1082" s="1">
        <f>HYPERLINK("https://lsnyc.legalserver.org/matter/dynamic-profile/view/1907120","19-1907120")</f>
        <v>0</v>
      </c>
      <c r="B1082" t="s">
        <v>89</v>
      </c>
      <c r="C1082" t="s">
        <v>96</v>
      </c>
      <c r="D1082" t="s">
        <v>456</v>
      </c>
      <c r="F1082" t="s">
        <v>694</v>
      </c>
      <c r="G1082" t="s">
        <v>1518</v>
      </c>
      <c r="H1082" t="s">
        <v>1868</v>
      </c>
      <c r="I1082" t="s">
        <v>2188</v>
      </c>
      <c r="J1082" t="s">
        <v>2212</v>
      </c>
      <c r="K1082">
        <v>11368</v>
      </c>
      <c r="N1082" t="s">
        <v>2233</v>
      </c>
      <c r="O1082" t="s">
        <v>2873</v>
      </c>
      <c r="Q1082" t="s">
        <v>3389</v>
      </c>
      <c r="R1082">
        <v>1</v>
      </c>
      <c r="S1082">
        <v>0</v>
      </c>
      <c r="T1082">
        <v>240.19</v>
      </c>
      <c r="W1082">
        <v>30000</v>
      </c>
      <c r="Y1082">
        <v>20.85</v>
      </c>
      <c r="Z1082" t="s">
        <v>98</v>
      </c>
      <c r="AA1082" t="s">
        <v>3934</v>
      </c>
      <c r="AC1082" t="s">
        <v>3942</v>
      </c>
      <c r="AF1082" t="s">
        <v>4053</v>
      </c>
      <c r="AH1082" t="s">
        <v>4076</v>
      </c>
      <c r="AJ1082" t="s">
        <v>3943</v>
      </c>
      <c r="AK1082" t="s">
        <v>4084</v>
      </c>
      <c r="AM1082" t="s">
        <v>2230</v>
      </c>
      <c r="AO1082">
        <v>932</v>
      </c>
      <c r="AQ1082">
        <v>30</v>
      </c>
      <c r="AS1082" t="s">
        <v>4113</v>
      </c>
      <c r="AU1082" t="s">
        <v>4134</v>
      </c>
      <c r="AW1082">
        <v>42</v>
      </c>
      <c r="AY1082" t="s">
        <v>4140</v>
      </c>
      <c r="BA1082" t="s">
        <v>4149</v>
      </c>
      <c r="BC1082" t="s">
        <v>4155</v>
      </c>
      <c r="BG1082" t="s">
        <v>4571</v>
      </c>
      <c r="BM1082" t="s">
        <v>4627</v>
      </c>
    </row>
    <row r="1083" spans="1:65">
      <c r="A1083" s="1">
        <f>HYPERLINK("https://lsnyc.legalserver.org/matter/dynamic-profile/view/1915080","19-1915080")</f>
        <v>0</v>
      </c>
      <c r="B1083" t="s">
        <v>89</v>
      </c>
      <c r="C1083" t="s">
        <v>96</v>
      </c>
      <c r="D1083" t="s">
        <v>156</v>
      </c>
      <c r="F1083" t="s">
        <v>552</v>
      </c>
      <c r="G1083" t="s">
        <v>1519</v>
      </c>
      <c r="H1083" t="s">
        <v>1869</v>
      </c>
      <c r="I1083">
        <v>1039</v>
      </c>
      <c r="J1083" t="s">
        <v>2221</v>
      </c>
      <c r="K1083">
        <v>11101</v>
      </c>
      <c r="N1083" t="s">
        <v>2233</v>
      </c>
      <c r="O1083" t="s">
        <v>2874</v>
      </c>
      <c r="Q1083" t="s">
        <v>3390</v>
      </c>
      <c r="R1083">
        <v>1</v>
      </c>
      <c r="S1083">
        <v>2</v>
      </c>
      <c r="T1083">
        <v>130.52</v>
      </c>
      <c r="W1083">
        <v>27840</v>
      </c>
      <c r="Y1083">
        <v>3.38</v>
      </c>
      <c r="Z1083" t="s">
        <v>135</v>
      </c>
      <c r="AA1083" t="s">
        <v>3932</v>
      </c>
      <c r="AC1083" t="s">
        <v>3942</v>
      </c>
      <c r="AF1083" t="s">
        <v>4053</v>
      </c>
      <c r="AH1083" t="s">
        <v>4081</v>
      </c>
      <c r="AJ1083" t="s">
        <v>3943</v>
      </c>
      <c r="AL1083" t="s">
        <v>4099</v>
      </c>
      <c r="AM1083" t="s">
        <v>2230</v>
      </c>
      <c r="AO1083">
        <v>835</v>
      </c>
      <c r="AQ1083">
        <v>600</v>
      </c>
      <c r="AS1083" t="s">
        <v>4113</v>
      </c>
      <c r="AU1083" t="s">
        <v>4134</v>
      </c>
      <c r="AW1083">
        <v>5</v>
      </c>
      <c r="AY1083" t="s">
        <v>4140</v>
      </c>
      <c r="AZ1083" t="s">
        <v>4148</v>
      </c>
      <c r="BC1083" t="s">
        <v>4156</v>
      </c>
      <c r="BE1083" t="s">
        <v>4260</v>
      </c>
      <c r="BG1083" t="s">
        <v>4572</v>
      </c>
      <c r="BM1083" t="s">
        <v>4627</v>
      </c>
    </row>
    <row r="1084" spans="1:65">
      <c r="A1084" s="1">
        <f>HYPERLINK("https://lsnyc.legalserver.org/matter/dynamic-profile/view/1915618","19-1915618")</f>
        <v>0</v>
      </c>
      <c r="B1084" t="s">
        <v>90</v>
      </c>
      <c r="C1084" t="s">
        <v>93</v>
      </c>
      <c r="D1084" t="s">
        <v>122</v>
      </c>
      <c r="F1084" t="s">
        <v>969</v>
      </c>
      <c r="G1084" t="s">
        <v>1520</v>
      </c>
      <c r="H1084" t="s">
        <v>1870</v>
      </c>
      <c r="J1084" t="s">
        <v>2205</v>
      </c>
      <c r="K1084">
        <v>11212</v>
      </c>
      <c r="N1084" t="s">
        <v>2233</v>
      </c>
      <c r="O1084" t="s">
        <v>2875</v>
      </c>
      <c r="Q1084" t="s">
        <v>3391</v>
      </c>
      <c r="R1084">
        <v>1</v>
      </c>
      <c r="S1084">
        <v>0</v>
      </c>
      <c r="T1084">
        <v>17.58</v>
      </c>
      <c r="W1084">
        <v>2196</v>
      </c>
      <c r="Y1084">
        <v>1</v>
      </c>
      <c r="Z1084" t="s">
        <v>122</v>
      </c>
      <c r="AA1084" t="s">
        <v>3938</v>
      </c>
      <c r="AB1084" t="s">
        <v>3940</v>
      </c>
      <c r="AC1084" t="s">
        <v>3943</v>
      </c>
      <c r="AF1084" t="s">
        <v>4067</v>
      </c>
      <c r="AG1084" t="s">
        <v>4075</v>
      </c>
      <c r="AJ1084" t="s">
        <v>3943</v>
      </c>
      <c r="AL1084" t="s">
        <v>4098</v>
      </c>
      <c r="AM1084" t="s">
        <v>2230</v>
      </c>
      <c r="AO1084">
        <v>700</v>
      </c>
      <c r="AQ1084">
        <v>1</v>
      </c>
      <c r="AS1084" t="s">
        <v>4114</v>
      </c>
      <c r="AU1084" t="s">
        <v>4070</v>
      </c>
      <c r="AW1084">
        <v>-1</v>
      </c>
      <c r="AY1084" t="s">
        <v>4140</v>
      </c>
      <c r="BA1084" t="s">
        <v>4149</v>
      </c>
      <c r="BB1084" t="s">
        <v>4154</v>
      </c>
      <c r="BC1084" t="s">
        <v>4128</v>
      </c>
      <c r="BE1084" t="s">
        <v>4162</v>
      </c>
      <c r="BF1084" t="s">
        <v>4281</v>
      </c>
      <c r="BG1084" t="s">
        <v>4303</v>
      </c>
      <c r="BM1084" t="s">
        <v>4627</v>
      </c>
    </row>
    <row r="1085" spans="1:65">
      <c r="A1085" s="1">
        <f>HYPERLINK("https://lsnyc.legalserver.org/matter/dynamic-profile/view/1911111","19-1911111")</f>
        <v>0</v>
      </c>
      <c r="B1085" t="s">
        <v>90</v>
      </c>
      <c r="C1085" t="s">
        <v>93</v>
      </c>
      <c r="D1085" t="s">
        <v>113</v>
      </c>
      <c r="E1085" t="s">
        <v>122</v>
      </c>
      <c r="F1085" t="s">
        <v>567</v>
      </c>
      <c r="G1085" t="s">
        <v>1039</v>
      </c>
      <c r="H1085" t="s">
        <v>1871</v>
      </c>
      <c r="I1085">
        <v>3</v>
      </c>
      <c r="J1085" t="s">
        <v>2205</v>
      </c>
      <c r="K1085">
        <v>11207</v>
      </c>
      <c r="L1085" t="s">
        <v>2222</v>
      </c>
      <c r="N1085" t="s">
        <v>2233</v>
      </c>
      <c r="O1085" t="s">
        <v>2876</v>
      </c>
      <c r="Q1085" t="s">
        <v>3392</v>
      </c>
      <c r="R1085">
        <v>1</v>
      </c>
      <c r="S1085">
        <v>2</v>
      </c>
      <c r="T1085">
        <v>16.32</v>
      </c>
      <c r="W1085">
        <v>3480</v>
      </c>
      <c r="X1085" t="s">
        <v>3808</v>
      </c>
      <c r="Y1085">
        <v>0.75</v>
      </c>
      <c r="Z1085" t="s">
        <v>176</v>
      </c>
      <c r="AA1085" t="s">
        <v>3907</v>
      </c>
      <c r="AB1085" t="s">
        <v>3940</v>
      </c>
      <c r="AC1085" t="s">
        <v>3943</v>
      </c>
      <c r="AF1085" t="s">
        <v>4054</v>
      </c>
      <c r="AH1085" t="s">
        <v>4081</v>
      </c>
      <c r="AJ1085" t="s">
        <v>3943</v>
      </c>
      <c r="AL1085" t="s">
        <v>4098</v>
      </c>
      <c r="AM1085" t="s">
        <v>2230</v>
      </c>
      <c r="AO1085">
        <v>1900</v>
      </c>
      <c r="AQ1085">
        <v>4</v>
      </c>
      <c r="AS1085" t="s">
        <v>4114</v>
      </c>
      <c r="AU1085" t="s">
        <v>4128</v>
      </c>
      <c r="AW1085">
        <v>1</v>
      </c>
      <c r="AY1085" t="s">
        <v>4140</v>
      </c>
      <c r="AZ1085" t="s">
        <v>4148</v>
      </c>
      <c r="BB1085" t="s">
        <v>4154</v>
      </c>
      <c r="BC1085" t="s">
        <v>4128</v>
      </c>
      <c r="BE1085" t="s">
        <v>4162</v>
      </c>
      <c r="BF1085" t="s">
        <v>4281</v>
      </c>
      <c r="BG1085" t="s">
        <v>4159</v>
      </c>
      <c r="BM1085" t="s">
        <v>4628</v>
      </c>
    </row>
    <row r="1086" spans="1:65">
      <c r="A1086" s="1">
        <f>HYPERLINK("https://lsnyc.legalserver.org/matter/dynamic-profile/view/1914886","19-1914886")</f>
        <v>0</v>
      </c>
      <c r="B1086" t="s">
        <v>90</v>
      </c>
      <c r="C1086" t="s">
        <v>93</v>
      </c>
      <c r="D1086" t="s">
        <v>357</v>
      </c>
      <c r="E1086" t="s">
        <v>156</v>
      </c>
      <c r="F1086" t="s">
        <v>768</v>
      </c>
      <c r="G1086" t="s">
        <v>599</v>
      </c>
      <c r="H1086" t="s">
        <v>1872</v>
      </c>
      <c r="I1086" t="s">
        <v>2189</v>
      </c>
      <c r="J1086" t="s">
        <v>2205</v>
      </c>
      <c r="K1086">
        <v>11212</v>
      </c>
      <c r="L1086" t="s">
        <v>2222</v>
      </c>
      <c r="N1086" t="s">
        <v>2233</v>
      </c>
      <c r="O1086" t="s">
        <v>2877</v>
      </c>
      <c r="Q1086" t="s">
        <v>3393</v>
      </c>
      <c r="R1086">
        <v>1</v>
      </c>
      <c r="S1086">
        <v>0</v>
      </c>
      <c r="T1086">
        <v>74.75</v>
      </c>
      <c r="W1086">
        <v>9336</v>
      </c>
      <c r="X1086" t="s">
        <v>3809</v>
      </c>
      <c r="Y1086">
        <v>1</v>
      </c>
      <c r="Z1086" t="s">
        <v>357</v>
      </c>
      <c r="AA1086" t="s">
        <v>3904</v>
      </c>
      <c r="AB1086" t="s">
        <v>3940</v>
      </c>
      <c r="AC1086" t="s">
        <v>3943</v>
      </c>
      <c r="AF1086" t="s">
        <v>4054</v>
      </c>
      <c r="AH1086" t="s">
        <v>4081</v>
      </c>
      <c r="AJ1086" t="s">
        <v>3943</v>
      </c>
      <c r="AK1086" t="s">
        <v>4084</v>
      </c>
      <c r="AM1086" t="s">
        <v>2230</v>
      </c>
      <c r="AO1086">
        <v>1600</v>
      </c>
      <c r="AQ1086">
        <v>20</v>
      </c>
      <c r="AS1086" t="s">
        <v>4120</v>
      </c>
      <c r="AU1086" t="s">
        <v>4129</v>
      </c>
      <c r="AW1086">
        <v>6</v>
      </c>
      <c r="AY1086" t="s">
        <v>4140</v>
      </c>
      <c r="BA1086" t="s">
        <v>4149</v>
      </c>
      <c r="BB1086" t="s">
        <v>4154</v>
      </c>
      <c r="BC1086" t="s">
        <v>4128</v>
      </c>
      <c r="BD1086" t="s">
        <v>4157</v>
      </c>
      <c r="BE1086" t="s">
        <v>4261</v>
      </c>
      <c r="BF1086" t="s">
        <v>4281</v>
      </c>
      <c r="BG1086" t="s">
        <v>4327</v>
      </c>
      <c r="BM1086" t="s">
        <v>4628</v>
      </c>
    </row>
    <row r="1087" spans="1:65">
      <c r="A1087" s="1">
        <f>HYPERLINK("https://lsnyc.legalserver.org/matter/dynamic-profile/view/1915795","19-1915795")</f>
        <v>0</v>
      </c>
      <c r="B1087" t="s">
        <v>90</v>
      </c>
      <c r="C1087" t="s">
        <v>93</v>
      </c>
      <c r="D1087" t="s">
        <v>457</v>
      </c>
      <c r="F1087" t="s">
        <v>970</v>
      </c>
      <c r="G1087" t="s">
        <v>1521</v>
      </c>
      <c r="H1087" t="s">
        <v>1873</v>
      </c>
      <c r="I1087" t="s">
        <v>1924</v>
      </c>
      <c r="J1087" t="s">
        <v>2205</v>
      </c>
      <c r="K1087">
        <v>11233</v>
      </c>
      <c r="N1087" t="s">
        <v>2233</v>
      </c>
      <c r="O1087" t="s">
        <v>2878</v>
      </c>
      <c r="Q1087" t="s">
        <v>3394</v>
      </c>
      <c r="R1087">
        <v>2</v>
      </c>
      <c r="S1087">
        <v>1</v>
      </c>
      <c r="T1087">
        <v>0</v>
      </c>
      <c r="W1087">
        <v>0</v>
      </c>
      <c r="Y1087">
        <v>1</v>
      </c>
      <c r="Z1087" t="s">
        <v>457</v>
      </c>
      <c r="AA1087" t="s">
        <v>3903</v>
      </c>
      <c r="AB1087" t="s">
        <v>3940</v>
      </c>
      <c r="AC1087" t="s">
        <v>3943</v>
      </c>
      <c r="AF1087" t="s">
        <v>4053</v>
      </c>
      <c r="AG1087" t="s">
        <v>4075</v>
      </c>
      <c r="AJ1087" t="s">
        <v>3943</v>
      </c>
      <c r="AL1087" t="s">
        <v>4095</v>
      </c>
      <c r="AM1087" t="s">
        <v>2230</v>
      </c>
      <c r="AO1087">
        <v>1520</v>
      </c>
      <c r="AQ1087">
        <v>6</v>
      </c>
      <c r="AS1087" t="s">
        <v>4114</v>
      </c>
      <c r="AU1087" t="s">
        <v>4128</v>
      </c>
      <c r="AW1087">
        <v>5</v>
      </c>
      <c r="AY1087" t="s">
        <v>4140</v>
      </c>
      <c r="AZ1087" t="s">
        <v>4148</v>
      </c>
      <c r="BB1087" t="s">
        <v>4154</v>
      </c>
      <c r="BC1087" t="s">
        <v>4128</v>
      </c>
      <c r="BF1087" t="s">
        <v>4281</v>
      </c>
      <c r="BG1087" t="s">
        <v>4573</v>
      </c>
      <c r="BM1087" t="s">
        <v>4627</v>
      </c>
    </row>
    <row r="1088" spans="1:65">
      <c r="A1088" s="1">
        <f>HYPERLINK("https://lsnyc.legalserver.org/matter/dynamic-profile/view/1913619","19-1913619")</f>
        <v>0</v>
      </c>
      <c r="B1088" t="s">
        <v>90</v>
      </c>
      <c r="C1088" t="s">
        <v>93</v>
      </c>
      <c r="D1088" t="s">
        <v>98</v>
      </c>
      <c r="F1088" t="s">
        <v>971</v>
      </c>
      <c r="G1088" t="s">
        <v>1522</v>
      </c>
      <c r="H1088" t="s">
        <v>1874</v>
      </c>
      <c r="I1088" t="s">
        <v>1975</v>
      </c>
      <c r="J1088" t="s">
        <v>2205</v>
      </c>
      <c r="K1088">
        <v>11208</v>
      </c>
      <c r="N1088" t="s">
        <v>2233</v>
      </c>
      <c r="O1088" t="s">
        <v>2879</v>
      </c>
      <c r="Q1088" t="s">
        <v>3395</v>
      </c>
      <c r="R1088">
        <v>1</v>
      </c>
      <c r="S1088">
        <v>0</v>
      </c>
      <c r="T1088">
        <v>98.77</v>
      </c>
      <c r="W1088">
        <v>12336</v>
      </c>
      <c r="X1088" t="s">
        <v>3810</v>
      </c>
      <c r="Y1088">
        <v>0.75</v>
      </c>
      <c r="Z1088" t="s">
        <v>98</v>
      </c>
      <c r="AA1088" t="s">
        <v>3939</v>
      </c>
      <c r="AB1088" t="s">
        <v>3941</v>
      </c>
      <c r="AC1088" t="s">
        <v>3943</v>
      </c>
      <c r="AD1088" t="s">
        <v>4047</v>
      </c>
      <c r="AF1088" t="s">
        <v>4054</v>
      </c>
      <c r="AH1088" t="s">
        <v>4081</v>
      </c>
      <c r="AJ1088" t="s">
        <v>3943</v>
      </c>
      <c r="AL1088" t="s">
        <v>4070</v>
      </c>
      <c r="AM1088" t="s">
        <v>2230</v>
      </c>
      <c r="AO1088">
        <v>319</v>
      </c>
      <c r="AQ1088">
        <v>23</v>
      </c>
      <c r="AS1088" t="s">
        <v>4120</v>
      </c>
      <c r="AU1088" t="s">
        <v>4129</v>
      </c>
      <c r="AW1088">
        <v>6</v>
      </c>
      <c r="AY1088" t="s">
        <v>4140</v>
      </c>
      <c r="BA1088" t="s">
        <v>4149</v>
      </c>
      <c r="BB1088" t="s">
        <v>4154</v>
      </c>
      <c r="BC1088" t="s">
        <v>4128</v>
      </c>
      <c r="BE1088" t="s">
        <v>4165</v>
      </c>
      <c r="BF1088" t="s">
        <v>4281</v>
      </c>
      <c r="BG1088" t="s">
        <v>4128</v>
      </c>
      <c r="BM1088" t="s">
        <v>4627</v>
      </c>
    </row>
    <row r="1089" spans="1:65">
      <c r="A1089" s="1">
        <f>HYPERLINK("https://lsnyc.legalserver.org/matter/dynamic-profile/view/1914737","19-1914737")</f>
        <v>0</v>
      </c>
      <c r="B1089" t="s">
        <v>90</v>
      </c>
      <c r="C1089" t="s">
        <v>93</v>
      </c>
      <c r="D1089" t="s">
        <v>173</v>
      </c>
      <c r="E1089" t="s">
        <v>357</v>
      </c>
      <c r="F1089" t="s">
        <v>972</v>
      </c>
      <c r="G1089" t="s">
        <v>1523</v>
      </c>
      <c r="H1089" t="s">
        <v>1875</v>
      </c>
      <c r="I1089" t="s">
        <v>1926</v>
      </c>
      <c r="J1089" t="s">
        <v>2205</v>
      </c>
      <c r="K1089">
        <v>11207</v>
      </c>
      <c r="L1089" t="s">
        <v>2222</v>
      </c>
      <c r="N1089" t="s">
        <v>2233</v>
      </c>
      <c r="O1089" t="s">
        <v>2880</v>
      </c>
      <c r="Q1089" t="s">
        <v>3396</v>
      </c>
      <c r="R1089">
        <v>1</v>
      </c>
      <c r="S1089">
        <v>2</v>
      </c>
      <c r="T1089">
        <v>102.39</v>
      </c>
      <c r="W1089">
        <v>21840</v>
      </c>
      <c r="X1089" t="s">
        <v>3811</v>
      </c>
      <c r="Y1089">
        <v>0.5</v>
      </c>
      <c r="Z1089" t="s">
        <v>173</v>
      </c>
      <c r="AA1089" t="s">
        <v>3909</v>
      </c>
      <c r="AB1089" t="s">
        <v>3940</v>
      </c>
      <c r="AC1089" t="s">
        <v>3943</v>
      </c>
      <c r="AF1089" t="s">
        <v>4054</v>
      </c>
      <c r="AH1089" t="s">
        <v>4081</v>
      </c>
      <c r="AJ1089" t="s">
        <v>3943</v>
      </c>
      <c r="AL1089" t="s">
        <v>4070</v>
      </c>
      <c r="AM1089" t="s">
        <v>2230</v>
      </c>
      <c r="AO1089">
        <v>1500</v>
      </c>
      <c r="AQ1089">
        <v>4</v>
      </c>
      <c r="AS1089" t="s">
        <v>4117</v>
      </c>
      <c r="AU1089" t="s">
        <v>4128</v>
      </c>
      <c r="AW1089">
        <v>1</v>
      </c>
      <c r="AY1089" t="s">
        <v>4140</v>
      </c>
      <c r="BA1089" t="s">
        <v>4149</v>
      </c>
      <c r="BB1089" t="s">
        <v>4154</v>
      </c>
      <c r="BC1089" t="s">
        <v>4128</v>
      </c>
      <c r="BE1089" t="s">
        <v>4159</v>
      </c>
      <c r="BF1089" t="s">
        <v>4281</v>
      </c>
      <c r="BG1089" t="s">
        <v>4303</v>
      </c>
      <c r="BM1089" t="s">
        <v>4628</v>
      </c>
    </row>
    <row r="1090" spans="1:65">
      <c r="A1090" s="1">
        <f>HYPERLINK("https://lsnyc.legalserver.org/matter/dynamic-profile/view/1915605","19-1915605")</f>
        <v>0</v>
      </c>
      <c r="B1090" t="s">
        <v>90</v>
      </c>
      <c r="C1090" t="s">
        <v>93</v>
      </c>
      <c r="D1090" t="s">
        <v>176</v>
      </c>
      <c r="F1090" t="s">
        <v>973</v>
      </c>
      <c r="G1090" t="s">
        <v>1524</v>
      </c>
      <c r="H1090" t="s">
        <v>1589</v>
      </c>
      <c r="I1090" t="s">
        <v>1920</v>
      </c>
      <c r="J1090" t="s">
        <v>2205</v>
      </c>
      <c r="K1090">
        <v>11212</v>
      </c>
      <c r="N1090" t="s">
        <v>2233</v>
      </c>
      <c r="O1090" t="s">
        <v>2881</v>
      </c>
      <c r="Q1090" t="s">
        <v>3397</v>
      </c>
      <c r="R1090">
        <v>1</v>
      </c>
      <c r="S1090">
        <v>0</v>
      </c>
      <c r="T1090">
        <v>82.63</v>
      </c>
      <c r="W1090">
        <v>10320</v>
      </c>
      <c r="Y1090">
        <v>0.25</v>
      </c>
      <c r="Z1090" t="s">
        <v>457</v>
      </c>
      <c r="AA1090" t="s">
        <v>90</v>
      </c>
      <c r="AB1090" t="s">
        <v>3940</v>
      </c>
      <c r="AC1090" t="s">
        <v>3943</v>
      </c>
      <c r="AF1090" t="s">
        <v>4054</v>
      </c>
      <c r="AG1090" t="s">
        <v>4075</v>
      </c>
      <c r="AJ1090" t="s">
        <v>3943</v>
      </c>
      <c r="AL1090" t="s">
        <v>4087</v>
      </c>
      <c r="AM1090" t="s">
        <v>2230</v>
      </c>
      <c r="AO1090">
        <v>1213</v>
      </c>
      <c r="AQ1090">
        <v>23</v>
      </c>
      <c r="AS1090" t="s">
        <v>4113</v>
      </c>
      <c r="AU1090" t="s">
        <v>4135</v>
      </c>
      <c r="AW1090">
        <v>4</v>
      </c>
      <c r="AY1090" t="s">
        <v>4140</v>
      </c>
      <c r="BA1090" t="s">
        <v>4149</v>
      </c>
      <c r="BB1090" t="s">
        <v>4154</v>
      </c>
      <c r="BC1090" t="s">
        <v>4128</v>
      </c>
      <c r="BE1090" t="s">
        <v>4162</v>
      </c>
      <c r="BF1090" t="s">
        <v>4281</v>
      </c>
      <c r="BG1090" t="s">
        <v>4128</v>
      </c>
      <c r="BM1090" t="s">
        <v>4627</v>
      </c>
    </row>
    <row r="1091" spans="1:65">
      <c r="A1091" s="1">
        <f>HYPERLINK("https://lsnyc.legalserver.org/matter/dynamic-profile/view/1909562","19-1909562")</f>
        <v>0</v>
      </c>
      <c r="B1091" t="s">
        <v>90</v>
      </c>
      <c r="C1091" t="s">
        <v>93</v>
      </c>
      <c r="D1091" t="s">
        <v>212</v>
      </c>
      <c r="E1091" t="s">
        <v>176</v>
      </c>
      <c r="F1091" t="s">
        <v>974</v>
      </c>
      <c r="G1091" t="s">
        <v>1030</v>
      </c>
      <c r="H1091" t="s">
        <v>1876</v>
      </c>
      <c r="I1091" t="s">
        <v>2190</v>
      </c>
      <c r="J1091" t="s">
        <v>2205</v>
      </c>
      <c r="K1091">
        <v>11212</v>
      </c>
      <c r="L1091" t="s">
        <v>2222</v>
      </c>
      <c r="N1091" t="s">
        <v>2233</v>
      </c>
      <c r="O1091" t="s">
        <v>2654</v>
      </c>
      <c r="Q1091" t="s">
        <v>3398</v>
      </c>
      <c r="R1091">
        <v>1</v>
      </c>
      <c r="S1091">
        <v>0</v>
      </c>
      <c r="T1091">
        <v>284.36</v>
      </c>
      <c r="W1091">
        <v>35516</v>
      </c>
      <c r="Y1091">
        <v>1.25</v>
      </c>
      <c r="Z1091" t="s">
        <v>176</v>
      </c>
      <c r="AA1091" t="s">
        <v>3904</v>
      </c>
      <c r="AB1091" t="s">
        <v>3940</v>
      </c>
      <c r="AC1091" t="s">
        <v>3943</v>
      </c>
      <c r="AF1091" t="s">
        <v>4054</v>
      </c>
      <c r="AG1091" t="s">
        <v>4075</v>
      </c>
      <c r="AJ1091" t="s">
        <v>3943</v>
      </c>
      <c r="AL1091" t="s">
        <v>4088</v>
      </c>
      <c r="AM1091" t="s">
        <v>2230</v>
      </c>
      <c r="AO1091">
        <v>1241.41</v>
      </c>
      <c r="AQ1091">
        <v>30</v>
      </c>
      <c r="AS1091" t="s">
        <v>4113</v>
      </c>
      <c r="AU1091" t="s">
        <v>4128</v>
      </c>
      <c r="AW1091">
        <v>6</v>
      </c>
      <c r="AY1091" t="s">
        <v>4140</v>
      </c>
      <c r="AZ1091" t="s">
        <v>4148</v>
      </c>
      <c r="BB1091" t="s">
        <v>4154</v>
      </c>
      <c r="BC1091" t="s">
        <v>4128</v>
      </c>
      <c r="BF1091" t="s">
        <v>4281</v>
      </c>
      <c r="BM1091" t="s">
        <v>4628</v>
      </c>
    </row>
    <row r="1092" spans="1:65">
      <c r="A1092" s="1">
        <f>HYPERLINK("https://lsnyc.legalserver.org/matter/dynamic-profile/view/1912615","19-1912615")</f>
        <v>0</v>
      </c>
      <c r="B1092" t="s">
        <v>90</v>
      </c>
      <c r="C1092" t="s">
        <v>93</v>
      </c>
      <c r="D1092" t="s">
        <v>196</v>
      </c>
      <c r="E1092" t="s">
        <v>176</v>
      </c>
      <c r="F1092" t="s">
        <v>975</v>
      </c>
      <c r="G1092" t="s">
        <v>1525</v>
      </c>
      <c r="H1092" t="s">
        <v>1877</v>
      </c>
      <c r="I1092" t="s">
        <v>1927</v>
      </c>
      <c r="J1092" t="s">
        <v>2205</v>
      </c>
      <c r="K1092">
        <v>11233</v>
      </c>
      <c r="L1092" t="s">
        <v>2222</v>
      </c>
      <c r="N1092" t="s">
        <v>2233</v>
      </c>
      <c r="O1092" t="s">
        <v>2882</v>
      </c>
      <c r="Q1092" t="s">
        <v>3399</v>
      </c>
      <c r="R1092">
        <v>1</v>
      </c>
      <c r="S1092">
        <v>0</v>
      </c>
      <c r="T1092">
        <v>139.22</v>
      </c>
      <c r="W1092">
        <v>17388</v>
      </c>
      <c r="Y1092">
        <v>1.25</v>
      </c>
      <c r="Z1092" t="s">
        <v>176</v>
      </c>
      <c r="AA1092" t="s">
        <v>3903</v>
      </c>
      <c r="AB1092" t="s">
        <v>3940</v>
      </c>
      <c r="AC1092" t="s">
        <v>3943</v>
      </c>
      <c r="AF1092" t="s">
        <v>4054</v>
      </c>
      <c r="AH1092" t="s">
        <v>4081</v>
      </c>
      <c r="AJ1092" t="s">
        <v>3943</v>
      </c>
      <c r="AL1092" t="s">
        <v>4095</v>
      </c>
      <c r="AM1092" t="s">
        <v>2230</v>
      </c>
      <c r="AO1092">
        <v>1141</v>
      </c>
      <c r="AQ1092">
        <v>6</v>
      </c>
      <c r="AS1092" t="s">
        <v>4113</v>
      </c>
      <c r="AU1092" t="s">
        <v>4129</v>
      </c>
      <c r="AW1092">
        <v>26</v>
      </c>
      <c r="AY1092" t="s">
        <v>4140</v>
      </c>
      <c r="BA1092" t="s">
        <v>4149</v>
      </c>
      <c r="BB1092" t="s">
        <v>4154</v>
      </c>
      <c r="BC1092" t="s">
        <v>4128</v>
      </c>
      <c r="BD1092" t="s">
        <v>4157</v>
      </c>
      <c r="BE1092" t="s">
        <v>4164</v>
      </c>
      <c r="BF1092" t="s">
        <v>4281</v>
      </c>
      <c r="BG1092" t="s">
        <v>4159</v>
      </c>
      <c r="BM1092" t="s">
        <v>4628</v>
      </c>
    </row>
    <row r="1093" spans="1:65">
      <c r="A1093" s="1">
        <f>HYPERLINK("https://lsnyc.legalserver.org/matter/dynamic-profile/view/1910472","19-1910472")</f>
        <v>0</v>
      </c>
      <c r="B1093" t="s">
        <v>90</v>
      </c>
      <c r="C1093" t="s">
        <v>93</v>
      </c>
      <c r="D1093" t="s">
        <v>395</v>
      </c>
      <c r="E1093" t="s">
        <v>176</v>
      </c>
      <c r="F1093" t="s">
        <v>976</v>
      </c>
      <c r="G1093" t="s">
        <v>1526</v>
      </c>
      <c r="H1093" t="s">
        <v>1878</v>
      </c>
      <c r="I1093" t="s">
        <v>2191</v>
      </c>
      <c r="J1093" t="s">
        <v>2205</v>
      </c>
      <c r="K1093">
        <v>11233</v>
      </c>
      <c r="L1093" t="s">
        <v>2222</v>
      </c>
      <c r="N1093" t="s">
        <v>2233</v>
      </c>
      <c r="O1093" t="s">
        <v>2883</v>
      </c>
      <c r="Q1093" t="s">
        <v>3400</v>
      </c>
      <c r="R1093">
        <v>1</v>
      </c>
      <c r="S1093">
        <v>0</v>
      </c>
      <c r="T1093">
        <v>213.48</v>
      </c>
      <c r="W1093">
        <v>26664</v>
      </c>
      <c r="Y1093">
        <v>0.75</v>
      </c>
      <c r="Z1093" t="s">
        <v>176</v>
      </c>
      <c r="AA1093" t="s">
        <v>3902</v>
      </c>
      <c r="AB1093" t="s">
        <v>3940</v>
      </c>
      <c r="AC1093" t="s">
        <v>3943</v>
      </c>
      <c r="AF1093" t="s">
        <v>4054</v>
      </c>
      <c r="AG1093" t="s">
        <v>4075</v>
      </c>
      <c r="AJ1093" t="s">
        <v>3943</v>
      </c>
      <c r="AK1093" t="s">
        <v>4084</v>
      </c>
      <c r="AM1093" t="s">
        <v>2230</v>
      </c>
      <c r="AO1093">
        <v>3182</v>
      </c>
      <c r="AQ1093">
        <v>46</v>
      </c>
      <c r="AS1093" t="s">
        <v>4113</v>
      </c>
      <c r="AU1093" t="s">
        <v>4128</v>
      </c>
      <c r="AW1093">
        <v>3</v>
      </c>
      <c r="AY1093" t="s">
        <v>4140</v>
      </c>
      <c r="BA1093" t="s">
        <v>4149</v>
      </c>
      <c r="BB1093" t="s">
        <v>4154</v>
      </c>
      <c r="BC1093" t="s">
        <v>4128</v>
      </c>
      <c r="BE1093" t="s">
        <v>4159</v>
      </c>
      <c r="BF1093" t="s">
        <v>4281</v>
      </c>
      <c r="BG1093" t="s">
        <v>4303</v>
      </c>
      <c r="BM1093" t="s">
        <v>4628</v>
      </c>
    </row>
    <row r="1094" spans="1:65">
      <c r="A1094" s="1">
        <f>HYPERLINK("https://lsnyc.legalserver.org/matter/dynamic-profile/view/1915757","19-1915757")</f>
        <v>0</v>
      </c>
      <c r="B1094" t="s">
        <v>90</v>
      </c>
      <c r="C1094" t="s">
        <v>93</v>
      </c>
      <c r="D1094" t="s">
        <v>457</v>
      </c>
      <c r="F1094" t="s">
        <v>977</v>
      </c>
      <c r="G1094" t="s">
        <v>1114</v>
      </c>
      <c r="H1094" t="s">
        <v>1580</v>
      </c>
      <c r="I1094" t="s">
        <v>2192</v>
      </c>
      <c r="J1094" t="s">
        <v>2205</v>
      </c>
      <c r="K1094">
        <v>11213</v>
      </c>
      <c r="N1094" t="s">
        <v>2233</v>
      </c>
      <c r="O1094" t="s">
        <v>2884</v>
      </c>
      <c r="Q1094" t="s">
        <v>3401</v>
      </c>
      <c r="R1094">
        <v>1</v>
      </c>
      <c r="S1094">
        <v>0</v>
      </c>
      <c r="T1094">
        <v>249.8</v>
      </c>
      <c r="W1094">
        <v>31200</v>
      </c>
      <c r="Y1094">
        <v>0</v>
      </c>
      <c r="AA1094" t="s">
        <v>90</v>
      </c>
      <c r="AB1094" t="s">
        <v>3940</v>
      </c>
      <c r="AC1094" t="s">
        <v>3943</v>
      </c>
      <c r="AF1094" t="s">
        <v>4053</v>
      </c>
      <c r="AG1094" t="s">
        <v>4075</v>
      </c>
      <c r="AJ1094" t="s">
        <v>3943</v>
      </c>
      <c r="AL1094" t="s">
        <v>4086</v>
      </c>
      <c r="AM1094" t="s">
        <v>2230</v>
      </c>
      <c r="AO1094">
        <v>1025</v>
      </c>
      <c r="AQ1094">
        <v>34</v>
      </c>
      <c r="AS1094" t="s">
        <v>4113</v>
      </c>
      <c r="AU1094" t="s">
        <v>4128</v>
      </c>
      <c r="AW1094">
        <v>10</v>
      </c>
      <c r="AY1094" t="s">
        <v>4140</v>
      </c>
      <c r="BA1094" t="s">
        <v>4149</v>
      </c>
      <c r="BB1094" t="s">
        <v>4154</v>
      </c>
      <c r="BC1094" t="s">
        <v>4128</v>
      </c>
      <c r="BE1094" t="s">
        <v>4159</v>
      </c>
      <c r="BG1094" t="s">
        <v>4574</v>
      </c>
      <c r="BM1094" t="s">
        <v>4627</v>
      </c>
    </row>
    <row r="1095" spans="1:65">
      <c r="A1095" s="1">
        <f>HYPERLINK("https://lsnyc.legalserver.org/matter/dynamic-profile/view/1914573","19-1914573")</f>
        <v>0</v>
      </c>
      <c r="B1095" t="s">
        <v>91</v>
      </c>
      <c r="C1095" t="s">
        <v>93</v>
      </c>
      <c r="D1095" t="s">
        <v>298</v>
      </c>
      <c r="F1095" t="s">
        <v>978</v>
      </c>
      <c r="G1095" t="s">
        <v>1527</v>
      </c>
      <c r="H1095" t="s">
        <v>1879</v>
      </c>
      <c r="I1095" t="s">
        <v>1924</v>
      </c>
      <c r="J1095" t="s">
        <v>2205</v>
      </c>
      <c r="K1095">
        <v>11208</v>
      </c>
      <c r="N1095" t="s">
        <v>2233</v>
      </c>
      <c r="O1095" t="s">
        <v>2885</v>
      </c>
      <c r="Q1095" t="s">
        <v>3402</v>
      </c>
      <c r="R1095">
        <v>4</v>
      </c>
      <c r="S1095">
        <v>0</v>
      </c>
      <c r="T1095">
        <v>121.17</v>
      </c>
      <c r="W1095">
        <v>31200</v>
      </c>
      <c r="Y1095">
        <v>1.25</v>
      </c>
      <c r="Z1095" t="s">
        <v>457</v>
      </c>
      <c r="AA1095" t="s">
        <v>90</v>
      </c>
      <c r="AC1095" t="s">
        <v>3942</v>
      </c>
      <c r="AD1095" t="s">
        <v>136</v>
      </c>
      <c r="AF1095" t="s">
        <v>4053</v>
      </c>
      <c r="AG1095" t="s">
        <v>4075</v>
      </c>
      <c r="AJ1095" t="s">
        <v>3943</v>
      </c>
      <c r="AL1095" t="s">
        <v>4101</v>
      </c>
      <c r="AM1095" t="s">
        <v>2230</v>
      </c>
      <c r="AO1095">
        <v>2850</v>
      </c>
      <c r="AQ1095">
        <v>6</v>
      </c>
      <c r="AS1095" t="s">
        <v>4113</v>
      </c>
      <c r="AU1095" t="s">
        <v>4070</v>
      </c>
      <c r="AW1095">
        <v>2</v>
      </c>
      <c r="AY1095" t="s">
        <v>4140</v>
      </c>
      <c r="BA1095" t="s">
        <v>4149</v>
      </c>
      <c r="BC1095" t="s">
        <v>4155</v>
      </c>
      <c r="BE1095" t="s">
        <v>4117</v>
      </c>
      <c r="BG1095" t="s">
        <v>4575</v>
      </c>
      <c r="BM1095" t="s">
        <v>4627</v>
      </c>
    </row>
    <row r="1096" spans="1:65">
      <c r="A1096" s="1">
        <f>HYPERLINK("https://lsnyc.legalserver.org/matter/dynamic-profile/view/1911630","19-1911630")</f>
        <v>0</v>
      </c>
      <c r="B1096" t="s">
        <v>91</v>
      </c>
      <c r="C1096" t="s">
        <v>93</v>
      </c>
      <c r="D1096" t="s">
        <v>401</v>
      </c>
      <c r="F1096" t="s">
        <v>979</v>
      </c>
      <c r="G1096" t="s">
        <v>1528</v>
      </c>
      <c r="H1096" t="s">
        <v>1880</v>
      </c>
      <c r="J1096" t="s">
        <v>2205</v>
      </c>
      <c r="K1096">
        <v>11207</v>
      </c>
      <c r="N1096" t="s">
        <v>2233</v>
      </c>
      <c r="O1096" t="s">
        <v>2886</v>
      </c>
      <c r="Q1096" t="s">
        <v>3403</v>
      </c>
      <c r="R1096">
        <v>6</v>
      </c>
      <c r="S1096">
        <v>2</v>
      </c>
      <c r="T1096">
        <v>47.89</v>
      </c>
      <c r="W1096">
        <v>20800</v>
      </c>
      <c r="Y1096">
        <v>4</v>
      </c>
      <c r="Z1096" t="s">
        <v>361</v>
      </c>
      <c r="AA1096" t="s">
        <v>90</v>
      </c>
      <c r="AC1096" t="s">
        <v>3942</v>
      </c>
      <c r="AF1096" t="s">
        <v>4053</v>
      </c>
      <c r="AH1096" t="s">
        <v>4079</v>
      </c>
      <c r="AJ1096" t="s">
        <v>3943</v>
      </c>
      <c r="AL1096" t="s">
        <v>4095</v>
      </c>
      <c r="AM1096" t="s">
        <v>2230</v>
      </c>
      <c r="AO1096">
        <v>1441</v>
      </c>
      <c r="AQ1096">
        <v>-2</v>
      </c>
      <c r="AS1096" t="s">
        <v>4118</v>
      </c>
      <c r="AU1096" t="s">
        <v>4136</v>
      </c>
      <c r="AV1096" t="s">
        <v>4137</v>
      </c>
      <c r="AW1096">
        <v>0</v>
      </c>
      <c r="AY1096" t="s">
        <v>4141</v>
      </c>
      <c r="BA1096" t="s">
        <v>4149</v>
      </c>
      <c r="BC1096" t="s">
        <v>4155</v>
      </c>
      <c r="BE1096" t="s">
        <v>4165</v>
      </c>
      <c r="BG1096" t="s">
        <v>4576</v>
      </c>
      <c r="BM1096" t="s">
        <v>4627</v>
      </c>
    </row>
    <row r="1097" spans="1:65">
      <c r="A1097" s="1">
        <f>HYPERLINK("https://lsnyc.legalserver.org/matter/dynamic-profile/view/1902776","19-1902776")</f>
        <v>0</v>
      </c>
      <c r="B1097" t="s">
        <v>91</v>
      </c>
      <c r="C1097" t="s">
        <v>93</v>
      </c>
      <c r="D1097" t="s">
        <v>392</v>
      </c>
      <c r="F1097" t="s">
        <v>980</v>
      </c>
      <c r="G1097" t="s">
        <v>1529</v>
      </c>
      <c r="H1097" t="s">
        <v>1596</v>
      </c>
      <c r="I1097" t="s">
        <v>2193</v>
      </c>
      <c r="J1097" t="s">
        <v>2205</v>
      </c>
      <c r="K1097">
        <v>11239</v>
      </c>
      <c r="N1097" t="s">
        <v>2233</v>
      </c>
      <c r="O1097" t="s">
        <v>2887</v>
      </c>
      <c r="P1097" t="s">
        <v>2930</v>
      </c>
      <c r="R1097">
        <v>3</v>
      </c>
      <c r="S1097">
        <v>0</v>
      </c>
      <c r="T1097">
        <v>43.38</v>
      </c>
      <c r="W1097">
        <v>9252</v>
      </c>
      <c r="Y1097">
        <v>6</v>
      </c>
      <c r="Z1097" t="s">
        <v>237</v>
      </c>
      <c r="AA1097" t="s">
        <v>90</v>
      </c>
      <c r="AC1097" t="s">
        <v>3942</v>
      </c>
      <c r="AD1097" t="s">
        <v>374</v>
      </c>
      <c r="AF1097" t="s">
        <v>4050</v>
      </c>
      <c r="AH1097" t="s">
        <v>4079</v>
      </c>
      <c r="AJ1097" t="s">
        <v>3943</v>
      </c>
      <c r="AL1097" t="s">
        <v>4099</v>
      </c>
      <c r="AM1097" t="s">
        <v>2230</v>
      </c>
      <c r="AO1097">
        <v>254</v>
      </c>
      <c r="AQ1097">
        <v>1463</v>
      </c>
      <c r="AS1097" t="s">
        <v>4120</v>
      </c>
      <c r="AU1097" t="s">
        <v>4136</v>
      </c>
      <c r="AV1097" t="s">
        <v>4137</v>
      </c>
      <c r="AW1097">
        <v>0</v>
      </c>
      <c r="AY1097" t="s">
        <v>4140</v>
      </c>
      <c r="BA1097" t="s">
        <v>4149</v>
      </c>
      <c r="BC1097" t="s">
        <v>4155</v>
      </c>
      <c r="BE1097" t="s">
        <v>4117</v>
      </c>
      <c r="BG1097" t="s">
        <v>4577</v>
      </c>
      <c r="BM1097" t="s">
        <v>4627</v>
      </c>
    </row>
    <row r="1098" spans="1:65">
      <c r="A1098" s="1">
        <f>HYPERLINK("https://lsnyc.legalserver.org/matter/dynamic-profile/view/1885460","18-1885460")</f>
        <v>0</v>
      </c>
      <c r="B1098" t="s">
        <v>91</v>
      </c>
      <c r="C1098" t="s">
        <v>93</v>
      </c>
      <c r="D1098" t="s">
        <v>458</v>
      </c>
      <c r="F1098" t="s">
        <v>860</v>
      </c>
      <c r="G1098" t="s">
        <v>1530</v>
      </c>
      <c r="H1098" t="s">
        <v>1881</v>
      </c>
      <c r="I1098" t="s">
        <v>1985</v>
      </c>
      <c r="J1098" t="s">
        <v>2205</v>
      </c>
      <c r="K1098">
        <v>11212</v>
      </c>
      <c r="N1098" t="s">
        <v>2233</v>
      </c>
      <c r="O1098" t="s">
        <v>2888</v>
      </c>
      <c r="Q1098" t="s">
        <v>3404</v>
      </c>
      <c r="R1098">
        <v>1</v>
      </c>
      <c r="S1098">
        <v>1</v>
      </c>
      <c r="T1098">
        <v>37.69</v>
      </c>
      <c r="W1098">
        <v>6204</v>
      </c>
      <c r="Y1098">
        <v>11.75</v>
      </c>
      <c r="Z1098" t="s">
        <v>180</v>
      </c>
      <c r="AA1098" t="s">
        <v>3893</v>
      </c>
      <c r="AC1098" t="s">
        <v>3942</v>
      </c>
      <c r="AD1098" t="s">
        <v>3884</v>
      </c>
      <c r="AF1098" t="s">
        <v>4053</v>
      </c>
      <c r="AH1098" t="s">
        <v>4076</v>
      </c>
      <c r="AJ1098" t="s">
        <v>3943</v>
      </c>
      <c r="AL1098" t="s">
        <v>4099</v>
      </c>
      <c r="AM1098" t="s">
        <v>2230</v>
      </c>
      <c r="AO1098">
        <v>508</v>
      </c>
      <c r="AQ1098">
        <v>23</v>
      </c>
      <c r="AR1098" t="s">
        <v>4112</v>
      </c>
      <c r="AT1098" t="s">
        <v>4127</v>
      </c>
      <c r="AW1098">
        <v>32</v>
      </c>
      <c r="AY1098" t="s">
        <v>4140</v>
      </c>
      <c r="BB1098" t="s">
        <v>4154</v>
      </c>
      <c r="BE1098" t="s">
        <v>4262</v>
      </c>
      <c r="BG1098" t="s">
        <v>4578</v>
      </c>
      <c r="BM1098" t="s">
        <v>4627</v>
      </c>
    </row>
    <row r="1099" spans="1:65">
      <c r="A1099" s="1">
        <f>HYPERLINK("https://lsnyc.legalserver.org/matter/dynamic-profile/view/1897904","19-1897904")</f>
        <v>0</v>
      </c>
      <c r="B1099" t="s">
        <v>91</v>
      </c>
      <c r="C1099" t="s">
        <v>93</v>
      </c>
      <c r="D1099" t="s">
        <v>430</v>
      </c>
      <c r="F1099" t="s">
        <v>981</v>
      </c>
      <c r="G1099" t="s">
        <v>1531</v>
      </c>
      <c r="H1099" t="s">
        <v>1882</v>
      </c>
      <c r="I1099">
        <v>254</v>
      </c>
      <c r="J1099" t="s">
        <v>2205</v>
      </c>
      <c r="K1099">
        <v>11208</v>
      </c>
      <c r="N1099" t="s">
        <v>2233</v>
      </c>
      <c r="O1099" t="s">
        <v>2889</v>
      </c>
      <c r="Q1099" t="s">
        <v>3405</v>
      </c>
      <c r="R1099">
        <v>2</v>
      </c>
      <c r="S1099">
        <v>0</v>
      </c>
      <c r="T1099">
        <v>35.77</v>
      </c>
      <c r="W1099">
        <v>6048</v>
      </c>
      <c r="Y1099">
        <v>10.75</v>
      </c>
      <c r="Z1099" t="s">
        <v>3817</v>
      </c>
      <c r="AA1099" t="s">
        <v>70</v>
      </c>
      <c r="AC1099" t="s">
        <v>3942</v>
      </c>
      <c r="AD1099" t="s">
        <v>158</v>
      </c>
      <c r="AF1099" t="s">
        <v>4053</v>
      </c>
      <c r="AH1099" t="s">
        <v>4076</v>
      </c>
      <c r="AJ1099" t="s">
        <v>3943</v>
      </c>
      <c r="AL1099" t="s">
        <v>4070</v>
      </c>
      <c r="AM1099" t="s">
        <v>2230</v>
      </c>
      <c r="AO1099">
        <v>1561</v>
      </c>
      <c r="AQ1099">
        <v>266</v>
      </c>
      <c r="AS1099" t="s">
        <v>4113</v>
      </c>
      <c r="AT1099" t="s">
        <v>4127</v>
      </c>
      <c r="AW1099">
        <v>5</v>
      </c>
      <c r="AY1099" t="s">
        <v>4140</v>
      </c>
      <c r="BA1099" t="s">
        <v>4149</v>
      </c>
      <c r="BC1099" t="s">
        <v>4155</v>
      </c>
      <c r="BD1099" t="s">
        <v>4157</v>
      </c>
      <c r="BE1099">
        <v>5428120</v>
      </c>
      <c r="BG1099" t="s">
        <v>4579</v>
      </c>
      <c r="BM1099" t="s">
        <v>4627</v>
      </c>
    </row>
    <row r="1100" spans="1:65">
      <c r="A1100" s="1">
        <f>HYPERLINK("https://lsnyc.legalserver.org/matter/dynamic-profile/view/1900864","19-1900864")</f>
        <v>0</v>
      </c>
      <c r="B1100" t="s">
        <v>91</v>
      </c>
      <c r="C1100" t="s">
        <v>93</v>
      </c>
      <c r="D1100" t="s">
        <v>440</v>
      </c>
      <c r="F1100" t="s">
        <v>982</v>
      </c>
      <c r="G1100" t="s">
        <v>1532</v>
      </c>
      <c r="H1100" t="s">
        <v>1883</v>
      </c>
      <c r="I1100" t="s">
        <v>2194</v>
      </c>
      <c r="J1100" t="s">
        <v>2205</v>
      </c>
      <c r="K1100">
        <v>11233</v>
      </c>
      <c r="N1100" t="s">
        <v>2233</v>
      </c>
      <c r="O1100" t="s">
        <v>2890</v>
      </c>
      <c r="Q1100" t="s">
        <v>3406</v>
      </c>
      <c r="R1100">
        <v>1</v>
      </c>
      <c r="S1100">
        <v>2</v>
      </c>
      <c r="T1100">
        <v>23.16</v>
      </c>
      <c r="W1100">
        <v>4940</v>
      </c>
      <c r="Y1100">
        <v>28.8</v>
      </c>
      <c r="Z1100" t="s">
        <v>360</v>
      </c>
      <c r="AA1100" t="s">
        <v>70</v>
      </c>
      <c r="AC1100" t="s">
        <v>3942</v>
      </c>
      <c r="AD1100" t="s">
        <v>444</v>
      </c>
      <c r="AF1100" t="s">
        <v>4053</v>
      </c>
      <c r="AH1100" t="s">
        <v>4076</v>
      </c>
      <c r="AJ1100" t="s">
        <v>3943</v>
      </c>
      <c r="AL1100" t="s">
        <v>4070</v>
      </c>
      <c r="AM1100" t="s">
        <v>2230</v>
      </c>
      <c r="AO1100">
        <v>904</v>
      </c>
      <c r="AP1100" t="s">
        <v>4108</v>
      </c>
      <c r="AQ1100" t="s">
        <v>4110</v>
      </c>
      <c r="AS1100" t="s">
        <v>4113</v>
      </c>
      <c r="AU1100" t="s">
        <v>4131</v>
      </c>
      <c r="AW1100">
        <v>10</v>
      </c>
      <c r="AY1100" t="s">
        <v>4140</v>
      </c>
      <c r="BC1100" t="s">
        <v>4155</v>
      </c>
      <c r="BE1100" t="s">
        <v>4263</v>
      </c>
      <c r="BG1100" t="s">
        <v>4580</v>
      </c>
      <c r="BM1100" t="s">
        <v>4627</v>
      </c>
    </row>
    <row r="1101" spans="1:65">
      <c r="A1101" s="1">
        <f>HYPERLINK("https://lsnyc.legalserver.org/matter/dynamic-profile/view/1904512","19-1904512")</f>
        <v>0</v>
      </c>
      <c r="B1101" t="s">
        <v>91</v>
      </c>
      <c r="C1101" t="s">
        <v>93</v>
      </c>
      <c r="D1101" t="s">
        <v>459</v>
      </c>
      <c r="F1101" t="s">
        <v>835</v>
      </c>
      <c r="G1101" t="s">
        <v>1370</v>
      </c>
      <c r="H1101" t="s">
        <v>1662</v>
      </c>
      <c r="I1101">
        <v>9</v>
      </c>
      <c r="J1101" t="s">
        <v>2205</v>
      </c>
      <c r="K1101">
        <v>11212</v>
      </c>
      <c r="N1101" t="s">
        <v>2233</v>
      </c>
      <c r="O1101" t="s">
        <v>2682</v>
      </c>
      <c r="Q1101" t="s">
        <v>3320</v>
      </c>
      <c r="R1101">
        <v>1</v>
      </c>
      <c r="S1101">
        <v>2</v>
      </c>
      <c r="T1101">
        <v>22.5</v>
      </c>
      <c r="W1101">
        <v>4800</v>
      </c>
      <c r="Y1101">
        <v>11</v>
      </c>
      <c r="Z1101" t="s">
        <v>360</v>
      </c>
      <c r="AA1101" t="s">
        <v>90</v>
      </c>
      <c r="AC1101" t="s">
        <v>3942</v>
      </c>
      <c r="AD1101" t="s">
        <v>163</v>
      </c>
      <c r="AF1101" t="s">
        <v>4053</v>
      </c>
      <c r="AH1101" t="s">
        <v>4076</v>
      </c>
      <c r="AJ1101" t="s">
        <v>3943</v>
      </c>
      <c r="AL1101" t="s">
        <v>4093</v>
      </c>
      <c r="AM1101" t="s">
        <v>2230</v>
      </c>
      <c r="AO1101">
        <v>1300</v>
      </c>
      <c r="AQ1101">
        <v>23</v>
      </c>
      <c r="AS1101" t="s">
        <v>4113</v>
      </c>
      <c r="AU1101" t="s">
        <v>4128</v>
      </c>
      <c r="AW1101">
        <v>1</v>
      </c>
      <c r="AY1101" t="s">
        <v>4140</v>
      </c>
      <c r="BA1101" t="s">
        <v>4149</v>
      </c>
      <c r="BC1101" t="s">
        <v>4155</v>
      </c>
      <c r="BD1101" t="s">
        <v>4157</v>
      </c>
      <c r="BE1101" t="s">
        <v>4245</v>
      </c>
      <c r="BG1101" t="s">
        <v>4536</v>
      </c>
      <c r="BM1101" t="s">
        <v>4627</v>
      </c>
    </row>
    <row r="1102" spans="1:65">
      <c r="A1102" s="1">
        <f>HYPERLINK("https://lsnyc.legalserver.org/matter/dynamic-profile/view/1871295","18-1871295")</f>
        <v>0</v>
      </c>
      <c r="B1102" t="s">
        <v>91</v>
      </c>
      <c r="C1102" t="s">
        <v>93</v>
      </c>
      <c r="D1102" t="s">
        <v>272</v>
      </c>
      <c r="F1102" t="s">
        <v>983</v>
      </c>
      <c r="G1102" t="s">
        <v>1086</v>
      </c>
      <c r="H1102" t="s">
        <v>1635</v>
      </c>
      <c r="I1102" t="s">
        <v>2195</v>
      </c>
      <c r="J1102" t="s">
        <v>2205</v>
      </c>
      <c r="K1102">
        <v>11212</v>
      </c>
      <c r="N1102" t="s">
        <v>2233</v>
      </c>
      <c r="O1102" t="s">
        <v>2891</v>
      </c>
      <c r="Q1102" t="s">
        <v>3407</v>
      </c>
      <c r="R1102">
        <v>1</v>
      </c>
      <c r="S1102">
        <v>0</v>
      </c>
      <c r="T1102">
        <v>19.77</v>
      </c>
      <c r="W1102">
        <v>2400</v>
      </c>
      <c r="Y1102">
        <v>20.8</v>
      </c>
      <c r="Z1102" t="s">
        <v>367</v>
      </c>
      <c r="AA1102" t="s">
        <v>3902</v>
      </c>
      <c r="AC1102" t="s">
        <v>3942</v>
      </c>
      <c r="AD1102" t="s">
        <v>272</v>
      </c>
      <c r="AF1102" t="s">
        <v>4050</v>
      </c>
      <c r="AH1102" t="s">
        <v>4079</v>
      </c>
      <c r="AI1102" t="s">
        <v>4082</v>
      </c>
      <c r="AL1102" t="s">
        <v>4086</v>
      </c>
      <c r="AM1102" t="s">
        <v>2230</v>
      </c>
      <c r="AO1102">
        <v>1116</v>
      </c>
      <c r="AQ1102">
        <v>24</v>
      </c>
      <c r="AS1102" t="s">
        <v>4113</v>
      </c>
      <c r="AU1102" t="s">
        <v>4130</v>
      </c>
      <c r="AW1102">
        <v>8</v>
      </c>
      <c r="AY1102" t="s">
        <v>4140</v>
      </c>
      <c r="BB1102" t="s">
        <v>4154</v>
      </c>
      <c r="BG1102" t="s">
        <v>4581</v>
      </c>
      <c r="BM1102" t="s">
        <v>4627</v>
      </c>
    </row>
    <row r="1103" spans="1:65">
      <c r="A1103" s="1">
        <f>HYPERLINK("https://lsnyc.legalserver.org/matter/dynamic-profile/view/1898006","19-1898006")</f>
        <v>0</v>
      </c>
      <c r="B1103" t="s">
        <v>91</v>
      </c>
      <c r="C1103" t="s">
        <v>93</v>
      </c>
      <c r="D1103" t="s">
        <v>428</v>
      </c>
      <c r="F1103" t="s">
        <v>984</v>
      </c>
      <c r="G1103" t="s">
        <v>1078</v>
      </c>
      <c r="H1103" t="s">
        <v>1884</v>
      </c>
      <c r="I1103">
        <v>1</v>
      </c>
      <c r="J1103" t="s">
        <v>2205</v>
      </c>
      <c r="K1103">
        <v>11208</v>
      </c>
      <c r="N1103" t="s">
        <v>2233</v>
      </c>
      <c r="O1103" t="s">
        <v>2892</v>
      </c>
      <c r="Q1103" t="s">
        <v>3408</v>
      </c>
      <c r="R1103">
        <v>1</v>
      </c>
      <c r="S1103">
        <v>2</v>
      </c>
      <c r="T1103">
        <v>19.75</v>
      </c>
      <c r="W1103">
        <v>4212</v>
      </c>
      <c r="Y1103">
        <v>1.5</v>
      </c>
      <c r="Z1103" t="s">
        <v>320</v>
      </c>
      <c r="AA1103" t="s">
        <v>3901</v>
      </c>
      <c r="AC1103" t="s">
        <v>3942</v>
      </c>
      <c r="AD1103" t="s">
        <v>428</v>
      </c>
      <c r="AF1103" t="s">
        <v>4050</v>
      </c>
      <c r="AH1103" t="s">
        <v>4076</v>
      </c>
      <c r="AI1103" t="s">
        <v>4082</v>
      </c>
      <c r="AL1103" t="s">
        <v>4086</v>
      </c>
      <c r="AM1103" t="s">
        <v>2230</v>
      </c>
      <c r="AO1103">
        <v>1200</v>
      </c>
      <c r="AQ1103">
        <v>3</v>
      </c>
      <c r="AS1103" t="s">
        <v>4117</v>
      </c>
      <c r="AT1103" t="s">
        <v>4127</v>
      </c>
      <c r="AW1103">
        <v>1</v>
      </c>
      <c r="AY1103" t="s">
        <v>4140</v>
      </c>
      <c r="BB1103" t="s">
        <v>4154</v>
      </c>
      <c r="BG1103" t="s">
        <v>4582</v>
      </c>
      <c r="BM1103" t="s">
        <v>4627</v>
      </c>
    </row>
    <row r="1104" spans="1:65">
      <c r="A1104" s="1">
        <f>HYPERLINK("https://lsnyc.legalserver.org/matter/dynamic-profile/view/1903865","19-1903865")</f>
        <v>0</v>
      </c>
      <c r="B1104" t="s">
        <v>91</v>
      </c>
      <c r="C1104" t="s">
        <v>93</v>
      </c>
      <c r="D1104" t="s">
        <v>127</v>
      </c>
      <c r="F1104" t="s">
        <v>888</v>
      </c>
      <c r="G1104" t="s">
        <v>1277</v>
      </c>
      <c r="H1104" t="s">
        <v>1885</v>
      </c>
      <c r="I1104" t="s">
        <v>1934</v>
      </c>
      <c r="J1104" t="s">
        <v>2205</v>
      </c>
      <c r="K1104">
        <v>11233</v>
      </c>
      <c r="N1104" t="s">
        <v>2233</v>
      </c>
      <c r="O1104" t="s">
        <v>2893</v>
      </c>
      <c r="Q1104" t="s">
        <v>3409</v>
      </c>
      <c r="R1104">
        <v>2</v>
      </c>
      <c r="S1104">
        <v>2</v>
      </c>
      <c r="T1104">
        <v>19.69</v>
      </c>
      <c r="W1104">
        <v>5070</v>
      </c>
      <c r="Y1104">
        <v>52.5</v>
      </c>
      <c r="Z1104" t="s">
        <v>122</v>
      </c>
      <c r="AA1104" t="s">
        <v>90</v>
      </c>
      <c r="AC1104" t="s">
        <v>3942</v>
      </c>
      <c r="AD1104" t="s">
        <v>127</v>
      </c>
      <c r="AF1104" t="s">
        <v>4053</v>
      </c>
      <c r="AH1104" t="s">
        <v>4076</v>
      </c>
      <c r="AJ1104" t="s">
        <v>3943</v>
      </c>
      <c r="AL1104" t="s">
        <v>4095</v>
      </c>
      <c r="AM1104" t="s">
        <v>2230</v>
      </c>
      <c r="AO1104">
        <v>1050</v>
      </c>
      <c r="AQ1104">
        <v>8</v>
      </c>
      <c r="AS1104" t="s">
        <v>4113</v>
      </c>
      <c r="AU1104" t="s">
        <v>4128</v>
      </c>
      <c r="AW1104">
        <v>17</v>
      </c>
      <c r="AY1104" t="s">
        <v>4140</v>
      </c>
      <c r="BA1104" t="s">
        <v>4150</v>
      </c>
      <c r="BC1104" t="s">
        <v>4156</v>
      </c>
      <c r="BD1104" t="s">
        <v>4157</v>
      </c>
      <c r="BE1104" t="s">
        <v>4264</v>
      </c>
      <c r="BG1104" t="s">
        <v>4583</v>
      </c>
      <c r="BM1104" t="s">
        <v>4627</v>
      </c>
    </row>
    <row r="1105" spans="1:65">
      <c r="A1105" s="1">
        <f>HYPERLINK("https://lsnyc.legalserver.org/matter/dynamic-profile/view/1873364","18-1873364")</f>
        <v>0</v>
      </c>
      <c r="B1105" t="s">
        <v>91</v>
      </c>
      <c r="C1105" t="s">
        <v>93</v>
      </c>
      <c r="D1105" t="s">
        <v>460</v>
      </c>
      <c r="F1105" t="s">
        <v>985</v>
      </c>
      <c r="G1105" t="s">
        <v>1169</v>
      </c>
      <c r="H1105" t="s">
        <v>1886</v>
      </c>
      <c r="I1105" t="s">
        <v>2196</v>
      </c>
      <c r="J1105" t="s">
        <v>2205</v>
      </c>
      <c r="K1105">
        <v>11208</v>
      </c>
      <c r="N1105" t="s">
        <v>2233</v>
      </c>
      <c r="O1105" t="s">
        <v>2683</v>
      </c>
      <c r="Q1105" t="s">
        <v>3410</v>
      </c>
      <c r="R1105">
        <v>2</v>
      </c>
      <c r="S1105">
        <v>1</v>
      </c>
      <c r="T1105">
        <v>235.8</v>
      </c>
      <c r="U1105" t="s">
        <v>416</v>
      </c>
      <c r="V1105" t="s">
        <v>3458</v>
      </c>
      <c r="W1105">
        <v>49000</v>
      </c>
      <c r="Y1105">
        <v>66.90000000000001</v>
      </c>
      <c r="Z1105" t="s">
        <v>122</v>
      </c>
      <c r="AA1105" t="s">
        <v>3898</v>
      </c>
      <c r="AC1105" t="s">
        <v>3942</v>
      </c>
      <c r="AD1105" t="s">
        <v>460</v>
      </c>
      <c r="AF1105" t="s">
        <v>4053</v>
      </c>
      <c r="AH1105" t="s">
        <v>4076</v>
      </c>
      <c r="AJ1105" t="s">
        <v>3943</v>
      </c>
      <c r="AL1105" t="s">
        <v>4070</v>
      </c>
      <c r="AM1105" t="s">
        <v>2230</v>
      </c>
      <c r="AO1105">
        <v>1600</v>
      </c>
      <c r="AQ1105">
        <v>7</v>
      </c>
      <c r="AS1105" t="s">
        <v>4113</v>
      </c>
      <c r="AU1105" t="s">
        <v>4129</v>
      </c>
      <c r="AW1105">
        <v>15</v>
      </c>
      <c r="AY1105" t="s">
        <v>4140</v>
      </c>
      <c r="BB1105" t="s">
        <v>4154</v>
      </c>
      <c r="BG1105" t="s">
        <v>4584</v>
      </c>
      <c r="BM1105" t="s">
        <v>4627</v>
      </c>
    </row>
    <row r="1106" spans="1:65">
      <c r="A1106" s="1">
        <f>HYPERLINK("https://lsnyc.legalserver.org/matter/dynamic-profile/view/1896358","19-1896358")</f>
        <v>0</v>
      </c>
      <c r="B1106" t="s">
        <v>91</v>
      </c>
      <c r="C1106" t="s">
        <v>93</v>
      </c>
      <c r="D1106" t="s">
        <v>161</v>
      </c>
      <c r="E1106" t="s">
        <v>360</v>
      </c>
      <c r="F1106" t="s">
        <v>986</v>
      </c>
      <c r="G1106" t="s">
        <v>1533</v>
      </c>
      <c r="H1106" t="s">
        <v>1887</v>
      </c>
      <c r="I1106">
        <v>226</v>
      </c>
      <c r="J1106" t="s">
        <v>2205</v>
      </c>
      <c r="K1106">
        <v>11233</v>
      </c>
      <c r="L1106" t="s">
        <v>2225</v>
      </c>
      <c r="N1106" t="s">
        <v>2233</v>
      </c>
      <c r="O1106" t="s">
        <v>2894</v>
      </c>
      <c r="Q1106" t="s">
        <v>3411</v>
      </c>
      <c r="R1106">
        <v>1</v>
      </c>
      <c r="S1106">
        <v>1</v>
      </c>
      <c r="T1106">
        <v>14.07</v>
      </c>
      <c r="W1106">
        <v>2379</v>
      </c>
      <c r="Y1106">
        <v>3.25</v>
      </c>
      <c r="Z1106" t="s">
        <v>241</v>
      </c>
      <c r="AA1106" t="s">
        <v>70</v>
      </c>
      <c r="AC1106" t="s">
        <v>3942</v>
      </c>
      <c r="AD1106" t="s">
        <v>439</v>
      </c>
      <c r="AF1106" t="s">
        <v>4053</v>
      </c>
      <c r="AH1106" t="s">
        <v>4076</v>
      </c>
      <c r="AJ1106" t="s">
        <v>3943</v>
      </c>
      <c r="AK1106" t="s">
        <v>4084</v>
      </c>
      <c r="AM1106" t="s">
        <v>2230</v>
      </c>
      <c r="AO1106">
        <v>1208</v>
      </c>
      <c r="AQ1106">
        <v>137</v>
      </c>
      <c r="AS1106" t="s">
        <v>4113</v>
      </c>
      <c r="AU1106" t="s">
        <v>4131</v>
      </c>
      <c r="AW1106">
        <v>1</v>
      </c>
      <c r="AY1106" t="s">
        <v>4140</v>
      </c>
      <c r="BA1106" t="s">
        <v>4149</v>
      </c>
      <c r="BC1106" t="s">
        <v>4155</v>
      </c>
      <c r="BD1106" t="s">
        <v>4157</v>
      </c>
      <c r="BE1106" t="s">
        <v>4265</v>
      </c>
      <c r="BG1106" t="s">
        <v>4585</v>
      </c>
      <c r="BH1106" t="s">
        <v>4619</v>
      </c>
      <c r="BJ1106" t="s">
        <v>4622</v>
      </c>
      <c r="BL1106" t="s">
        <v>4626</v>
      </c>
      <c r="BM1106" t="s">
        <v>4628</v>
      </c>
    </row>
    <row r="1107" spans="1:65">
      <c r="A1107" s="1">
        <f>HYPERLINK("https://lsnyc.legalserver.org/matter/dynamic-profile/view/1908841","19-1908841")</f>
        <v>0</v>
      </c>
      <c r="B1107" t="s">
        <v>91</v>
      </c>
      <c r="C1107" t="s">
        <v>93</v>
      </c>
      <c r="D1107" t="s">
        <v>394</v>
      </c>
      <c r="F1107" t="s">
        <v>532</v>
      </c>
      <c r="G1107" t="s">
        <v>1358</v>
      </c>
      <c r="H1107" t="s">
        <v>1888</v>
      </c>
      <c r="I1107" t="s">
        <v>2197</v>
      </c>
      <c r="J1107" t="s">
        <v>2205</v>
      </c>
      <c r="K1107">
        <v>11239</v>
      </c>
      <c r="N1107" t="s">
        <v>2233</v>
      </c>
      <c r="O1107" t="s">
        <v>2895</v>
      </c>
      <c r="Q1107" t="s">
        <v>3412</v>
      </c>
      <c r="R1107">
        <v>1</v>
      </c>
      <c r="S1107">
        <v>1</v>
      </c>
      <c r="T1107">
        <v>13.7</v>
      </c>
      <c r="W1107">
        <v>2316</v>
      </c>
      <c r="Y1107">
        <v>8</v>
      </c>
      <c r="Z1107" t="s">
        <v>125</v>
      </c>
      <c r="AA1107" t="s">
        <v>3912</v>
      </c>
      <c r="AC1107" t="s">
        <v>3942</v>
      </c>
      <c r="AD1107" t="s">
        <v>394</v>
      </c>
      <c r="AF1107" t="s">
        <v>4053</v>
      </c>
      <c r="AH1107" t="s">
        <v>4076</v>
      </c>
      <c r="AJ1107" t="s">
        <v>3943</v>
      </c>
      <c r="AL1107" t="s">
        <v>4099</v>
      </c>
      <c r="AM1107" t="s">
        <v>2230</v>
      </c>
      <c r="AO1107">
        <v>1896</v>
      </c>
      <c r="AQ1107">
        <v>1463</v>
      </c>
      <c r="AS1107" t="s">
        <v>4118</v>
      </c>
      <c r="AU1107" t="s">
        <v>4136</v>
      </c>
      <c r="AV1107" t="s">
        <v>4137</v>
      </c>
      <c r="AW1107">
        <v>0</v>
      </c>
      <c r="AY1107" t="s">
        <v>4140</v>
      </c>
      <c r="BA1107" t="s">
        <v>4149</v>
      </c>
      <c r="BC1107" t="s">
        <v>4156</v>
      </c>
      <c r="BE1107" t="s">
        <v>4266</v>
      </c>
      <c r="BG1107" t="s">
        <v>4586</v>
      </c>
      <c r="BM1107" t="s">
        <v>4627</v>
      </c>
    </row>
    <row r="1108" spans="1:65">
      <c r="A1108" s="1">
        <f>HYPERLINK("https://lsnyc.legalserver.org/matter/dynamic-profile/view/1848874","17-1848874")</f>
        <v>0</v>
      </c>
      <c r="B1108" t="s">
        <v>91</v>
      </c>
      <c r="C1108" t="s">
        <v>93</v>
      </c>
      <c r="D1108" t="s">
        <v>461</v>
      </c>
      <c r="F1108" t="s">
        <v>987</v>
      </c>
      <c r="G1108" t="s">
        <v>1534</v>
      </c>
      <c r="H1108" t="s">
        <v>1889</v>
      </c>
      <c r="I1108">
        <v>2</v>
      </c>
      <c r="J1108" t="s">
        <v>2205</v>
      </c>
      <c r="K1108">
        <v>11208</v>
      </c>
      <c r="N1108" t="s">
        <v>2233</v>
      </c>
      <c r="O1108" t="s">
        <v>2896</v>
      </c>
      <c r="Q1108" t="s">
        <v>3413</v>
      </c>
      <c r="R1108">
        <v>1</v>
      </c>
      <c r="S1108">
        <v>3</v>
      </c>
      <c r="T1108">
        <v>9.199999999999999</v>
      </c>
      <c r="W1108">
        <v>2262</v>
      </c>
      <c r="Y1108">
        <v>33.4</v>
      </c>
      <c r="Z1108" t="s">
        <v>249</v>
      </c>
      <c r="AA1108" t="s">
        <v>3905</v>
      </c>
      <c r="AC1108" t="s">
        <v>3942</v>
      </c>
      <c r="AD1108" t="s">
        <v>4043</v>
      </c>
      <c r="AF1108" t="s">
        <v>4050</v>
      </c>
      <c r="AH1108" t="s">
        <v>4076</v>
      </c>
      <c r="AI1108" t="s">
        <v>4082</v>
      </c>
      <c r="AL1108" t="s">
        <v>4102</v>
      </c>
      <c r="AM1108" t="s">
        <v>2230</v>
      </c>
      <c r="AO1108">
        <v>1100</v>
      </c>
      <c r="AQ1108">
        <v>5</v>
      </c>
      <c r="AS1108" t="s">
        <v>4126</v>
      </c>
      <c r="AT1108" t="s">
        <v>4127</v>
      </c>
      <c r="AW1108">
        <v>5</v>
      </c>
      <c r="AY1108" t="s">
        <v>4140</v>
      </c>
      <c r="BB1108" t="s">
        <v>4154</v>
      </c>
      <c r="BD1108" t="s">
        <v>4157</v>
      </c>
      <c r="BE1108" t="s">
        <v>4267</v>
      </c>
      <c r="BG1108" t="s">
        <v>4587</v>
      </c>
      <c r="BM1108" t="s">
        <v>4627</v>
      </c>
    </row>
    <row r="1109" spans="1:65">
      <c r="A1109" s="1">
        <f>HYPERLINK("https://lsnyc.legalserver.org/matter/dynamic-profile/view/1894548","19-1894548")</f>
        <v>0</v>
      </c>
      <c r="B1109" t="s">
        <v>91</v>
      </c>
      <c r="C1109" t="s">
        <v>93</v>
      </c>
      <c r="D1109" t="s">
        <v>462</v>
      </c>
      <c r="F1109" t="s">
        <v>988</v>
      </c>
      <c r="G1109" t="s">
        <v>1535</v>
      </c>
      <c r="H1109" t="s">
        <v>1622</v>
      </c>
      <c r="I1109" t="s">
        <v>2198</v>
      </c>
      <c r="J1109" t="s">
        <v>2205</v>
      </c>
      <c r="K1109">
        <v>11208</v>
      </c>
      <c r="N1109" t="s">
        <v>2233</v>
      </c>
      <c r="O1109" t="s">
        <v>2897</v>
      </c>
      <c r="Q1109" t="s">
        <v>3414</v>
      </c>
      <c r="R1109">
        <v>2</v>
      </c>
      <c r="S1109">
        <v>2</v>
      </c>
      <c r="T1109">
        <v>8.890000000000001</v>
      </c>
      <c r="W1109">
        <v>2288</v>
      </c>
      <c r="Y1109">
        <v>40.75</v>
      </c>
      <c r="Z1109" t="s">
        <v>3850</v>
      </c>
      <c r="AA1109" t="s">
        <v>3901</v>
      </c>
      <c r="AC1109" t="s">
        <v>3942</v>
      </c>
      <c r="AD1109" t="s">
        <v>462</v>
      </c>
      <c r="AF1109" t="s">
        <v>4053</v>
      </c>
      <c r="AH1109" t="s">
        <v>4076</v>
      </c>
      <c r="AI1109" t="s">
        <v>4082</v>
      </c>
      <c r="AL1109" t="s">
        <v>4099</v>
      </c>
      <c r="AM1109" t="s">
        <v>2230</v>
      </c>
      <c r="AO1109">
        <v>1488</v>
      </c>
      <c r="AQ1109">
        <v>18</v>
      </c>
      <c r="AS1109" t="s">
        <v>4117</v>
      </c>
      <c r="AT1109" t="s">
        <v>4127</v>
      </c>
      <c r="AW1109">
        <v>2</v>
      </c>
      <c r="AY1109" t="s">
        <v>4140</v>
      </c>
      <c r="BB1109" t="s">
        <v>4154</v>
      </c>
      <c r="BE1109" t="s">
        <v>4268</v>
      </c>
      <c r="BG1109" t="s">
        <v>4588</v>
      </c>
      <c r="BM1109" t="s">
        <v>4627</v>
      </c>
    </row>
    <row r="1110" spans="1:65">
      <c r="A1110" s="1">
        <f>HYPERLINK("https://lsnyc.legalserver.org/matter/dynamic-profile/view/1908579","19-1908579")</f>
        <v>0</v>
      </c>
      <c r="B1110" t="s">
        <v>91</v>
      </c>
      <c r="C1110" t="s">
        <v>93</v>
      </c>
      <c r="D1110" t="s">
        <v>455</v>
      </c>
      <c r="F1110" t="s">
        <v>989</v>
      </c>
      <c r="G1110" t="s">
        <v>1364</v>
      </c>
      <c r="H1110" t="s">
        <v>1890</v>
      </c>
      <c r="I1110" t="s">
        <v>2199</v>
      </c>
      <c r="J1110" t="s">
        <v>2205</v>
      </c>
      <c r="K1110">
        <v>11207</v>
      </c>
      <c r="N1110" t="s">
        <v>2233</v>
      </c>
      <c r="O1110" t="s">
        <v>2898</v>
      </c>
      <c r="Q1110" t="s">
        <v>3415</v>
      </c>
      <c r="R1110">
        <v>1</v>
      </c>
      <c r="S1110">
        <v>0</v>
      </c>
      <c r="T1110">
        <v>0</v>
      </c>
      <c r="W1110">
        <v>0</v>
      </c>
      <c r="Y1110">
        <v>1.5</v>
      </c>
      <c r="Z1110" t="s">
        <v>394</v>
      </c>
      <c r="AA1110" t="s">
        <v>3893</v>
      </c>
      <c r="AC1110" t="s">
        <v>3942</v>
      </c>
      <c r="AF1110" t="s">
        <v>4053</v>
      </c>
      <c r="AH1110" t="s">
        <v>4079</v>
      </c>
      <c r="AI1110" t="s">
        <v>4082</v>
      </c>
      <c r="AL1110" t="s">
        <v>4099</v>
      </c>
      <c r="AM1110" t="s">
        <v>2230</v>
      </c>
      <c r="AO1110">
        <v>710</v>
      </c>
      <c r="AP1110" t="s">
        <v>4108</v>
      </c>
      <c r="AQ1110" t="s">
        <v>4110</v>
      </c>
      <c r="AR1110" t="s">
        <v>4112</v>
      </c>
      <c r="AT1110" t="s">
        <v>4127</v>
      </c>
      <c r="AV1110" t="s">
        <v>4137</v>
      </c>
      <c r="AW1110">
        <v>0</v>
      </c>
      <c r="AY1110" t="s">
        <v>4140</v>
      </c>
      <c r="AZ1110" t="s">
        <v>4148</v>
      </c>
      <c r="BC1110" t="s">
        <v>4155</v>
      </c>
      <c r="BG1110" t="s">
        <v>4589</v>
      </c>
      <c r="BM1110" t="s">
        <v>4627</v>
      </c>
    </row>
    <row r="1111" spans="1:65">
      <c r="A1111" s="1">
        <f>HYPERLINK("https://lsnyc.legalserver.org/matter/dynamic-profile/view/1889277","19-1889277")</f>
        <v>0</v>
      </c>
      <c r="B1111" t="s">
        <v>91</v>
      </c>
      <c r="C1111" t="s">
        <v>93</v>
      </c>
      <c r="D1111" t="s">
        <v>194</v>
      </c>
      <c r="F1111" t="s">
        <v>936</v>
      </c>
      <c r="G1111" t="s">
        <v>666</v>
      </c>
      <c r="H1111" t="s">
        <v>1891</v>
      </c>
      <c r="I1111">
        <v>3</v>
      </c>
      <c r="J1111" t="s">
        <v>2205</v>
      </c>
      <c r="K1111">
        <v>11207</v>
      </c>
      <c r="N1111" t="s">
        <v>2233</v>
      </c>
      <c r="O1111" t="s">
        <v>2899</v>
      </c>
      <c r="Q1111" t="s">
        <v>3416</v>
      </c>
      <c r="R1111">
        <v>1</v>
      </c>
      <c r="S1111">
        <v>1</v>
      </c>
      <c r="T1111">
        <v>0</v>
      </c>
      <c r="W1111">
        <v>0</v>
      </c>
      <c r="Y1111">
        <v>2.25</v>
      </c>
      <c r="Z1111" t="s">
        <v>408</v>
      </c>
      <c r="AA1111" t="s">
        <v>3932</v>
      </c>
      <c r="AB1111" t="s">
        <v>3940</v>
      </c>
      <c r="AC1111" t="s">
        <v>3943</v>
      </c>
      <c r="AF1111" t="s">
        <v>4053</v>
      </c>
      <c r="AH1111" t="s">
        <v>4081</v>
      </c>
      <c r="AJ1111" t="s">
        <v>3943</v>
      </c>
      <c r="AL1111" t="s">
        <v>4070</v>
      </c>
      <c r="AM1111" t="s">
        <v>2230</v>
      </c>
      <c r="AO1111">
        <v>2600</v>
      </c>
      <c r="AQ1111">
        <v>3</v>
      </c>
      <c r="AS1111" t="s">
        <v>4114</v>
      </c>
      <c r="AU1111" t="s">
        <v>4128</v>
      </c>
      <c r="AV1111" t="s">
        <v>4137</v>
      </c>
      <c r="AW1111">
        <v>0</v>
      </c>
      <c r="AY1111" t="s">
        <v>4140</v>
      </c>
      <c r="AZ1111" t="s">
        <v>4148</v>
      </c>
      <c r="BB1111" t="s">
        <v>4154</v>
      </c>
      <c r="BG1111" t="s">
        <v>4590</v>
      </c>
      <c r="BM1111" t="s">
        <v>4627</v>
      </c>
    </row>
    <row r="1112" spans="1:65">
      <c r="A1112" s="1">
        <f>HYPERLINK("https://lsnyc.legalserver.org/matter/dynamic-profile/view/1912118","19-1912118")</f>
        <v>0</v>
      </c>
      <c r="B1112" t="s">
        <v>91</v>
      </c>
      <c r="C1112" t="s">
        <v>93</v>
      </c>
      <c r="D1112" t="s">
        <v>463</v>
      </c>
      <c r="F1112" t="s">
        <v>990</v>
      </c>
      <c r="G1112" t="s">
        <v>1358</v>
      </c>
      <c r="H1112" t="s">
        <v>1892</v>
      </c>
      <c r="I1112" t="s">
        <v>2200</v>
      </c>
      <c r="J1112" t="s">
        <v>2205</v>
      </c>
      <c r="K1112">
        <v>11208</v>
      </c>
      <c r="N1112" t="s">
        <v>2233</v>
      </c>
      <c r="O1112" t="s">
        <v>2900</v>
      </c>
      <c r="Q1112" t="s">
        <v>3417</v>
      </c>
      <c r="R1112">
        <v>1</v>
      </c>
      <c r="S1112">
        <v>2</v>
      </c>
      <c r="T1112">
        <v>0</v>
      </c>
      <c r="W1112">
        <v>0</v>
      </c>
      <c r="Y1112">
        <v>3.5</v>
      </c>
      <c r="Z1112" t="s">
        <v>122</v>
      </c>
      <c r="AA1112" t="s">
        <v>70</v>
      </c>
      <c r="AB1112" t="s">
        <v>3941</v>
      </c>
      <c r="AC1112" t="s">
        <v>3943</v>
      </c>
      <c r="AD1112" t="s">
        <v>358</v>
      </c>
      <c r="AF1112" t="s">
        <v>4053</v>
      </c>
      <c r="AH1112" t="s">
        <v>4076</v>
      </c>
      <c r="AJ1112" t="s">
        <v>3943</v>
      </c>
      <c r="AL1112" t="s">
        <v>4086</v>
      </c>
      <c r="AM1112" t="s">
        <v>2230</v>
      </c>
      <c r="AO1112">
        <v>895</v>
      </c>
      <c r="AQ1112">
        <v>319</v>
      </c>
      <c r="AS1112" t="s">
        <v>4113</v>
      </c>
      <c r="AU1112" t="s">
        <v>4131</v>
      </c>
      <c r="AW1112">
        <v>4</v>
      </c>
      <c r="AY1112" t="s">
        <v>4140</v>
      </c>
      <c r="BC1112" t="s">
        <v>4156</v>
      </c>
      <c r="BD1112" t="s">
        <v>4157</v>
      </c>
      <c r="BE1112" t="s">
        <v>4269</v>
      </c>
      <c r="BG1112" t="s">
        <v>4591</v>
      </c>
      <c r="BM1112" t="s">
        <v>4627</v>
      </c>
    </row>
    <row r="1113" spans="1:65">
      <c r="A1113" s="1">
        <f>HYPERLINK("https://lsnyc.legalserver.org/matter/dynamic-profile/view/1849905","17-1849905")</f>
        <v>0</v>
      </c>
      <c r="B1113" t="s">
        <v>91</v>
      </c>
      <c r="C1113" t="s">
        <v>93</v>
      </c>
      <c r="D1113" t="s">
        <v>336</v>
      </c>
      <c r="F1113" t="s">
        <v>991</v>
      </c>
      <c r="G1113" t="s">
        <v>1536</v>
      </c>
      <c r="H1113" t="s">
        <v>1889</v>
      </c>
      <c r="I1113" t="s">
        <v>1924</v>
      </c>
      <c r="J1113" t="s">
        <v>2205</v>
      </c>
      <c r="K1113">
        <v>11208</v>
      </c>
      <c r="N1113" t="s">
        <v>2233</v>
      </c>
      <c r="O1113" t="s">
        <v>2901</v>
      </c>
      <c r="P1113" t="s">
        <v>2930</v>
      </c>
      <c r="R1113">
        <v>1</v>
      </c>
      <c r="S1113">
        <v>0</v>
      </c>
      <c r="T1113">
        <v>0</v>
      </c>
      <c r="W1113">
        <v>0</v>
      </c>
      <c r="Y1113">
        <v>23.7</v>
      </c>
      <c r="Z1113" t="s">
        <v>3883</v>
      </c>
      <c r="AA1113" t="s">
        <v>3915</v>
      </c>
      <c r="AC1113" t="s">
        <v>3942</v>
      </c>
      <c r="AD1113" t="s">
        <v>336</v>
      </c>
      <c r="AF1113" t="s">
        <v>4050</v>
      </c>
      <c r="AH1113" t="s">
        <v>4076</v>
      </c>
      <c r="AJ1113" t="s">
        <v>3942</v>
      </c>
      <c r="AL1113" t="s">
        <v>4097</v>
      </c>
      <c r="AM1113" t="s">
        <v>2230</v>
      </c>
      <c r="AN1113" t="s">
        <v>4107</v>
      </c>
      <c r="AO1113">
        <v>0</v>
      </c>
      <c r="AQ1113">
        <v>5</v>
      </c>
      <c r="AS1113" t="s">
        <v>4114</v>
      </c>
      <c r="AU1113" t="s">
        <v>4128</v>
      </c>
      <c r="AW1113">
        <v>5</v>
      </c>
      <c r="AY1113" t="s">
        <v>4140</v>
      </c>
      <c r="BB1113" t="s">
        <v>4154</v>
      </c>
      <c r="BF1113" t="s">
        <v>4281</v>
      </c>
      <c r="BM1113" t="s">
        <v>4627</v>
      </c>
    </row>
    <row r="1114" spans="1:65">
      <c r="A1114" s="1">
        <f>HYPERLINK("https://lsnyc.legalserver.org/matter/dynamic-profile/view/1835046","17-1835046")</f>
        <v>0</v>
      </c>
      <c r="B1114" t="s">
        <v>91</v>
      </c>
      <c r="C1114" t="s">
        <v>93</v>
      </c>
      <c r="D1114" t="s">
        <v>417</v>
      </c>
      <c r="F1114" t="s">
        <v>992</v>
      </c>
      <c r="G1114" t="s">
        <v>1537</v>
      </c>
      <c r="H1114" t="s">
        <v>1893</v>
      </c>
      <c r="I1114" t="s">
        <v>2015</v>
      </c>
      <c r="J1114" t="s">
        <v>2205</v>
      </c>
      <c r="K1114">
        <v>11230</v>
      </c>
      <c r="N1114" t="s">
        <v>2233</v>
      </c>
      <c r="O1114" t="s">
        <v>2902</v>
      </c>
      <c r="Q1114" t="s">
        <v>3418</v>
      </c>
      <c r="R1114">
        <v>1</v>
      </c>
      <c r="S1114">
        <v>0</v>
      </c>
      <c r="T1114">
        <v>0</v>
      </c>
      <c r="U1114" t="s">
        <v>3445</v>
      </c>
      <c r="V1114" t="s">
        <v>3456</v>
      </c>
      <c r="W1114">
        <v>0</v>
      </c>
      <c r="Y1114">
        <v>773.55</v>
      </c>
      <c r="Z1114" t="s">
        <v>176</v>
      </c>
      <c r="AA1114" t="s">
        <v>90</v>
      </c>
      <c r="AC1114" t="s">
        <v>3942</v>
      </c>
      <c r="AD1114" t="s">
        <v>4048</v>
      </c>
      <c r="AF1114" t="s">
        <v>4050</v>
      </c>
      <c r="AH1114" t="s">
        <v>4076</v>
      </c>
      <c r="AJ1114" t="s">
        <v>3942</v>
      </c>
      <c r="AL1114" t="s">
        <v>4097</v>
      </c>
      <c r="AM1114" t="s">
        <v>2230</v>
      </c>
      <c r="AO1114">
        <v>946</v>
      </c>
      <c r="AQ1114">
        <v>20</v>
      </c>
      <c r="AS1114" t="s">
        <v>4113</v>
      </c>
      <c r="AU1114" t="s">
        <v>4128</v>
      </c>
      <c r="AW1114">
        <v>6</v>
      </c>
      <c r="AY1114" t="s">
        <v>4140</v>
      </c>
      <c r="BB1114" t="s">
        <v>4154</v>
      </c>
      <c r="BE1114" t="s">
        <v>4159</v>
      </c>
      <c r="BG1114" t="s">
        <v>4592</v>
      </c>
      <c r="BM1114" t="s">
        <v>4627</v>
      </c>
    </row>
    <row r="1115" spans="1:65">
      <c r="A1115" s="1">
        <f>HYPERLINK("https://lsnyc.legalserver.org/matter/dynamic-profile/view/1900296","19-1900296")</f>
        <v>0</v>
      </c>
      <c r="B1115" t="s">
        <v>91</v>
      </c>
      <c r="C1115" t="s">
        <v>93</v>
      </c>
      <c r="D1115" t="s">
        <v>464</v>
      </c>
      <c r="F1115" t="s">
        <v>993</v>
      </c>
      <c r="G1115" t="s">
        <v>1021</v>
      </c>
      <c r="H1115" t="s">
        <v>1629</v>
      </c>
      <c r="I1115" t="s">
        <v>1998</v>
      </c>
      <c r="J1115" t="s">
        <v>2205</v>
      </c>
      <c r="K1115">
        <v>11208</v>
      </c>
      <c r="N1115" t="s">
        <v>2233</v>
      </c>
      <c r="O1115" t="s">
        <v>2903</v>
      </c>
      <c r="Q1115" t="s">
        <v>3419</v>
      </c>
      <c r="R1115">
        <v>1</v>
      </c>
      <c r="S1115">
        <v>0</v>
      </c>
      <c r="T1115">
        <v>268.78</v>
      </c>
      <c r="W1115">
        <v>33570</v>
      </c>
      <c r="Y1115">
        <v>22.25</v>
      </c>
      <c r="Z1115" t="s">
        <v>360</v>
      </c>
      <c r="AA1115" t="s">
        <v>70</v>
      </c>
      <c r="AC1115" t="s">
        <v>3942</v>
      </c>
      <c r="AD1115" t="s">
        <v>3819</v>
      </c>
      <c r="AF1115" t="s">
        <v>4053</v>
      </c>
      <c r="AH1115" t="s">
        <v>4076</v>
      </c>
      <c r="AJ1115" t="s">
        <v>3943</v>
      </c>
      <c r="AK1115" t="s">
        <v>4084</v>
      </c>
      <c r="AM1115" t="s">
        <v>2230</v>
      </c>
      <c r="AO1115">
        <v>744.58</v>
      </c>
      <c r="AP1115" t="s">
        <v>4108</v>
      </c>
      <c r="AQ1115" t="s">
        <v>4110</v>
      </c>
      <c r="AS1115" t="s">
        <v>4113</v>
      </c>
      <c r="AU1115" t="s">
        <v>4129</v>
      </c>
      <c r="AW1115">
        <v>42</v>
      </c>
      <c r="AY1115" t="s">
        <v>4140</v>
      </c>
      <c r="BC1115" t="s">
        <v>4155</v>
      </c>
      <c r="BG1115" t="s">
        <v>4593</v>
      </c>
      <c r="BM1115" t="s">
        <v>4627</v>
      </c>
    </row>
    <row r="1116" spans="1:65">
      <c r="A1116" s="1">
        <f>HYPERLINK("https://lsnyc.legalserver.org/matter/dynamic-profile/view/1888792","19-1888792")</f>
        <v>0</v>
      </c>
      <c r="B1116" t="s">
        <v>91</v>
      </c>
      <c r="C1116" t="s">
        <v>93</v>
      </c>
      <c r="D1116" t="s">
        <v>465</v>
      </c>
      <c r="F1116" t="s">
        <v>994</v>
      </c>
      <c r="G1116" t="s">
        <v>1538</v>
      </c>
      <c r="H1116" t="s">
        <v>1894</v>
      </c>
      <c r="I1116">
        <v>1</v>
      </c>
      <c r="J1116" t="s">
        <v>2205</v>
      </c>
      <c r="K1116">
        <v>11233</v>
      </c>
      <c r="N1116" t="s">
        <v>2233</v>
      </c>
      <c r="O1116" t="s">
        <v>2686</v>
      </c>
      <c r="P1116" t="s">
        <v>2930</v>
      </c>
      <c r="R1116">
        <v>2</v>
      </c>
      <c r="S1116">
        <v>3</v>
      </c>
      <c r="T1116">
        <v>0</v>
      </c>
      <c r="W1116">
        <v>0</v>
      </c>
      <c r="Y1116">
        <v>1.5</v>
      </c>
      <c r="Z1116" t="s">
        <v>3884</v>
      </c>
      <c r="AA1116" t="s">
        <v>70</v>
      </c>
      <c r="AC1116" t="s">
        <v>3942</v>
      </c>
      <c r="AD1116" t="s">
        <v>465</v>
      </c>
      <c r="AF1116" t="s">
        <v>4050</v>
      </c>
      <c r="AH1116" t="s">
        <v>4081</v>
      </c>
      <c r="AJ1116" t="s">
        <v>3943</v>
      </c>
      <c r="AK1116" t="s">
        <v>4084</v>
      </c>
      <c r="AM1116" t="s">
        <v>2230</v>
      </c>
      <c r="AN1116" t="s">
        <v>4107</v>
      </c>
      <c r="AO1116">
        <v>0</v>
      </c>
      <c r="AP1116" t="s">
        <v>4108</v>
      </c>
      <c r="AQ1116" t="s">
        <v>4110</v>
      </c>
      <c r="AS1116" t="s">
        <v>4114</v>
      </c>
      <c r="AU1116" t="s">
        <v>4129</v>
      </c>
      <c r="AV1116" t="s">
        <v>4137</v>
      </c>
      <c r="AW1116">
        <v>0</v>
      </c>
      <c r="AY1116" t="s">
        <v>4140</v>
      </c>
      <c r="BA1116" t="s">
        <v>4150</v>
      </c>
      <c r="BC1116" t="s">
        <v>4155</v>
      </c>
      <c r="BD1116" t="s">
        <v>4157</v>
      </c>
      <c r="BE1116" t="s">
        <v>4270</v>
      </c>
      <c r="BG1116" t="s">
        <v>4594</v>
      </c>
      <c r="BM1116" t="s">
        <v>4627</v>
      </c>
    </row>
    <row r="1117" spans="1:65">
      <c r="A1117" s="1">
        <f>HYPERLINK("https://lsnyc.legalserver.org/matter/dynamic-profile/view/1889612","19-1889612")</f>
        <v>0</v>
      </c>
      <c r="B1117" t="s">
        <v>91</v>
      </c>
      <c r="C1117" t="s">
        <v>93</v>
      </c>
      <c r="D1117" t="s">
        <v>190</v>
      </c>
      <c r="F1117" t="s">
        <v>995</v>
      </c>
      <c r="G1117" t="s">
        <v>1539</v>
      </c>
      <c r="H1117" t="s">
        <v>1571</v>
      </c>
      <c r="I1117">
        <v>328</v>
      </c>
      <c r="J1117" t="s">
        <v>2205</v>
      </c>
      <c r="K1117">
        <v>11208</v>
      </c>
      <c r="N1117" t="s">
        <v>2233</v>
      </c>
      <c r="O1117" t="s">
        <v>2904</v>
      </c>
      <c r="Q1117" t="s">
        <v>3420</v>
      </c>
      <c r="R1117">
        <v>1</v>
      </c>
      <c r="S1117">
        <v>1</v>
      </c>
      <c r="T1117">
        <v>130.1</v>
      </c>
      <c r="W1117">
        <v>22000</v>
      </c>
      <c r="Y1117">
        <v>2.5</v>
      </c>
      <c r="Z1117" t="s">
        <v>177</v>
      </c>
      <c r="AA1117" t="s">
        <v>91</v>
      </c>
      <c r="AC1117" t="s">
        <v>3942</v>
      </c>
      <c r="AD1117" t="s">
        <v>190</v>
      </c>
      <c r="AF1117" t="s">
        <v>4053</v>
      </c>
      <c r="AH1117" t="s">
        <v>4081</v>
      </c>
      <c r="AJ1117" t="s">
        <v>3943</v>
      </c>
      <c r="AK1117" t="s">
        <v>4084</v>
      </c>
      <c r="AM1117" t="s">
        <v>2230</v>
      </c>
      <c r="AO1117">
        <v>1182</v>
      </c>
      <c r="AQ1117">
        <v>266</v>
      </c>
      <c r="AS1117" t="s">
        <v>4113</v>
      </c>
      <c r="AT1117" t="s">
        <v>4127</v>
      </c>
      <c r="AW1117">
        <v>7</v>
      </c>
      <c r="AY1117" t="s">
        <v>4140</v>
      </c>
      <c r="BA1117" t="s">
        <v>4149</v>
      </c>
      <c r="BC1117" t="s">
        <v>4155</v>
      </c>
      <c r="BE1117" t="s">
        <v>4162</v>
      </c>
      <c r="BG1117" t="s">
        <v>4595</v>
      </c>
      <c r="BM1117" t="s">
        <v>4627</v>
      </c>
    </row>
    <row r="1118" spans="1:65">
      <c r="A1118" s="1">
        <f>HYPERLINK("https://lsnyc.legalserver.org/matter/dynamic-profile/view/1888975","19-1888975")</f>
        <v>0</v>
      </c>
      <c r="B1118" t="s">
        <v>91</v>
      </c>
      <c r="C1118" t="s">
        <v>93</v>
      </c>
      <c r="D1118" t="s">
        <v>466</v>
      </c>
      <c r="F1118" t="s">
        <v>994</v>
      </c>
      <c r="G1118" t="s">
        <v>1540</v>
      </c>
      <c r="H1118" t="s">
        <v>1895</v>
      </c>
      <c r="I1118">
        <v>1</v>
      </c>
      <c r="J1118" t="s">
        <v>2205</v>
      </c>
      <c r="K1118">
        <v>11233</v>
      </c>
      <c r="N1118" t="s">
        <v>2233</v>
      </c>
      <c r="O1118" t="s">
        <v>2905</v>
      </c>
      <c r="Q1118" t="s">
        <v>3421</v>
      </c>
      <c r="R1118">
        <v>1</v>
      </c>
      <c r="S1118">
        <v>4</v>
      </c>
      <c r="T1118">
        <v>52.17</v>
      </c>
      <c r="W1118">
        <v>15740</v>
      </c>
      <c r="Y1118">
        <v>0</v>
      </c>
      <c r="AA1118" t="s">
        <v>3901</v>
      </c>
      <c r="AC1118" t="s">
        <v>3942</v>
      </c>
      <c r="AD1118" t="s">
        <v>466</v>
      </c>
      <c r="AF1118" t="s">
        <v>4050</v>
      </c>
      <c r="AH1118" t="s">
        <v>4079</v>
      </c>
      <c r="AJ1118" t="s">
        <v>3943</v>
      </c>
      <c r="AL1118" t="s">
        <v>4090</v>
      </c>
      <c r="AM1118" t="s">
        <v>2230</v>
      </c>
      <c r="AO1118">
        <v>230</v>
      </c>
      <c r="AQ1118">
        <v>3</v>
      </c>
      <c r="AS1118" t="s">
        <v>4120</v>
      </c>
      <c r="AU1118" t="s">
        <v>4129</v>
      </c>
      <c r="AW1118">
        <v>4</v>
      </c>
      <c r="AY1118" t="s">
        <v>4140</v>
      </c>
      <c r="BB1118" t="s">
        <v>4154</v>
      </c>
      <c r="BD1118" t="s">
        <v>4157</v>
      </c>
      <c r="BE1118" t="s">
        <v>4270</v>
      </c>
      <c r="BG1118" t="s">
        <v>4594</v>
      </c>
      <c r="BM1118" t="s">
        <v>4627</v>
      </c>
    </row>
    <row r="1119" spans="1:65">
      <c r="A1119" s="1">
        <f>HYPERLINK("https://lsnyc.legalserver.org/matter/dynamic-profile/view/1895562","19-1895562")</f>
        <v>0</v>
      </c>
      <c r="B1119" t="s">
        <v>91</v>
      </c>
      <c r="C1119" t="s">
        <v>93</v>
      </c>
      <c r="D1119" t="s">
        <v>404</v>
      </c>
      <c r="F1119" t="s">
        <v>996</v>
      </c>
      <c r="G1119" t="s">
        <v>1541</v>
      </c>
      <c r="H1119" t="s">
        <v>1627</v>
      </c>
      <c r="I1119" t="s">
        <v>1929</v>
      </c>
      <c r="J1119" t="s">
        <v>2205</v>
      </c>
      <c r="K1119">
        <v>11206</v>
      </c>
      <c r="N1119" t="s">
        <v>2233</v>
      </c>
      <c r="O1119" t="s">
        <v>2906</v>
      </c>
      <c r="Q1119" t="s">
        <v>3422</v>
      </c>
      <c r="R1119">
        <v>1</v>
      </c>
      <c r="S1119">
        <v>0</v>
      </c>
      <c r="T1119">
        <v>48.49</v>
      </c>
      <c r="W1119">
        <v>6056</v>
      </c>
      <c r="Y1119">
        <v>22.3</v>
      </c>
      <c r="Z1119" t="s">
        <v>388</v>
      </c>
      <c r="AA1119" t="s">
        <v>70</v>
      </c>
      <c r="AC1119" t="s">
        <v>3942</v>
      </c>
      <c r="AD1119" t="s">
        <v>219</v>
      </c>
      <c r="AF1119" t="s">
        <v>4053</v>
      </c>
      <c r="AH1119" t="s">
        <v>4076</v>
      </c>
      <c r="AJ1119" t="s">
        <v>3943</v>
      </c>
      <c r="AL1119" t="s">
        <v>4088</v>
      </c>
      <c r="AM1119" t="s">
        <v>2230</v>
      </c>
      <c r="AO1119">
        <v>96</v>
      </c>
      <c r="AP1119" t="s">
        <v>4108</v>
      </c>
      <c r="AQ1119" t="s">
        <v>4110</v>
      </c>
      <c r="AS1119" t="s">
        <v>4113</v>
      </c>
      <c r="AU1119" t="s">
        <v>4070</v>
      </c>
      <c r="AW1119">
        <v>40</v>
      </c>
      <c r="AY1119" t="s">
        <v>4140</v>
      </c>
      <c r="BA1119" t="s">
        <v>4149</v>
      </c>
      <c r="BC1119" t="s">
        <v>4155</v>
      </c>
      <c r="BG1119" t="s">
        <v>4596</v>
      </c>
      <c r="BM1119" t="s">
        <v>4627</v>
      </c>
    </row>
    <row r="1120" spans="1:65">
      <c r="A1120" s="1">
        <f>HYPERLINK("https://lsnyc.legalserver.org/matter/dynamic-profile/view/1881892","18-1881892")</f>
        <v>0</v>
      </c>
      <c r="B1120" t="s">
        <v>91</v>
      </c>
      <c r="C1120" t="s">
        <v>93</v>
      </c>
      <c r="D1120" t="s">
        <v>467</v>
      </c>
      <c r="F1120" t="s">
        <v>997</v>
      </c>
      <c r="G1120" t="s">
        <v>1542</v>
      </c>
      <c r="H1120" t="s">
        <v>1896</v>
      </c>
      <c r="I1120" t="s">
        <v>1928</v>
      </c>
      <c r="J1120" t="s">
        <v>2205</v>
      </c>
      <c r="K1120">
        <v>11208</v>
      </c>
      <c r="N1120" t="s">
        <v>2233</v>
      </c>
      <c r="O1120" t="s">
        <v>2907</v>
      </c>
      <c r="Q1120" t="s">
        <v>3423</v>
      </c>
      <c r="R1120">
        <v>1</v>
      </c>
      <c r="S1120">
        <v>1</v>
      </c>
      <c r="T1120">
        <v>92.09</v>
      </c>
      <c r="W1120">
        <v>15158</v>
      </c>
      <c r="Y1120">
        <v>47.25</v>
      </c>
      <c r="Z1120" t="s">
        <v>247</v>
      </c>
      <c r="AA1120" t="s">
        <v>90</v>
      </c>
      <c r="AC1120" t="s">
        <v>3942</v>
      </c>
      <c r="AD1120" t="s">
        <v>467</v>
      </c>
      <c r="AF1120" t="s">
        <v>4053</v>
      </c>
      <c r="AH1120" t="s">
        <v>4076</v>
      </c>
      <c r="AJ1120" t="s">
        <v>3943</v>
      </c>
      <c r="AL1120" t="s">
        <v>4086</v>
      </c>
      <c r="AM1120" t="s">
        <v>2230</v>
      </c>
      <c r="AO1120">
        <v>1425</v>
      </c>
      <c r="AQ1120">
        <v>12</v>
      </c>
      <c r="AS1120" t="s">
        <v>4113</v>
      </c>
      <c r="AU1120" t="s">
        <v>4070</v>
      </c>
      <c r="AW1120">
        <v>1</v>
      </c>
      <c r="AY1120" t="s">
        <v>4141</v>
      </c>
      <c r="BA1120" t="s">
        <v>4149</v>
      </c>
      <c r="BB1120" t="s">
        <v>4154</v>
      </c>
      <c r="BD1120" t="s">
        <v>4157</v>
      </c>
      <c r="BE1120" t="s">
        <v>4271</v>
      </c>
      <c r="BG1120" t="s">
        <v>4597</v>
      </c>
      <c r="BM1120" t="s">
        <v>4627</v>
      </c>
    </row>
    <row r="1121" spans="1:65">
      <c r="A1121" s="1">
        <f>HYPERLINK("https://lsnyc.legalserver.org/matter/dynamic-profile/view/1912781","19-1912781")</f>
        <v>0</v>
      </c>
      <c r="B1121" t="s">
        <v>91</v>
      </c>
      <c r="C1121" t="s">
        <v>93</v>
      </c>
      <c r="D1121" t="s">
        <v>221</v>
      </c>
      <c r="F1121" t="s">
        <v>998</v>
      </c>
      <c r="G1121" t="s">
        <v>1543</v>
      </c>
      <c r="H1121" t="s">
        <v>1897</v>
      </c>
      <c r="I1121" t="s">
        <v>2174</v>
      </c>
      <c r="J1121" t="s">
        <v>2205</v>
      </c>
      <c r="K1121">
        <v>11207</v>
      </c>
      <c r="N1121" t="s">
        <v>2233</v>
      </c>
      <c r="O1121" t="s">
        <v>2908</v>
      </c>
      <c r="Q1121" t="s">
        <v>3424</v>
      </c>
      <c r="R1121">
        <v>1</v>
      </c>
      <c r="S1121">
        <v>3</v>
      </c>
      <c r="T1121">
        <v>106.53</v>
      </c>
      <c r="W1121">
        <v>27432</v>
      </c>
      <c r="Y1121">
        <v>0.85</v>
      </c>
      <c r="Z1121" t="s">
        <v>183</v>
      </c>
      <c r="AA1121" t="s">
        <v>3909</v>
      </c>
      <c r="AB1121" t="s">
        <v>3940</v>
      </c>
      <c r="AC1121" t="s">
        <v>3944</v>
      </c>
      <c r="AF1121" t="s">
        <v>4053</v>
      </c>
      <c r="AH1121" t="s">
        <v>4079</v>
      </c>
      <c r="AJ1121" t="s">
        <v>3943</v>
      </c>
      <c r="AL1121" t="s">
        <v>4090</v>
      </c>
      <c r="AM1121" t="s">
        <v>2230</v>
      </c>
      <c r="AO1121">
        <v>873</v>
      </c>
      <c r="AQ1121">
        <v>168</v>
      </c>
      <c r="AS1121" t="s">
        <v>4113</v>
      </c>
      <c r="AU1121" t="s">
        <v>4129</v>
      </c>
      <c r="AW1121">
        <v>4</v>
      </c>
      <c r="AY1121" t="s">
        <v>4140</v>
      </c>
      <c r="BA1121" t="s">
        <v>4151</v>
      </c>
      <c r="BB1121" t="s">
        <v>4154</v>
      </c>
      <c r="BG1121" t="s">
        <v>4598</v>
      </c>
      <c r="BM1121" t="s">
        <v>4627</v>
      </c>
    </row>
    <row r="1122" spans="1:65">
      <c r="A1122" s="1">
        <f>HYPERLINK("https://lsnyc.legalserver.org/matter/dynamic-profile/view/1898032","19-1898032")</f>
        <v>0</v>
      </c>
      <c r="B1122" t="s">
        <v>91</v>
      </c>
      <c r="C1122" t="s">
        <v>93</v>
      </c>
      <c r="D1122" t="s">
        <v>428</v>
      </c>
      <c r="F1122" t="s">
        <v>740</v>
      </c>
      <c r="G1122" t="s">
        <v>1358</v>
      </c>
      <c r="H1122" t="s">
        <v>1898</v>
      </c>
      <c r="I1122" t="s">
        <v>1931</v>
      </c>
      <c r="J1122" t="s">
        <v>2205</v>
      </c>
      <c r="K1122">
        <v>11233</v>
      </c>
      <c r="N1122" t="s">
        <v>2233</v>
      </c>
      <c r="O1122" t="s">
        <v>2909</v>
      </c>
      <c r="Q1122" t="s">
        <v>3425</v>
      </c>
      <c r="R1122">
        <v>2</v>
      </c>
      <c r="S1122">
        <v>1</v>
      </c>
      <c r="T1122">
        <v>168.78</v>
      </c>
      <c r="W1122">
        <v>36000</v>
      </c>
      <c r="Y1122">
        <v>4.5</v>
      </c>
      <c r="Z1122" t="s">
        <v>153</v>
      </c>
      <c r="AA1122" t="s">
        <v>90</v>
      </c>
      <c r="AC1122" t="s">
        <v>3942</v>
      </c>
      <c r="AD1122" t="s">
        <v>439</v>
      </c>
      <c r="AF1122" t="s">
        <v>4053</v>
      </c>
      <c r="AH1122" t="s">
        <v>4081</v>
      </c>
      <c r="AJ1122" t="s">
        <v>3943</v>
      </c>
      <c r="AL1122" t="s">
        <v>4086</v>
      </c>
      <c r="AM1122" t="s">
        <v>2230</v>
      </c>
      <c r="AO1122">
        <v>1303</v>
      </c>
      <c r="AQ1122">
        <v>19</v>
      </c>
      <c r="AS1122" t="s">
        <v>4113</v>
      </c>
      <c r="AU1122" t="s">
        <v>4128</v>
      </c>
      <c r="AW1122">
        <v>7</v>
      </c>
      <c r="AY1122" t="s">
        <v>4140</v>
      </c>
      <c r="BA1122" t="s">
        <v>4149</v>
      </c>
      <c r="BC1122" t="s">
        <v>4155</v>
      </c>
      <c r="BD1122" t="s">
        <v>4157</v>
      </c>
      <c r="BE1122" t="s">
        <v>4272</v>
      </c>
      <c r="BG1122" t="s">
        <v>4599</v>
      </c>
      <c r="BM1122" t="s">
        <v>4627</v>
      </c>
    </row>
    <row r="1123" spans="1:65">
      <c r="A1123" s="1">
        <f>HYPERLINK("https://lsnyc.legalserver.org/matter/dynamic-profile/view/1914255","19-1914255")</f>
        <v>0</v>
      </c>
      <c r="B1123" t="s">
        <v>91</v>
      </c>
      <c r="C1123" t="s">
        <v>93</v>
      </c>
      <c r="D1123" t="s">
        <v>110</v>
      </c>
      <c r="F1123" t="s">
        <v>999</v>
      </c>
      <c r="G1123" t="s">
        <v>1047</v>
      </c>
      <c r="H1123" t="s">
        <v>1899</v>
      </c>
      <c r="I1123" t="s">
        <v>1926</v>
      </c>
      <c r="J1123" t="s">
        <v>2205</v>
      </c>
      <c r="K1123">
        <v>11207</v>
      </c>
      <c r="N1123" t="s">
        <v>2233</v>
      </c>
      <c r="O1123" t="s">
        <v>2910</v>
      </c>
      <c r="Q1123" t="s">
        <v>3426</v>
      </c>
      <c r="R1123">
        <v>1</v>
      </c>
      <c r="S1123">
        <v>2</v>
      </c>
      <c r="T1123">
        <v>181.87</v>
      </c>
      <c r="W1123">
        <v>38792</v>
      </c>
      <c r="Y1123">
        <v>1.25</v>
      </c>
      <c r="Z1123" t="s">
        <v>457</v>
      </c>
      <c r="AA1123" t="s">
        <v>90</v>
      </c>
      <c r="AB1123" t="s">
        <v>3940</v>
      </c>
      <c r="AC1123" t="s">
        <v>3943</v>
      </c>
      <c r="AF1123" t="s">
        <v>4050</v>
      </c>
      <c r="AG1123" t="s">
        <v>4075</v>
      </c>
      <c r="AJ1123" t="s">
        <v>3943</v>
      </c>
      <c r="AL1123" t="s">
        <v>4094</v>
      </c>
      <c r="AM1123" t="s">
        <v>2230</v>
      </c>
      <c r="AO1123">
        <v>1182</v>
      </c>
      <c r="AQ1123">
        <v>4375</v>
      </c>
      <c r="AS1123" t="s">
        <v>4113</v>
      </c>
      <c r="AU1123" t="s">
        <v>4132</v>
      </c>
      <c r="AW1123">
        <v>1</v>
      </c>
      <c r="AY1123" t="s">
        <v>4140</v>
      </c>
      <c r="BA1123" t="s">
        <v>4149</v>
      </c>
      <c r="BB1123" t="s">
        <v>4154</v>
      </c>
      <c r="BC1123" t="s">
        <v>4128</v>
      </c>
      <c r="BE1123" t="s">
        <v>4273</v>
      </c>
      <c r="BG1123" t="s">
        <v>4600</v>
      </c>
      <c r="BM1123" t="s">
        <v>4627</v>
      </c>
    </row>
    <row r="1124" spans="1:65">
      <c r="A1124" s="1">
        <f>HYPERLINK("https://lsnyc.legalserver.org/matter/dynamic-profile/view/1896190","19-1896190")</f>
        <v>0</v>
      </c>
      <c r="B1124" t="s">
        <v>91</v>
      </c>
      <c r="C1124" t="s">
        <v>93</v>
      </c>
      <c r="D1124" t="s">
        <v>468</v>
      </c>
      <c r="F1124" t="s">
        <v>1000</v>
      </c>
      <c r="G1124" t="s">
        <v>1544</v>
      </c>
      <c r="H1124" t="s">
        <v>1900</v>
      </c>
      <c r="I1124">
        <v>1</v>
      </c>
      <c r="J1124" t="s">
        <v>2205</v>
      </c>
      <c r="K1124">
        <v>11233</v>
      </c>
      <c r="N1124" t="s">
        <v>2233</v>
      </c>
      <c r="O1124" t="s">
        <v>2911</v>
      </c>
      <c r="Q1124" t="s">
        <v>3427</v>
      </c>
      <c r="R1124">
        <v>1</v>
      </c>
      <c r="S1124">
        <v>1</v>
      </c>
      <c r="T1124">
        <v>57.04</v>
      </c>
      <c r="W1124">
        <v>9646</v>
      </c>
      <c r="Y1124">
        <v>24.5</v>
      </c>
      <c r="Z1124" t="s">
        <v>360</v>
      </c>
      <c r="AA1124" t="s">
        <v>70</v>
      </c>
      <c r="AC1124" t="s">
        <v>3942</v>
      </c>
      <c r="AD1124" t="s">
        <v>363</v>
      </c>
      <c r="AF1124" t="s">
        <v>4053</v>
      </c>
      <c r="AH1124" t="s">
        <v>4076</v>
      </c>
      <c r="AJ1124" t="s">
        <v>3943</v>
      </c>
      <c r="AK1124" t="s">
        <v>4084</v>
      </c>
      <c r="AM1124" t="s">
        <v>2230</v>
      </c>
      <c r="AO1124">
        <v>1640</v>
      </c>
      <c r="AQ1124">
        <v>8</v>
      </c>
      <c r="AS1124" t="s">
        <v>4113</v>
      </c>
      <c r="AU1124" t="s">
        <v>4129</v>
      </c>
      <c r="AW1124">
        <v>11</v>
      </c>
      <c r="AY1124" t="s">
        <v>4140</v>
      </c>
      <c r="BA1124" t="s">
        <v>4149</v>
      </c>
      <c r="BC1124" t="s">
        <v>4155</v>
      </c>
      <c r="BG1124" t="s">
        <v>4601</v>
      </c>
      <c r="BM1124" t="s">
        <v>4627</v>
      </c>
    </row>
    <row r="1125" spans="1:65">
      <c r="A1125" s="1">
        <f>HYPERLINK("https://lsnyc.legalserver.org/matter/dynamic-profile/view/1882190","18-1882190")</f>
        <v>0</v>
      </c>
      <c r="B1125" t="s">
        <v>91</v>
      </c>
      <c r="C1125" t="s">
        <v>93</v>
      </c>
      <c r="D1125" t="s">
        <v>141</v>
      </c>
      <c r="F1125" t="s">
        <v>1001</v>
      </c>
      <c r="G1125" t="s">
        <v>1410</v>
      </c>
      <c r="H1125" t="s">
        <v>1901</v>
      </c>
      <c r="I1125" t="s">
        <v>1991</v>
      </c>
      <c r="J1125" t="s">
        <v>2205</v>
      </c>
      <c r="K1125">
        <v>11239</v>
      </c>
      <c r="N1125" t="s">
        <v>2233</v>
      </c>
      <c r="O1125" t="s">
        <v>2912</v>
      </c>
      <c r="Q1125" t="s">
        <v>3428</v>
      </c>
      <c r="R1125">
        <v>1</v>
      </c>
      <c r="S1125">
        <v>0</v>
      </c>
      <c r="T1125">
        <v>119.8</v>
      </c>
      <c r="W1125">
        <v>14544</v>
      </c>
      <c r="X1125" t="s">
        <v>3511</v>
      </c>
      <c r="Y1125">
        <v>37.25</v>
      </c>
      <c r="Z1125" t="s">
        <v>3877</v>
      </c>
      <c r="AA1125" t="s">
        <v>3901</v>
      </c>
      <c r="AC1125" t="s">
        <v>3942</v>
      </c>
      <c r="AD1125" t="s">
        <v>141</v>
      </c>
      <c r="AF1125" t="s">
        <v>4053</v>
      </c>
      <c r="AH1125" t="s">
        <v>4076</v>
      </c>
      <c r="AI1125" t="s">
        <v>4082</v>
      </c>
      <c r="AL1125" t="s">
        <v>4092</v>
      </c>
      <c r="AM1125" t="s">
        <v>2230</v>
      </c>
      <c r="AO1125">
        <v>689</v>
      </c>
      <c r="AQ1125">
        <v>10</v>
      </c>
      <c r="AS1125" t="s">
        <v>4113</v>
      </c>
      <c r="AT1125" t="s">
        <v>4127</v>
      </c>
      <c r="AW1125">
        <v>3</v>
      </c>
      <c r="AY1125" t="s">
        <v>4140</v>
      </c>
      <c r="BB1125" t="s">
        <v>4154</v>
      </c>
      <c r="BG1125" t="s">
        <v>4602</v>
      </c>
      <c r="BM1125" t="s">
        <v>4627</v>
      </c>
    </row>
    <row r="1126" spans="1:65">
      <c r="A1126" s="1">
        <f>HYPERLINK("https://lsnyc.legalserver.org/matter/dynamic-profile/view/1870033","18-1870033")</f>
        <v>0</v>
      </c>
      <c r="B1126" t="s">
        <v>91</v>
      </c>
      <c r="C1126" t="s">
        <v>93</v>
      </c>
      <c r="D1126" t="s">
        <v>469</v>
      </c>
      <c r="F1126" t="s">
        <v>1002</v>
      </c>
      <c r="G1126" t="s">
        <v>1545</v>
      </c>
      <c r="H1126" t="s">
        <v>1902</v>
      </c>
      <c r="I1126" t="s">
        <v>2061</v>
      </c>
      <c r="J1126" t="s">
        <v>2205</v>
      </c>
      <c r="K1126">
        <v>11208</v>
      </c>
      <c r="N1126" t="s">
        <v>2233</v>
      </c>
      <c r="O1126" t="s">
        <v>2913</v>
      </c>
      <c r="Q1126" t="s">
        <v>3429</v>
      </c>
      <c r="R1126">
        <v>1</v>
      </c>
      <c r="S1126">
        <v>0</v>
      </c>
      <c r="T1126">
        <v>88.95999999999999</v>
      </c>
      <c r="W1126">
        <v>10800</v>
      </c>
      <c r="Y1126">
        <v>54.05</v>
      </c>
      <c r="Z1126" t="s">
        <v>457</v>
      </c>
      <c r="AA1126" t="s">
        <v>3902</v>
      </c>
      <c r="AC1126" t="s">
        <v>3942</v>
      </c>
      <c r="AD1126" t="s">
        <v>469</v>
      </c>
      <c r="AF1126" t="s">
        <v>4053</v>
      </c>
      <c r="AH1126" t="s">
        <v>4081</v>
      </c>
      <c r="AJ1126" t="s">
        <v>3943</v>
      </c>
      <c r="AL1126" t="s">
        <v>4100</v>
      </c>
      <c r="AM1126" t="s">
        <v>2230</v>
      </c>
      <c r="AO1126">
        <v>1400</v>
      </c>
      <c r="AQ1126">
        <v>3</v>
      </c>
      <c r="AR1126" t="s">
        <v>4112</v>
      </c>
      <c r="AT1126" t="s">
        <v>4127</v>
      </c>
      <c r="AW1126">
        <v>5</v>
      </c>
      <c r="AY1126" t="s">
        <v>4140</v>
      </c>
      <c r="BB1126" t="s">
        <v>4154</v>
      </c>
      <c r="BG1126" t="s">
        <v>4603</v>
      </c>
      <c r="BM1126" t="s">
        <v>4627</v>
      </c>
    </row>
    <row r="1127" spans="1:65">
      <c r="A1127" s="1">
        <f>HYPERLINK("https://lsnyc.legalserver.org/matter/dynamic-profile/view/1887095","19-1887095")</f>
        <v>0</v>
      </c>
      <c r="B1127" t="s">
        <v>91</v>
      </c>
      <c r="C1127" t="s">
        <v>93</v>
      </c>
      <c r="D1127" t="s">
        <v>422</v>
      </c>
      <c r="F1127" t="s">
        <v>924</v>
      </c>
      <c r="G1127" t="s">
        <v>1050</v>
      </c>
      <c r="H1127" t="s">
        <v>1903</v>
      </c>
      <c r="I1127">
        <v>2</v>
      </c>
      <c r="J1127" t="s">
        <v>2205</v>
      </c>
      <c r="K1127">
        <v>11233</v>
      </c>
      <c r="N1127" t="s">
        <v>2233</v>
      </c>
      <c r="O1127" t="s">
        <v>2914</v>
      </c>
      <c r="Q1127" t="s">
        <v>3430</v>
      </c>
      <c r="R1127">
        <v>2</v>
      </c>
      <c r="S1127">
        <v>5</v>
      </c>
      <c r="T1127">
        <v>107.36</v>
      </c>
      <c r="W1127">
        <v>40860</v>
      </c>
      <c r="Y1127">
        <v>62.5</v>
      </c>
      <c r="Z1127" t="s">
        <v>221</v>
      </c>
      <c r="AA1127" t="s">
        <v>70</v>
      </c>
      <c r="AC1127" t="s">
        <v>3942</v>
      </c>
      <c r="AD1127" t="s">
        <v>326</v>
      </c>
      <c r="AF1127" t="s">
        <v>4053</v>
      </c>
      <c r="AH1127" t="s">
        <v>4076</v>
      </c>
      <c r="AJ1127" t="s">
        <v>3943</v>
      </c>
      <c r="AL1127" t="s">
        <v>4092</v>
      </c>
      <c r="AM1127" t="s">
        <v>2230</v>
      </c>
      <c r="AO1127">
        <v>2097</v>
      </c>
      <c r="AQ1127">
        <v>3</v>
      </c>
      <c r="AR1127" t="s">
        <v>4112</v>
      </c>
      <c r="AU1127" t="s">
        <v>4131</v>
      </c>
      <c r="AW1127">
        <v>2</v>
      </c>
      <c r="AY1127" t="s">
        <v>4140</v>
      </c>
      <c r="BB1127" t="s">
        <v>4154</v>
      </c>
      <c r="BE1127" t="s">
        <v>4274</v>
      </c>
      <c r="BG1127" t="s">
        <v>4604</v>
      </c>
      <c r="BM1127" t="s">
        <v>4627</v>
      </c>
    </row>
    <row r="1128" spans="1:65">
      <c r="A1128" s="1">
        <f>HYPERLINK("https://lsnyc.legalserver.org/matter/dynamic-profile/view/1908622","19-1908622")</f>
        <v>0</v>
      </c>
      <c r="B1128" t="s">
        <v>91</v>
      </c>
      <c r="C1128" t="s">
        <v>93</v>
      </c>
      <c r="D1128" t="s">
        <v>112</v>
      </c>
      <c r="E1128" t="s">
        <v>360</v>
      </c>
      <c r="F1128" t="s">
        <v>1003</v>
      </c>
      <c r="G1128" t="s">
        <v>1139</v>
      </c>
      <c r="H1128" t="s">
        <v>1779</v>
      </c>
      <c r="I1128" t="s">
        <v>1988</v>
      </c>
      <c r="J1128" t="s">
        <v>2205</v>
      </c>
      <c r="K1128">
        <v>11208</v>
      </c>
      <c r="L1128" t="s">
        <v>2222</v>
      </c>
      <c r="N1128" t="s">
        <v>2233</v>
      </c>
      <c r="O1128" t="s">
        <v>2915</v>
      </c>
      <c r="Q1128" t="s">
        <v>3431</v>
      </c>
      <c r="R1128">
        <v>2</v>
      </c>
      <c r="S1128">
        <v>0</v>
      </c>
      <c r="T1128">
        <v>201.06</v>
      </c>
      <c r="W1128">
        <v>34000</v>
      </c>
      <c r="Y1128">
        <v>3.95</v>
      </c>
      <c r="Z1128" t="s">
        <v>438</v>
      </c>
      <c r="AA1128" t="s">
        <v>90</v>
      </c>
      <c r="AC1128" t="s">
        <v>3942</v>
      </c>
      <c r="AD1128" t="s">
        <v>162</v>
      </c>
      <c r="AF1128" t="s">
        <v>4050</v>
      </c>
      <c r="AH1128" t="s">
        <v>4081</v>
      </c>
      <c r="AJ1128" t="s">
        <v>3943</v>
      </c>
      <c r="AL1128" t="s">
        <v>4070</v>
      </c>
      <c r="AM1128" t="s">
        <v>2230</v>
      </c>
      <c r="AN1128" t="s">
        <v>4107</v>
      </c>
      <c r="AO1128">
        <v>0</v>
      </c>
      <c r="AQ1128">
        <v>24</v>
      </c>
      <c r="AR1128" t="s">
        <v>4112</v>
      </c>
      <c r="AU1128" t="s">
        <v>4128</v>
      </c>
      <c r="AV1128" t="s">
        <v>4137</v>
      </c>
      <c r="AW1128">
        <v>0</v>
      </c>
      <c r="AY1128" t="s">
        <v>4140</v>
      </c>
      <c r="BA1128" t="s">
        <v>4149</v>
      </c>
      <c r="BC1128" t="s">
        <v>4155</v>
      </c>
      <c r="BE1128" t="s">
        <v>4128</v>
      </c>
      <c r="BG1128" t="s">
        <v>4605</v>
      </c>
      <c r="BM1128" t="s">
        <v>4628</v>
      </c>
    </row>
    <row r="1129" spans="1:65">
      <c r="A1129" s="1">
        <f>HYPERLINK("https://lsnyc.legalserver.org/matter/dynamic-profile/view/1894582","19-1894582")</f>
        <v>0</v>
      </c>
      <c r="B1129" t="s">
        <v>91</v>
      </c>
      <c r="C1129" t="s">
        <v>93</v>
      </c>
      <c r="D1129" t="s">
        <v>399</v>
      </c>
      <c r="F1129" t="s">
        <v>574</v>
      </c>
      <c r="G1129" t="s">
        <v>1546</v>
      </c>
      <c r="H1129" t="s">
        <v>1904</v>
      </c>
      <c r="I1129" t="s">
        <v>2201</v>
      </c>
      <c r="J1129" t="s">
        <v>2205</v>
      </c>
      <c r="K1129">
        <v>11208</v>
      </c>
      <c r="N1129" t="s">
        <v>2233</v>
      </c>
      <c r="O1129" t="s">
        <v>2916</v>
      </c>
      <c r="Q1129" t="s">
        <v>3432</v>
      </c>
      <c r="R1129">
        <v>1</v>
      </c>
      <c r="S1129">
        <v>0</v>
      </c>
      <c r="T1129">
        <v>87.43000000000001</v>
      </c>
      <c r="W1129">
        <v>10920</v>
      </c>
      <c r="Y1129">
        <v>25.25</v>
      </c>
      <c r="Z1129" t="s">
        <v>186</v>
      </c>
      <c r="AA1129" t="s">
        <v>90</v>
      </c>
      <c r="AC1129" t="s">
        <v>3942</v>
      </c>
      <c r="AD1129" t="s">
        <v>3993</v>
      </c>
      <c r="AF1129" t="s">
        <v>4053</v>
      </c>
      <c r="AH1129" t="s">
        <v>4076</v>
      </c>
      <c r="AJ1129" t="s">
        <v>3943</v>
      </c>
      <c r="AL1129" t="s">
        <v>4099</v>
      </c>
      <c r="AM1129" t="s">
        <v>2230</v>
      </c>
      <c r="AO1129">
        <v>1174</v>
      </c>
      <c r="AP1129" t="s">
        <v>4108</v>
      </c>
      <c r="AQ1129" t="s">
        <v>4110</v>
      </c>
      <c r="AS1129" t="s">
        <v>4113</v>
      </c>
      <c r="AU1129" t="s">
        <v>4135</v>
      </c>
      <c r="AW1129">
        <v>4</v>
      </c>
      <c r="AY1129" t="s">
        <v>4140</v>
      </c>
      <c r="BA1129" t="s">
        <v>4149</v>
      </c>
      <c r="BC1129" t="s">
        <v>4155</v>
      </c>
      <c r="BD1129" t="s">
        <v>4157</v>
      </c>
      <c r="BE1129" t="s">
        <v>4275</v>
      </c>
      <c r="BG1129" t="s">
        <v>4606</v>
      </c>
      <c r="BM1129" t="s">
        <v>4627</v>
      </c>
    </row>
    <row r="1130" spans="1:65">
      <c r="A1130" s="1">
        <f>HYPERLINK("https://lsnyc.legalserver.org/matter/dynamic-profile/view/1873452","18-1873452")</f>
        <v>0</v>
      </c>
      <c r="B1130" t="s">
        <v>91</v>
      </c>
      <c r="C1130" t="s">
        <v>93</v>
      </c>
      <c r="D1130" t="s">
        <v>353</v>
      </c>
      <c r="F1130" t="s">
        <v>1004</v>
      </c>
      <c r="G1130" t="s">
        <v>1547</v>
      </c>
      <c r="H1130" t="s">
        <v>1905</v>
      </c>
      <c r="I1130" t="s">
        <v>1992</v>
      </c>
      <c r="J1130" t="s">
        <v>2205</v>
      </c>
      <c r="K1130">
        <v>11208</v>
      </c>
      <c r="N1130" t="s">
        <v>2233</v>
      </c>
      <c r="O1130" t="s">
        <v>2917</v>
      </c>
      <c r="Q1130" t="s">
        <v>3433</v>
      </c>
      <c r="R1130">
        <v>4</v>
      </c>
      <c r="S1130">
        <v>1</v>
      </c>
      <c r="T1130">
        <v>81.58</v>
      </c>
      <c r="W1130">
        <v>24000</v>
      </c>
      <c r="Y1130">
        <v>35.85</v>
      </c>
      <c r="Z1130" t="s">
        <v>382</v>
      </c>
      <c r="AA1130" t="s">
        <v>3893</v>
      </c>
      <c r="AC1130" t="s">
        <v>3942</v>
      </c>
      <c r="AD1130" t="s">
        <v>3974</v>
      </c>
      <c r="AF1130" t="s">
        <v>4053</v>
      </c>
      <c r="AH1130" t="s">
        <v>4076</v>
      </c>
      <c r="AI1130" t="s">
        <v>4082</v>
      </c>
      <c r="AL1130" t="s">
        <v>4102</v>
      </c>
      <c r="AM1130" t="s">
        <v>2230</v>
      </c>
      <c r="AO1130">
        <v>1020</v>
      </c>
      <c r="AQ1130">
        <v>20</v>
      </c>
      <c r="AR1130" t="s">
        <v>4112</v>
      </c>
      <c r="AU1130" t="s">
        <v>4128</v>
      </c>
      <c r="AW1130">
        <v>12</v>
      </c>
      <c r="AY1130" t="s">
        <v>4140</v>
      </c>
      <c r="BB1130" t="s">
        <v>4154</v>
      </c>
      <c r="BE1130" t="s">
        <v>4276</v>
      </c>
      <c r="BG1130" t="s">
        <v>4607</v>
      </c>
      <c r="BM1130" t="s">
        <v>4627</v>
      </c>
    </row>
    <row r="1131" spans="1:65">
      <c r="A1131" s="1">
        <f>HYPERLINK("https://lsnyc.legalserver.org/matter/dynamic-profile/view/1901745","19-1901745")</f>
        <v>0</v>
      </c>
      <c r="B1131" t="s">
        <v>91</v>
      </c>
      <c r="C1131" t="s">
        <v>93</v>
      </c>
      <c r="D1131" t="s">
        <v>170</v>
      </c>
      <c r="E1131" t="s">
        <v>360</v>
      </c>
      <c r="F1131" t="s">
        <v>1005</v>
      </c>
      <c r="G1131" t="s">
        <v>1548</v>
      </c>
      <c r="H1131" t="s">
        <v>1906</v>
      </c>
      <c r="I1131" t="s">
        <v>1934</v>
      </c>
      <c r="J1131" t="s">
        <v>2205</v>
      </c>
      <c r="K1131">
        <v>11233</v>
      </c>
      <c r="L1131" t="s">
        <v>2225</v>
      </c>
      <c r="N1131" t="s">
        <v>2233</v>
      </c>
      <c r="O1131" t="s">
        <v>2918</v>
      </c>
      <c r="Q1131" t="s">
        <v>3434</v>
      </c>
      <c r="R1131">
        <v>1</v>
      </c>
      <c r="S1131">
        <v>0</v>
      </c>
      <c r="T1131">
        <v>134.51</v>
      </c>
      <c r="W1131">
        <v>16800</v>
      </c>
      <c r="Y1131">
        <v>25.75</v>
      </c>
      <c r="Z1131" t="s">
        <v>360</v>
      </c>
      <c r="AA1131" t="s">
        <v>3890</v>
      </c>
      <c r="AC1131" t="s">
        <v>3942</v>
      </c>
      <c r="AD1131" t="s">
        <v>163</v>
      </c>
      <c r="AF1131" t="s">
        <v>4053</v>
      </c>
      <c r="AH1131" t="s">
        <v>4076</v>
      </c>
      <c r="AJ1131" t="s">
        <v>3943</v>
      </c>
      <c r="AK1131" t="s">
        <v>4084</v>
      </c>
      <c r="AM1131" t="s">
        <v>2230</v>
      </c>
      <c r="AO1131">
        <v>1032</v>
      </c>
      <c r="AQ1131">
        <v>6</v>
      </c>
      <c r="AS1131" t="s">
        <v>4113</v>
      </c>
      <c r="AU1131" t="s">
        <v>4128</v>
      </c>
      <c r="AW1131">
        <v>3</v>
      </c>
      <c r="AY1131" t="s">
        <v>4140</v>
      </c>
      <c r="BA1131" t="s">
        <v>4149</v>
      </c>
      <c r="BC1131" t="s">
        <v>4155</v>
      </c>
      <c r="BE1131" t="s">
        <v>4159</v>
      </c>
      <c r="BG1131" t="s">
        <v>4608</v>
      </c>
      <c r="BH1131" t="s">
        <v>4619</v>
      </c>
      <c r="BJ1131" t="s">
        <v>4622</v>
      </c>
      <c r="BL1131" t="s">
        <v>4626</v>
      </c>
      <c r="BM1131" t="s">
        <v>4628</v>
      </c>
    </row>
    <row r="1132" spans="1:65">
      <c r="A1132" s="1">
        <f>HYPERLINK("https://lsnyc.legalserver.org/matter/dynamic-profile/view/1910748","19-1910748")</f>
        <v>0</v>
      </c>
      <c r="B1132" t="s">
        <v>91</v>
      </c>
      <c r="C1132" t="s">
        <v>93</v>
      </c>
      <c r="D1132" t="s">
        <v>470</v>
      </c>
      <c r="F1132" t="s">
        <v>827</v>
      </c>
      <c r="G1132" t="s">
        <v>1106</v>
      </c>
      <c r="H1132" t="s">
        <v>1907</v>
      </c>
      <c r="J1132" t="s">
        <v>2205</v>
      </c>
      <c r="K1132">
        <v>11208</v>
      </c>
      <c r="N1132" t="s">
        <v>2233</v>
      </c>
      <c r="O1132" t="s">
        <v>2668</v>
      </c>
      <c r="Q1132" t="s">
        <v>3307</v>
      </c>
      <c r="R1132">
        <v>1</v>
      </c>
      <c r="S1132">
        <v>0</v>
      </c>
      <c r="T1132">
        <v>76</v>
      </c>
      <c r="W1132">
        <v>9492</v>
      </c>
      <c r="Y1132">
        <v>4.5</v>
      </c>
      <c r="Z1132" t="s">
        <v>173</v>
      </c>
      <c r="AA1132" t="s">
        <v>3890</v>
      </c>
      <c r="AC1132" t="s">
        <v>3942</v>
      </c>
      <c r="AD1132" t="s">
        <v>470</v>
      </c>
      <c r="AF1132" t="s">
        <v>4053</v>
      </c>
      <c r="AH1132" t="s">
        <v>4079</v>
      </c>
      <c r="AJ1132" t="s">
        <v>3943</v>
      </c>
      <c r="AK1132" t="s">
        <v>4084</v>
      </c>
      <c r="AM1132" t="s">
        <v>2230</v>
      </c>
      <c r="AO1132">
        <v>1057</v>
      </c>
      <c r="AQ1132">
        <v>300</v>
      </c>
      <c r="AS1132" t="s">
        <v>4121</v>
      </c>
      <c r="AU1132" t="s">
        <v>4135</v>
      </c>
      <c r="AW1132">
        <v>2</v>
      </c>
      <c r="AY1132" t="s">
        <v>4140</v>
      </c>
      <c r="BA1132" t="s">
        <v>4149</v>
      </c>
      <c r="BC1132" t="s">
        <v>4155</v>
      </c>
      <c r="BE1132" t="s">
        <v>4277</v>
      </c>
      <c r="BG1132" t="s">
        <v>4528</v>
      </c>
      <c r="BM1132" t="s">
        <v>4627</v>
      </c>
    </row>
    <row r="1133" spans="1:65">
      <c r="A1133" s="1">
        <f>HYPERLINK("https://lsnyc.legalserver.org/matter/dynamic-profile/view/1892387","19-1892387")</f>
        <v>0</v>
      </c>
      <c r="B1133" t="s">
        <v>91</v>
      </c>
      <c r="C1133" t="s">
        <v>93</v>
      </c>
      <c r="D1133" t="s">
        <v>168</v>
      </c>
      <c r="F1133" t="s">
        <v>1006</v>
      </c>
      <c r="G1133" t="s">
        <v>1549</v>
      </c>
      <c r="H1133" t="s">
        <v>1908</v>
      </c>
      <c r="I1133" t="s">
        <v>2019</v>
      </c>
      <c r="J1133" t="s">
        <v>2205</v>
      </c>
      <c r="K1133">
        <v>11233</v>
      </c>
      <c r="N1133" t="s">
        <v>2233</v>
      </c>
      <c r="O1133" t="s">
        <v>2919</v>
      </c>
      <c r="Q1133" t="s">
        <v>3435</v>
      </c>
      <c r="R1133">
        <v>3</v>
      </c>
      <c r="S1133">
        <v>1</v>
      </c>
      <c r="T1133">
        <v>221.36</v>
      </c>
      <c r="W1133">
        <v>57000</v>
      </c>
      <c r="Y1133">
        <v>43</v>
      </c>
      <c r="Z1133" t="s">
        <v>457</v>
      </c>
      <c r="AA1133" t="s">
        <v>70</v>
      </c>
      <c r="AC1133" t="s">
        <v>3942</v>
      </c>
      <c r="AD1133" t="s">
        <v>3844</v>
      </c>
      <c r="AF1133" t="s">
        <v>4053</v>
      </c>
      <c r="AH1133" t="s">
        <v>4076</v>
      </c>
      <c r="AJ1133" t="s">
        <v>3943</v>
      </c>
      <c r="AK1133" t="s">
        <v>4084</v>
      </c>
      <c r="AM1133" t="s">
        <v>2230</v>
      </c>
      <c r="AO1133">
        <v>1250</v>
      </c>
      <c r="AQ1133">
        <v>8</v>
      </c>
      <c r="AS1133" t="s">
        <v>4113</v>
      </c>
      <c r="AU1133" t="s">
        <v>4129</v>
      </c>
      <c r="AW1133">
        <v>15</v>
      </c>
      <c r="AY1133" t="s">
        <v>4140</v>
      </c>
      <c r="BC1133" t="s">
        <v>4155</v>
      </c>
      <c r="BG1133" t="s">
        <v>4609</v>
      </c>
      <c r="BM1133" t="s">
        <v>4627</v>
      </c>
    </row>
    <row r="1134" spans="1:65">
      <c r="A1134" s="1">
        <f>HYPERLINK("https://lsnyc.legalserver.org/matter/dynamic-profile/view/1908571","19-1908571")</f>
        <v>0</v>
      </c>
      <c r="B1134" t="s">
        <v>91</v>
      </c>
      <c r="C1134" t="s">
        <v>93</v>
      </c>
      <c r="D1134" t="s">
        <v>455</v>
      </c>
      <c r="F1134" t="s">
        <v>730</v>
      </c>
      <c r="G1134" t="s">
        <v>1550</v>
      </c>
      <c r="H1134" t="s">
        <v>1909</v>
      </c>
      <c r="I1134" t="s">
        <v>1971</v>
      </c>
      <c r="J1134" t="s">
        <v>2205</v>
      </c>
      <c r="K1134">
        <v>11208</v>
      </c>
      <c r="N1134" t="s">
        <v>2233</v>
      </c>
      <c r="O1134" t="s">
        <v>2920</v>
      </c>
      <c r="Q1134" t="s">
        <v>3436</v>
      </c>
      <c r="R1134">
        <v>1</v>
      </c>
      <c r="S1134">
        <v>3</v>
      </c>
      <c r="T1134">
        <v>68.66</v>
      </c>
      <c r="W1134">
        <v>17680</v>
      </c>
      <c r="Y1134">
        <v>1.25</v>
      </c>
      <c r="Z1134" t="s">
        <v>455</v>
      </c>
      <c r="AA1134" t="s">
        <v>3893</v>
      </c>
      <c r="AC1134" t="s">
        <v>3942</v>
      </c>
      <c r="AD1134" t="s">
        <v>455</v>
      </c>
      <c r="AF1134" t="s">
        <v>4050</v>
      </c>
      <c r="AH1134" t="s">
        <v>4081</v>
      </c>
      <c r="AI1134" t="s">
        <v>4082</v>
      </c>
      <c r="AL1134" t="s">
        <v>4099</v>
      </c>
      <c r="AM1134" t="s">
        <v>2230</v>
      </c>
      <c r="AO1134">
        <v>2199.98</v>
      </c>
      <c r="AQ1134">
        <v>4</v>
      </c>
      <c r="AR1134" t="s">
        <v>4112</v>
      </c>
      <c r="AT1134" t="s">
        <v>4127</v>
      </c>
      <c r="AV1134" t="s">
        <v>4137</v>
      </c>
      <c r="AW1134">
        <v>0</v>
      </c>
      <c r="AY1134" t="s">
        <v>4140</v>
      </c>
      <c r="BC1134" t="s">
        <v>4155</v>
      </c>
      <c r="BE1134" t="s">
        <v>4278</v>
      </c>
      <c r="BG1134" t="s">
        <v>4610</v>
      </c>
      <c r="BM1134" t="s">
        <v>4627</v>
      </c>
    </row>
    <row r="1135" spans="1:65">
      <c r="A1135" s="1">
        <f>HYPERLINK("https://lsnyc.legalserver.org/matter/dynamic-profile/view/1875069","18-1875069")</f>
        <v>0</v>
      </c>
      <c r="B1135" t="s">
        <v>91</v>
      </c>
      <c r="C1135" t="s">
        <v>93</v>
      </c>
      <c r="D1135" t="s">
        <v>471</v>
      </c>
      <c r="F1135" t="s">
        <v>790</v>
      </c>
      <c r="G1135" t="s">
        <v>1551</v>
      </c>
      <c r="H1135" t="s">
        <v>1910</v>
      </c>
      <c r="I1135" t="s">
        <v>2132</v>
      </c>
      <c r="J1135" t="s">
        <v>2205</v>
      </c>
      <c r="K1135">
        <v>11233</v>
      </c>
      <c r="N1135" t="s">
        <v>2233</v>
      </c>
      <c r="O1135" t="s">
        <v>2921</v>
      </c>
      <c r="Q1135" t="s">
        <v>3437</v>
      </c>
      <c r="R1135">
        <v>2</v>
      </c>
      <c r="S1135">
        <v>1</v>
      </c>
      <c r="T1135">
        <v>64.97</v>
      </c>
      <c r="W1135">
        <v>13500</v>
      </c>
      <c r="Y1135">
        <v>37.25</v>
      </c>
      <c r="Z1135" t="s">
        <v>3885</v>
      </c>
      <c r="AA1135" t="s">
        <v>90</v>
      </c>
      <c r="AC1135" t="s">
        <v>3942</v>
      </c>
      <c r="AD1135" t="s">
        <v>471</v>
      </c>
      <c r="AF1135" t="s">
        <v>4053</v>
      </c>
      <c r="AH1135" t="s">
        <v>4076</v>
      </c>
      <c r="AJ1135" t="s">
        <v>3943</v>
      </c>
      <c r="AL1135" t="s">
        <v>4090</v>
      </c>
      <c r="AM1135" t="s">
        <v>2230</v>
      </c>
      <c r="AO1135">
        <v>925</v>
      </c>
      <c r="AQ1135">
        <v>101</v>
      </c>
      <c r="AS1135" t="s">
        <v>4117</v>
      </c>
      <c r="AU1135" t="s">
        <v>4128</v>
      </c>
      <c r="AW1135">
        <v>1</v>
      </c>
      <c r="AY1135" t="s">
        <v>4141</v>
      </c>
      <c r="BB1135" t="s">
        <v>4154</v>
      </c>
      <c r="BG1135" t="s">
        <v>4611</v>
      </c>
      <c r="BM1135" t="s">
        <v>4627</v>
      </c>
    </row>
    <row r="1136" spans="1:65">
      <c r="A1136" s="1">
        <f>HYPERLINK("https://lsnyc.legalserver.org/matter/dynamic-profile/view/1898008","19-1898008")</f>
        <v>0</v>
      </c>
      <c r="B1136" t="s">
        <v>91</v>
      </c>
      <c r="C1136" t="s">
        <v>93</v>
      </c>
      <c r="D1136" t="s">
        <v>428</v>
      </c>
      <c r="F1136" t="s">
        <v>823</v>
      </c>
      <c r="G1136" t="s">
        <v>1281</v>
      </c>
      <c r="H1136" t="s">
        <v>1808</v>
      </c>
      <c r="I1136" t="s">
        <v>1950</v>
      </c>
      <c r="J1136" t="s">
        <v>2205</v>
      </c>
      <c r="K1136">
        <v>11207</v>
      </c>
      <c r="N1136" t="s">
        <v>2233</v>
      </c>
      <c r="O1136" t="s">
        <v>2661</v>
      </c>
      <c r="Q1136" t="s">
        <v>3301</v>
      </c>
      <c r="R1136">
        <v>1</v>
      </c>
      <c r="S1136">
        <v>2</v>
      </c>
      <c r="T1136">
        <v>60.95</v>
      </c>
      <c r="W1136">
        <v>13000</v>
      </c>
      <c r="Y1136">
        <v>48.8</v>
      </c>
      <c r="Z1136" t="s">
        <v>204</v>
      </c>
      <c r="AA1136" t="s">
        <v>3901</v>
      </c>
      <c r="AC1136" t="s">
        <v>3942</v>
      </c>
      <c r="AD1136" t="s">
        <v>428</v>
      </c>
      <c r="AF1136" t="s">
        <v>4053</v>
      </c>
      <c r="AH1136" t="s">
        <v>4076</v>
      </c>
      <c r="AI1136" t="s">
        <v>4082</v>
      </c>
      <c r="AL1136" t="s">
        <v>4099</v>
      </c>
      <c r="AM1136" t="s">
        <v>2230</v>
      </c>
      <c r="AO1136">
        <v>11762.77</v>
      </c>
      <c r="AQ1136">
        <v>6</v>
      </c>
      <c r="AS1136" t="s">
        <v>4113</v>
      </c>
      <c r="AT1136" t="s">
        <v>4127</v>
      </c>
      <c r="AW1136">
        <v>11</v>
      </c>
      <c r="AY1136" t="s">
        <v>4146</v>
      </c>
      <c r="BC1136" t="s">
        <v>4156</v>
      </c>
      <c r="BE1136" t="s">
        <v>4240</v>
      </c>
      <c r="BG1136" t="s">
        <v>4523</v>
      </c>
      <c r="BM1136" t="s">
        <v>4627</v>
      </c>
    </row>
    <row r="1137" spans="1:67">
      <c r="A1137" s="1">
        <f>HYPERLINK("https://lsnyc.legalserver.org/matter/dynamic-profile/view/1881179","18-1881179")</f>
        <v>0</v>
      </c>
      <c r="B1137" t="s">
        <v>91</v>
      </c>
      <c r="C1137" t="s">
        <v>93</v>
      </c>
      <c r="D1137" t="s">
        <v>472</v>
      </c>
      <c r="F1137" t="s">
        <v>778</v>
      </c>
      <c r="G1137" t="s">
        <v>1552</v>
      </c>
      <c r="H1137" t="s">
        <v>1911</v>
      </c>
      <c r="I1137" t="s">
        <v>1936</v>
      </c>
      <c r="J1137" t="s">
        <v>2205</v>
      </c>
      <c r="K1137">
        <v>11208</v>
      </c>
      <c r="N1137" t="s">
        <v>2233</v>
      </c>
      <c r="O1137" t="s">
        <v>2922</v>
      </c>
      <c r="P1137" t="s">
        <v>2930</v>
      </c>
      <c r="R1137">
        <v>2</v>
      </c>
      <c r="S1137">
        <v>0</v>
      </c>
      <c r="T1137">
        <v>82.27</v>
      </c>
      <c r="W1137">
        <v>13542</v>
      </c>
      <c r="Y1137">
        <v>15.35</v>
      </c>
      <c r="Z1137" t="s">
        <v>153</v>
      </c>
      <c r="AA1137" t="s">
        <v>3892</v>
      </c>
      <c r="AC1137" t="s">
        <v>3942</v>
      </c>
      <c r="AD1137" t="s">
        <v>390</v>
      </c>
      <c r="AF1137" t="s">
        <v>4050</v>
      </c>
      <c r="AH1137" t="s">
        <v>4076</v>
      </c>
      <c r="AJ1137" t="s">
        <v>3943</v>
      </c>
      <c r="AL1137" t="s">
        <v>4098</v>
      </c>
      <c r="AM1137" t="s">
        <v>2230</v>
      </c>
      <c r="AO1137">
        <v>1700</v>
      </c>
      <c r="AQ1137">
        <v>3</v>
      </c>
      <c r="AS1137" t="s">
        <v>4114</v>
      </c>
      <c r="AU1137" t="s">
        <v>4128</v>
      </c>
      <c r="AW1137">
        <v>6</v>
      </c>
      <c r="AY1137" t="s">
        <v>4140</v>
      </c>
      <c r="BA1137" t="s">
        <v>4149</v>
      </c>
      <c r="BC1137" t="s">
        <v>4155</v>
      </c>
      <c r="BD1137" t="s">
        <v>4157</v>
      </c>
      <c r="BE1137" t="s">
        <v>4279</v>
      </c>
      <c r="BG1137" t="s">
        <v>4612</v>
      </c>
      <c r="BM1137" t="s">
        <v>4627</v>
      </c>
    </row>
    <row r="1138" spans="1:67">
      <c r="A1138" s="1">
        <f>HYPERLINK("https://lsnyc.legalserver.org/matter/dynamic-profile/view/1903001","19-1903001")</f>
        <v>0</v>
      </c>
      <c r="B1138" t="s">
        <v>91</v>
      </c>
      <c r="C1138" t="s">
        <v>93</v>
      </c>
      <c r="D1138" t="s">
        <v>171</v>
      </c>
      <c r="F1138" t="s">
        <v>1007</v>
      </c>
      <c r="G1138" t="s">
        <v>1147</v>
      </c>
      <c r="H1138" t="s">
        <v>1642</v>
      </c>
      <c r="I1138" t="s">
        <v>1988</v>
      </c>
      <c r="J1138" t="s">
        <v>2205</v>
      </c>
      <c r="K1138">
        <v>11212</v>
      </c>
      <c r="N1138" t="s">
        <v>2233</v>
      </c>
      <c r="O1138" t="s">
        <v>2923</v>
      </c>
      <c r="Q1138" t="s">
        <v>3438</v>
      </c>
      <c r="R1138">
        <v>1</v>
      </c>
      <c r="S1138">
        <v>2</v>
      </c>
      <c r="T1138">
        <v>107.75</v>
      </c>
      <c r="W1138">
        <v>22984.08</v>
      </c>
      <c r="Y1138">
        <v>44.55</v>
      </c>
      <c r="Z1138" t="s">
        <v>340</v>
      </c>
      <c r="AA1138" t="s">
        <v>70</v>
      </c>
      <c r="AC1138" t="s">
        <v>3942</v>
      </c>
      <c r="AD1138" t="s">
        <v>163</v>
      </c>
      <c r="AF1138" t="s">
        <v>4053</v>
      </c>
      <c r="AH1138" t="s">
        <v>4076</v>
      </c>
      <c r="AJ1138" t="s">
        <v>3943</v>
      </c>
      <c r="AL1138" t="s">
        <v>4086</v>
      </c>
      <c r="AM1138" t="s">
        <v>2230</v>
      </c>
      <c r="AO1138">
        <v>1534</v>
      </c>
      <c r="AQ1138">
        <v>21</v>
      </c>
      <c r="AS1138" t="s">
        <v>4113</v>
      </c>
      <c r="AU1138" t="s">
        <v>4133</v>
      </c>
      <c r="AW1138">
        <v>9</v>
      </c>
      <c r="AY1138" t="s">
        <v>4140</v>
      </c>
      <c r="BA1138" t="s">
        <v>4149</v>
      </c>
      <c r="BC1138" t="s">
        <v>4155</v>
      </c>
      <c r="BD1138" t="s">
        <v>4157</v>
      </c>
      <c r="BE1138">
        <v>9407455</v>
      </c>
      <c r="BG1138" t="s">
        <v>4613</v>
      </c>
      <c r="BM1138" t="s">
        <v>4627</v>
      </c>
    </row>
    <row r="1139" spans="1:67">
      <c r="A1139" s="1">
        <f>HYPERLINK("https://lsnyc.legalserver.org/matter/dynamic-profile/view/1905948","19-1905948")</f>
        <v>0</v>
      </c>
      <c r="B1139" t="s">
        <v>92</v>
      </c>
      <c r="C1139" t="s">
        <v>93</v>
      </c>
      <c r="D1139" t="s">
        <v>443</v>
      </c>
      <c r="F1139" t="s">
        <v>977</v>
      </c>
      <c r="G1139" t="s">
        <v>1114</v>
      </c>
      <c r="H1139" t="s">
        <v>1580</v>
      </c>
      <c r="I1139" t="s">
        <v>2192</v>
      </c>
      <c r="J1139" t="s">
        <v>2205</v>
      </c>
      <c r="K1139">
        <v>11213</v>
      </c>
      <c r="N1139" t="s">
        <v>2233</v>
      </c>
      <c r="O1139" t="s">
        <v>2884</v>
      </c>
      <c r="P1139" t="s">
        <v>2930</v>
      </c>
      <c r="R1139">
        <v>1</v>
      </c>
      <c r="S1139">
        <v>0</v>
      </c>
      <c r="T1139">
        <v>286.63</v>
      </c>
      <c r="W1139">
        <v>35800</v>
      </c>
      <c r="Y1139">
        <v>1</v>
      </c>
      <c r="Z1139" t="s">
        <v>154</v>
      </c>
      <c r="AA1139" t="s">
        <v>90</v>
      </c>
      <c r="AC1139" t="s">
        <v>3942</v>
      </c>
      <c r="AD1139" t="s">
        <v>154</v>
      </c>
      <c r="AF1139" t="s">
        <v>4054</v>
      </c>
      <c r="AH1139" t="s">
        <v>4079</v>
      </c>
      <c r="AJ1139" t="s">
        <v>3942</v>
      </c>
      <c r="AL1139" t="s">
        <v>4087</v>
      </c>
      <c r="AM1139" t="s">
        <v>2230</v>
      </c>
      <c r="AO1139">
        <v>1025.26</v>
      </c>
      <c r="AQ1139">
        <v>34</v>
      </c>
      <c r="AS1139" t="s">
        <v>4113</v>
      </c>
      <c r="AU1139" t="s">
        <v>4128</v>
      </c>
      <c r="AW1139">
        <v>9</v>
      </c>
      <c r="AY1139" t="s">
        <v>4140</v>
      </c>
      <c r="BA1139" t="s">
        <v>4149</v>
      </c>
      <c r="BC1139" t="s">
        <v>4155</v>
      </c>
      <c r="BE1139" t="s">
        <v>4159</v>
      </c>
      <c r="BF1139" t="s">
        <v>4281</v>
      </c>
      <c r="BG1139" t="s">
        <v>4303</v>
      </c>
      <c r="BM1139" t="s">
        <v>4627</v>
      </c>
    </row>
    <row r="1140" spans="1:67">
      <c r="A1140" s="1">
        <f>HYPERLINK("https://lsnyc.legalserver.org/matter/dynamic-profile/view/1894029","19-1894029")</f>
        <v>0</v>
      </c>
      <c r="B1140" t="s">
        <v>92</v>
      </c>
      <c r="C1140" t="s">
        <v>93</v>
      </c>
      <c r="D1140" t="s">
        <v>473</v>
      </c>
      <c r="F1140" t="s">
        <v>1003</v>
      </c>
      <c r="G1140" t="s">
        <v>1553</v>
      </c>
      <c r="H1140" t="s">
        <v>1912</v>
      </c>
      <c r="I1140" t="s">
        <v>2202</v>
      </c>
      <c r="J1140" t="s">
        <v>2205</v>
      </c>
      <c r="K1140">
        <v>11212</v>
      </c>
      <c r="N1140" t="s">
        <v>2233</v>
      </c>
      <c r="O1140" t="s">
        <v>2924</v>
      </c>
      <c r="Q1140" t="s">
        <v>3439</v>
      </c>
      <c r="R1140">
        <v>3</v>
      </c>
      <c r="S1140">
        <v>1</v>
      </c>
      <c r="T1140">
        <v>271.84</v>
      </c>
      <c r="W1140">
        <v>70000</v>
      </c>
      <c r="Y1140">
        <v>8</v>
      </c>
      <c r="Z1140" t="s">
        <v>3886</v>
      </c>
      <c r="AA1140" t="s">
        <v>92</v>
      </c>
      <c r="AC1140" t="s">
        <v>3942</v>
      </c>
      <c r="AD1140" t="s">
        <v>473</v>
      </c>
      <c r="AF1140" t="s">
        <v>4052</v>
      </c>
      <c r="AH1140" t="s">
        <v>4081</v>
      </c>
      <c r="AJ1140" t="s">
        <v>3942</v>
      </c>
      <c r="AL1140" t="s">
        <v>4087</v>
      </c>
      <c r="AM1140" t="s">
        <v>2230</v>
      </c>
      <c r="AO1140">
        <v>1151</v>
      </c>
      <c r="AQ1140">
        <v>73</v>
      </c>
      <c r="AS1140" t="s">
        <v>4113</v>
      </c>
      <c r="AU1140" t="s">
        <v>4128</v>
      </c>
      <c r="AW1140">
        <v>20</v>
      </c>
      <c r="AY1140" t="s">
        <v>4140</v>
      </c>
      <c r="BB1140" t="s">
        <v>4154</v>
      </c>
      <c r="BF1140" t="s">
        <v>4281</v>
      </c>
      <c r="BG1140" t="s">
        <v>4327</v>
      </c>
      <c r="BM1140" t="s">
        <v>4627</v>
      </c>
    </row>
    <row r="1141" spans="1:67">
      <c r="A1141" s="1">
        <f>HYPERLINK("https://lsnyc.legalserver.org/matter/dynamic-profile/view/1899074","19-1899074")</f>
        <v>0</v>
      </c>
      <c r="B1141" t="s">
        <v>92</v>
      </c>
      <c r="C1141" t="s">
        <v>93</v>
      </c>
      <c r="D1141" t="s">
        <v>474</v>
      </c>
      <c r="F1141" t="s">
        <v>686</v>
      </c>
      <c r="G1141" t="s">
        <v>1066</v>
      </c>
      <c r="H1141" t="s">
        <v>1698</v>
      </c>
      <c r="I1141" t="s">
        <v>1944</v>
      </c>
      <c r="J1141" t="s">
        <v>2205</v>
      </c>
      <c r="K1141">
        <v>11213</v>
      </c>
      <c r="N1141" t="s">
        <v>2233</v>
      </c>
      <c r="O1141" t="s">
        <v>2484</v>
      </c>
      <c r="Q1141" t="s">
        <v>3150</v>
      </c>
      <c r="R1141">
        <v>2</v>
      </c>
      <c r="S1141">
        <v>1</v>
      </c>
      <c r="T1141">
        <v>118.97</v>
      </c>
      <c r="W1141">
        <v>25376</v>
      </c>
      <c r="Y1141">
        <v>3.95</v>
      </c>
      <c r="Z1141" t="s">
        <v>3887</v>
      </c>
      <c r="AA1141" t="s">
        <v>70</v>
      </c>
      <c r="AC1141" t="s">
        <v>3942</v>
      </c>
      <c r="AD1141" t="s">
        <v>199</v>
      </c>
      <c r="AF1141" t="s">
        <v>4053</v>
      </c>
      <c r="AH1141" t="s">
        <v>4076</v>
      </c>
      <c r="AJ1141" t="s">
        <v>3943</v>
      </c>
      <c r="AK1141" t="s">
        <v>4084</v>
      </c>
      <c r="AM1141" t="s">
        <v>2230</v>
      </c>
      <c r="AO1141">
        <v>560</v>
      </c>
      <c r="AQ1141">
        <v>19</v>
      </c>
      <c r="AS1141" t="s">
        <v>4113</v>
      </c>
      <c r="AU1141" t="s">
        <v>4128</v>
      </c>
      <c r="AW1141">
        <v>18</v>
      </c>
      <c r="AY1141" t="s">
        <v>4140</v>
      </c>
      <c r="BC1141" t="s">
        <v>4155</v>
      </c>
      <c r="BG1141" t="s">
        <v>4614</v>
      </c>
      <c r="BM1141" t="s">
        <v>4627</v>
      </c>
    </row>
    <row r="1142" spans="1:67">
      <c r="A1142" s="1">
        <f>HYPERLINK("https://lsnyc.legalserver.org/matter/dynamic-profile/view/1844694","17-1844694")</f>
        <v>0</v>
      </c>
      <c r="B1142" t="s">
        <v>92</v>
      </c>
      <c r="C1142" t="s">
        <v>93</v>
      </c>
      <c r="D1142" t="s">
        <v>475</v>
      </c>
      <c r="E1142" t="s">
        <v>122</v>
      </c>
      <c r="F1142" t="s">
        <v>1008</v>
      </c>
      <c r="G1142" t="s">
        <v>1079</v>
      </c>
      <c r="H1142" t="s">
        <v>1913</v>
      </c>
      <c r="I1142" t="s">
        <v>2039</v>
      </c>
      <c r="J1142" t="s">
        <v>2205</v>
      </c>
      <c r="K1142">
        <v>11233</v>
      </c>
      <c r="L1142" t="s">
        <v>2223</v>
      </c>
      <c r="N1142" t="s">
        <v>2233</v>
      </c>
      <c r="O1142" t="s">
        <v>2925</v>
      </c>
      <c r="Q1142" t="s">
        <v>3440</v>
      </c>
      <c r="R1142">
        <v>1</v>
      </c>
      <c r="S1142">
        <v>0</v>
      </c>
      <c r="T1142">
        <v>116.42</v>
      </c>
      <c r="W1142">
        <v>14040</v>
      </c>
      <c r="Y1142">
        <v>138.65</v>
      </c>
      <c r="Z1142" t="s">
        <v>122</v>
      </c>
      <c r="AA1142" t="s">
        <v>90</v>
      </c>
      <c r="AC1142" t="s">
        <v>3942</v>
      </c>
      <c r="AD1142" t="s">
        <v>4023</v>
      </c>
      <c r="AF1142" t="s">
        <v>4050</v>
      </c>
      <c r="AH1142" t="s">
        <v>4076</v>
      </c>
      <c r="AI1142" t="s">
        <v>4082</v>
      </c>
      <c r="AJ1142" t="s">
        <v>4083</v>
      </c>
      <c r="AL1142" t="s">
        <v>4086</v>
      </c>
      <c r="AM1142" t="s">
        <v>2230</v>
      </c>
      <c r="AO1142">
        <v>236</v>
      </c>
      <c r="AQ1142">
        <v>84</v>
      </c>
      <c r="AS1142" t="s">
        <v>4119</v>
      </c>
      <c r="AU1142" t="s">
        <v>4070</v>
      </c>
      <c r="AW1142">
        <v>8</v>
      </c>
      <c r="AY1142" t="s">
        <v>4140</v>
      </c>
      <c r="BC1142" t="s">
        <v>4155</v>
      </c>
      <c r="BE1142" t="s">
        <v>4165</v>
      </c>
      <c r="BG1142" t="s">
        <v>4615</v>
      </c>
      <c r="BH1142" t="s">
        <v>4619</v>
      </c>
      <c r="BJ1142" t="s">
        <v>4622</v>
      </c>
      <c r="BL1142" t="s">
        <v>4626</v>
      </c>
      <c r="BM1142" t="s">
        <v>4628</v>
      </c>
    </row>
    <row r="1143" spans="1:67">
      <c r="A1143" s="1">
        <f>HYPERLINK("https://lsnyc.legalserver.org/matter/dynamic-profile/view/1895324","19-1895324")</f>
        <v>0</v>
      </c>
      <c r="B1143" t="s">
        <v>92</v>
      </c>
      <c r="C1143" t="s">
        <v>93</v>
      </c>
      <c r="D1143" t="s">
        <v>99</v>
      </c>
      <c r="F1143" t="s">
        <v>700</v>
      </c>
      <c r="G1143" t="s">
        <v>1235</v>
      </c>
      <c r="H1143" t="s">
        <v>1698</v>
      </c>
      <c r="I1143" t="s">
        <v>1939</v>
      </c>
      <c r="J1143" t="s">
        <v>2205</v>
      </c>
      <c r="K1143">
        <v>11213</v>
      </c>
      <c r="N1143" t="s">
        <v>2234</v>
      </c>
      <c r="O1143" t="s">
        <v>2498</v>
      </c>
      <c r="Q1143" t="s">
        <v>3161</v>
      </c>
      <c r="R1143">
        <v>1</v>
      </c>
      <c r="S1143">
        <v>0</v>
      </c>
      <c r="T1143">
        <v>57.65</v>
      </c>
      <c r="W1143">
        <v>7200</v>
      </c>
      <c r="Y1143">
        <v>0.3</v>
      </c>
      <c r="Z1143" t="s">
        <v>105</v>
      </c>
      <c r="AA1143" t="s">
        <v>70</v>
      </c>
      <c r="AC1143" t="s">
        <v>3942</v>
      </c>
      <c r="AD1143" t="s">
        <v>99</v>
      </c>
      <c r="AF1143" t="s">
        <v>4051</v>
      </c>
      <c r="AH1143" t="s">
        <v>4081</v>
      </c>
      <c r="AJ1143" t="s">
        <v>3942</v>
      </c>
      <c r="AL1143" t="s">
        <v>4100</v>
      </c>
      <c r="AM1143" t="s">
        <v>2230</v>
      </c>
      <c r="AO1143">
        <v>1229.5</v>
      </c>
      <c r="AQ1143">
        <v>19</v>
      </c>
      <c r="AS1143" t="s">
        <v>4113</v>
      </c>
      <c r="AU1143" t="s">
        <v>4129</v>
      </c>
      <c r="AW1143">
        <v>25</v>
      </c>
      <c r="AY1143" t="s">
        <v>4140</v>
      </c>
      <c r="BB1143" t="s">
        <v>4154</v>
      </c>
      <c r="BF1143" t="s">
        <v>4281</v>
      </c>
      <c r="BG1143" t="s">
        <v>4284</v>
      </c>
      <c r="BM1143" t="s">
        <v>4627</v>
      </c>
    </row>
    <row r="1144" spans="1:67">
      <c r="A1144" s="1">
        <f>HYPERLINK("https://lsnyc.legalserver.org/matter/dynamic-profile/view/1900641","19-1900641")</f>
        <v>0</v>
      </c>
      <c r="B1144" t="s">
        <v>92</v>
      </c>
      <c r="C1144" t="s">
        <v>93</v>
      </c>
      <c r="D1144" t="s">
        <v>444</v>
      </c>
      <c r="F1144" t="s">
        <v>664</v>
      </c>
      <c r="G1144" t="s">
        <v>1198</v>
      </c>
      <c r="H1144" t="s">
        <v>1698</v>
      </c>
      <c r="I1144" t="s">
        <v>1975</v>
      </c>
      <c r="J1144" t="s">
        <v>2205</v>
      </c>
      <c r="K1144">
        <v>11213</v>
      </c>
      <c r="N1144" t="s">
        <v>2233</v>
      </c>
      <c r="O1144" t="s">
        <v>2451</v>
      </c>
      <c r="Q1144" t="s">
        <v>3119</v>
      </c>
      <c r="R1144">
        <v>4</v>
      </c>
      <c r="S1144">
        <v>0</v>
      </c>
      <c r="T1144">
        <v>186.06</v>
      </c>
      <c r="W1144">
        <v>47909.8</v>
      </c>
      <c r="X1144" t="s">
        <v>3812</v>
      </c>
      <c r="Y1144">
        <v>5.75</v>
      </c>
      <c r="Z1144" t="s">
        <v>154</v>
      </c>
      <c r="AA1144" t="s">
        <v>90</v>
      </c>
      <c r="AC1144" t="s">
        <v>3942</v>
      </c>
      <c r="AD1144" t="s">
        <v>368</v>
      </c>
      <c r="AF1144" t="s">
        <v>4053</v>
      </c>
      <c r="AH1144" t="s">
        <v>4076</v>
      </c>
      <c r="AJ1144" t="s">
        <v>3942</v>
      </c>
      <c r="AL1144" t="s">
        <v>4100</v>
      </c>
      <c r="AM1144" t="s">
        <v>2230</v>
      </c>
      <c r="AO1144">
        <v>1507.16</v>
      </c>
      <c r="AQ1144">
        <v>19</v>
      </c>
      <c r="AS1144" t="s">
        <v>4113</v>
      </c>
      <c r="AU1144" t="s">
        <v>4129</v>
      </c>
      <c r="AW1144">
        <v>22</v>
      </c>
      <c r="AY1144" t="s">
        <v>4140</v>
      </c>
      <c r="BA1144" t="s">
        <v>4149</v>
      </c>
      <c r="BB1144" t="s">
        <v>4154</v>
      </c>
      <c r="BC1144" t="s">
        <v>4128</v>
      </c>
      <c r="BE1144" t="s">
        <v>4163</v>
      </c>
      <c r="BG1144" t="s">
        <v>4616</v>
      </c>
      <c r="BM1144" t="s">
        <v>4627</v>
      </c>
    </row>
    <row r="1145" spans="1:67">
      <c r="A1145" s="1">
        <f>HYPERLINK("https://lsnyc.legalserver.org/matter/dynamic-profile/view/1845235","17-1845235")</f>
        <v>0</v>
      </c>
      <c r="B1145" t="s">
        <v>92</v>
      </c>
      <c r="C1145" t="s">
        <v>93</v>
      </c>
      <c r="D1145" t="s">
        <v>231</v>
      </c>
      <c r="F1145" t="s">
        <v>1009</v>
      </c>
      <c r="G1145" t="s">
        <v>1554</v>
      </c>
      <c r="H1145" t="s">
        <v>1914</v>
      </c>
      <c r="I1145" t="s">
        <v>2103</v>
      </c>
      <c r="J1145" t="s">
        <v>2205</v>
      </c>
      <c r="K1145">
        <v>11208</v>
      </c>
      <c r="N1145" t="s">
        <v>2233</v>
      </c>
      <c r="O1145" t="s">
        <v>2926</v>
      </c>
      <c r="Q1145" t="s">
        <v>3441</v>
      </c>
      <c r="R1145">
        <v>2</v>
      </c>
      <c r="S1145">
        <v>0</v>
      </c>
      <c r="T1145">
        <v>92.36</v>
      </c>
      <c r="W1145">
        <v>15000</v>
      </c>
      <c r="Y1145">
        <v>108</v>
      </c>
      <c r="Z1145" t="s">
        <v>105</v>
      </c>
      <c r="AA1145" t="s">
        <v>90</v>
      </c>
      <c r="AC1145" t="s">
        <v>3942</v>
      </c>
      <c r="AD1145" t="s">
        <v>231</v>
      </c>
      <c r="AF1145" t="s">
        <v>4050</v>
      </c>
      <c r="AH1145" t="s">
        <v>4076</v>
      </c>
      <c r="AJ1145" t="s">
        <v>3942</v>
      </c>
      <c r="AL1145" t="s">
        <v>4090</v>
      </c>
      <c r="AM1145" t="s">
        <v>2230</v>
      </c>
      <c r="AO1145">
        <v>878</v>
      </c>
      <c r="AQ1145">
        <v>176</v>
      </c>
      <c r="AS1145" t="s">
        <v>4119</v>
      </c>
      <c r="AT1145" t="s">
        <v>4127</v>
      </c>
      <c r="AW1145">
        <v>5</v>
      </c>
      <c r="AY1145" t="s">
        <v>4140</v>
      </c>
      <c r="BB1145" t="s">
        <v>4154</v>
      </c>
      <c r="BG1145" t="s">
        <v>4617</v>
      </c>
      <c r="BM1145" t="s">
        <v>4627</v>
      </c>
    </row>
    <row r="1146" spans="1:67">
      <c r="A1146" s="1">
        <f>HYPERLINK("https://lsnyc.legalserver.org/matter/dynamic-profile/view/1884267","18-1884267")</f>
        <v>0</v>
      </c>
      <c r="B1146" t="s">
        <v>92</v>
      </c>
      <c r="C1146" t="s">
        <v>93</v>
      </c>
      <c r="D1146" t="s">
        <v>375</v>
      </c>
      <c r="E1146" t="s">
        <v>176</v>
      </c>
      <c r="F1146" t="s">
        <v>1010</v>
      </c>
      <c r="G1146" t="s">
        <v>1091</v>
      </c>
      <c r="H1146" t="s">
        <v>1915</v>
      </c>
      <c r="I1146" t="s">
        <v>1940</v>
      </c>
      <c r="J1146" t="s">
        <v>2205</v>
      </c>
      <c r="K1146">
        <v>11208</v>
      </c>
      <c r="L1146" t="s">
        <v>2224</v>
      </c>
      <c r="N1146" t="s">
        <v>2240</v>
      </c>
      <c r="O1146" t="s">
        <v>2927</v>
      </c>
      <c r="Q1146" t="s">
        <v>3442</v>
      </c>
      <c r="R1146">
        <v>2</v>
      </c>
      <c r="S1146">
        <v>1</v>
      </c>
      <c r="T1146">
        <v>17.32</v>
      </c>
      <c r="W1146">
        <v>3600</v>
      </c>
      <c r="Y1146">
        <v>14.7</v>
      </c>
      <c r="Z1146" t="s">
        <v>3888</v>
      </c>
      <c r="AA1146" t="s">
        <v>92</v>
      </c>
      <c r="AC1146" t="s">
        <v>3942</v>
      </c>
      <c r="AD1146" t="s">
        <v>121</v>
      </c>
      <c r="AF1146" t="s">
        <v>4072</v>
      </c>
      <c r="AH1146" t="s">
        <v>4080</v>
      </c>
      <c r="AI1146" t="s">
        <v>4082</v>
      </c>
      <c r="AK1146" t="s">
        <v>4084</v>
      </c>
      <c r="AM1146" t="s">
        <v>2230</v>
      </c>
      <c r="AN1146" t="s">
        <v>4107</v>
      </c>
      <c r="AO1146">
        <v>0</v>
      </c>
      <c r="AP1146" t="s">
        <v>4108</v>
      </c>
      <c r="AQ1146" t="s">
        <v>4110</v>
      </c>
      <c r="AR1146" t="s">
        <v>4112</v>
      </c>
      <c r="AT1146" t="s">
        <v>4127</v>
      </c>
      <c r="AV1146" t="s">
        <v>4137</v>
      </c>
      <c r="AW1146">
        <v>0</v>
      </c>
      <c r="AY1146" t="s">
        <v>4140</v>
      </c>
      <c r="BC1146" t="s">
        <v>4156</v>
      </c>
      <c r="BE1146" t="s">
        <v>4280</v>
      </c>
      <c r="BF1146" t="s">
        <v>4281</v>
      </c>
      <c r="BM1146" t="s">
        <v>4628</v>
      </c>
      <c r="BN1146" t="s">
        <v>4629</v>
      </c>
      <c r="BO1146" t="s">
        <v>4641</v>
      </c>
    </row>
    <row r="1147" spans="1:67">
      <c r="A1147" s="1">
        <f>HYPERLINK("https://lsnyc.legalserver.org/matter/dynamic-profile/view/1885519","18-1885519")</f>
        <v>0</v>
      </c>
      <c r="B1147" t="s">
        <v>92</v>
      </c>
      <c r="C1147" t="s">
        <v>93</v>
      </c>
      <c r="D1147" t="s">
        <v>451</v>
      </c>
      <c r="E1147" t="s">
        <v>176</v>
      </c>
      <c r="F1147" t="s">
        <v>1010</v>
      </c>
      <c r="G1147" t="s">
        <v>1091</v>
      </c>
      <c r="H1147" t="s">
        <v>1916</v>
      </c>
      <c r="I1147" t="s">
        <v>1924</v>
      </c>
      <c r="J1147" t="s">
        <v>2205</v>
      </c>
      <c r="K1147">
        <v>11207</v>
      </c>
      <c r="L1147" t="s">
        <v>2223</v>
      </c>
      <c r="N1147" t="s">
        <v>2233</v>
      </c>
      <c r="O1147" t="s">
        <v>2927</v>
      </c>
      <c r="Q1147" t="s">
        <v>3442</v>
      </c>
      <c r="R1147">
        <v>2</v>
      </c>
      <c r="S1147">
        <v>1</v>
      </c>
      <c r="T1147">
        <v>17.32</v>
      </c>
      <c r="W1147">
        <v>3600</v>
      </c>
      <c r="Y1147">
        <v>22.25</v>
      </c>
      <c r="Z1147" t="s">
        <v>182</v>
      </c>
      <c r="AA1147" t="s">
        <v>92</v>
      </c>
      <c r="AC1147" t="s">
        <v>3942</v>
      </c>
      <c r="AD1147" t="s">
        <v>451</v>
      </c>
      <c r="AF1147" t="s">
        <v>4053</v>
      </c>
      <c r="AH1147" t="s">
        <v>4076</v>
      </c>
      <c r="AJ1147" t="s">
        <v>3943</v>
      </c>
      <c r="AL1147" t="s">
        <v>4095</v>
      </c>
      <c r="AM1147" t="s">
        <v>2230</v>
      </c>
      <c r="AN1147" t="s">
        <v>4107</v>
      </c>
      <c r="AO1147">
        <v>0</v>
      </c>
      <c r="AQ1147">
        <v>4</v>
      </c>
      <c r="AS1147" t="s">
        <v>4114</v>
      </c>
      <c r="AU1147" t="s">
        <v>4132</v>
      </c>
      <c r="AV1147" t="s">
        <v>4137</v>
      </c>
      <c r="AW1147">
        <v>0</v>
      </c>
      <c r="AY1147" t="s">
        <v>4140</v>
      </c>
      <c r="BA1147" t="s">
        <v>4149</v>
      </c>
      <c r="BC1147" t="s">
        <v>4156</v>
      </c>
      <c r="BE1147" t="s">
        <v>4280</v>
      </c>
      <c r="BG1147" t="s">
        <v>4618</v>
      </c>
      <c r="BH1147" t="s">
        <v>4619</v>
      </c>
      <c r="BK1147" t="s">
        <v>4625</v>
      </c>
      <c r="BM1147" t="s">
        <v>4628</v>
      </c>
      <c r="BN1147" t="s">
        <v>4629</v>
      </c>
      <c r="BO1147" t="s">
        <v>4642</v>
      </c>
    </row>
    <row r="1148" spans="1:67">
      <c r="A1148" s="1">
        <f>HYPERLINK("https://lsnyc.legalserver.org/matter/dynamic-profile/view/1901141","19-1901141")</f>
        <v>0</v>
      </c>
      <c r="B1148" t="s">
        <v>92</v>
      </c>
      <c r="C1148" t="s">
        <v>93</v>
      </c>
      <c r="D1148" t="s">
        <v>439</v>
      </c>
      <c r="F1148" t="s">
        <v>1011</v>
      </c>
      <c r="G1148" t="s">
        <v>1139</v>
      </c>
      <c r="H1148" t="s">
        <v>1917</v>
      </c>
      <c r="I1148" t="s">
        <v>2203</v>
      </c>
      <c r="J1148" t="s">
        <v>2205</v>
      </c>
      <c r="K1148">
        <v>11212</v>
      </c>
      <c r="N1148" t="s">
        <v>2233</v>
      </c>
      <c r="O1148" t="s">
        <v>2928</v>
      </c>
      <c r="P1148" t="s">
        <v>2930</v>
      </c>
      <c r="R1148">
        <v>1</v>
      </c>
      <c r="S1148">
        <v>0</v>
      </c>
      <c r="T1148">
        <v>76.86</v>
      </c>
      <c r="W1148">
        <v>9600</v>
      </c>
      <c r="Y1148">
        <v>2.5</v>
      </c>
      <c r="Z1148" t="s">
        <v>160</v>
      </c>
      <c r="AA1148" t="s">
        <v>92</v>
      </c>
      <c r="AC1148" t="s">
        <v>3942</v>
      </c>
      <c r="AD1148" t="s">
        <v>439</v>
      </c>
      <c r="AF1148" t="s">
        <v>4053</v>
      </c>
      <c r="AH1148" t="s">
        <v>4081</v>
      </c>
      <c r="AJ1148" t="s">
        <v>3943</v>
      </c>
      <c r="AK1148" t="s">
        <v>4084</v>
      </c>
      <c r="AM1148" t="s">
        <v>2230</v>
      </c>
      <c r="AO1148">
        <v>247</v>
      </c>
      <c r="AP1148" t="s">
        <v>4108</v>
      </c>
      <c r="AQ1148" t="s">
        <v>4110</v>
      </c>
      <c r="AR1148" t="s">
        <v>4112</v>
      </c>
      <c r="AU1148" t="s">
        <v>4129</v>
      </c>
      <c r="AV1148" t="s">
        <v>4137</v>
      </c>
      <c r="AW1148">
        <v>0</v>
      </c>
      <c r="AY1148" t="s">
        <v>4140</v>
      </c>
      <c r="BA1148" t="s">
        <v>4149</v>
      </c>
      <c r="BB1148" t="s">
        <v>4154</v>
      </c>
      <c r="BC1148" t="s">
        <v>4128</v>
      </c>
      <c r="BF1148" t="s">
        <v>4281</v>
      </c>
      <c r="BG1148" t="s">
        <v>4303</v>
      </c>
      <c r="BM1148" t="s">
        <v>4627</v>
      </c>
    </row>
    <row r="1149" spans="1:67">
      <c r="A1149" s="1">
        <f>HYPERLINK("https://lsnyc.legalserver.org/matter/dynamic-profile/view/1900658","19-1900658")</f>
        <v>0</v>
      </c>
      <c r="B1149" t="s">
        <v>92</v>
      </c>
      <c r="C1149" t="s">
        <v>93</v>
      </c>
      <c r="D1149" t="s">
        <v>444</v>
      </c>
      <c r="F1149" t="s">
        <v>560</v>
      </c>
      <c r="G1149" t="s">
        <v>1236</v>
      </c>
      <c r="H1149" t="s">
        <v>1698</v>
      </c>
      <c r="I1149" t="s">
        <v>1948</v>
      </c>
      <c r="J1149" t="s">
        <v>2205</v>
      </c>
      <c r="K1149">
        <v>11213</v>
      </c>
      <c r="N1149" t="s">
        <v>2233</v>
      </c>
      <c r="O1149" t="s">
        <v>2499</v>
      </c>
      <c r="Q1149" t="s">
        <v>3162</v>
      </c>
      <c r="R1149">
        <v>2</v>
      </c>
      <c r="S1149">
        <v>1</v>
      </c>
      <c r="T1149">
        <v>234.41</v>
      </c>
      <c r="U1149" t="s">
        <v>249</v>
      </c>
      <c r="V1149" t="s">
        <v>3458</v>
      </c>
      <c r="W1149">
        <v>50000</v>
      </c>
      <c r="X1149" t="s">
        <v>3813</v>
      </c>
      <c r="Y1149">
        <v>27.45</v>
      </c>
      <c r="Z1149" t="s">
        <v>223</v>
      </c>
      <c r="AA1149" t="s">
        <v>90</v>
      </c>
      <c r="AC1149" t="s">
        <v>3942</v>
      </c>
      <c r="AD1149" t="s">
        <v>368</v>
      </c>
      <c r="AF1149" t="s">
        <v>4053</v>
      </c>
      <c r="AH1149" t="s">
        <v>4076</v>
      </c>
      <c r="AI1149" t="s">
        <v>4082</v>
      </c>
      <c r="AL1149" t="s">
        <v>4100</v>
      </c>
      <c r="AM1149" t="s">
        <v>2230</v>
      </c>
      <c r="AO1149">
        <v>693</v>
      </c>
      <c r="AQ1149">
        <v>19</v>
      </c>
      <c r="AS1149" t="s">
        <v>4113</v>
      </c>
      <c r="AU1149" t="s">
        <v>4128</v>
      </c>
      <c r="AW1149">
        <v>20</v>
      </c>
      <c r="AY1149" t="s">
        <v>4140</v>
      </c>
      <c r="BA1149" t="s">
        <v>4149</v>
      </c>
      <c r="BC1149" t="s">
        <v>4155</v>
      </c>
      <c r="BG1149" t="s">
        <v>4616</v>
      </c>
      <c r="BM1149" t="s">
        <v>4627</v>
      </c>
    </row>
    <row r="1150" spans="1:67">
      <c r="A1150" s="1">
        <f>HYPERLINK("https://lsnyc.legalserver.org/matter/dynamic-profile/view/1903768","19-1903768")</f>
        <v>0</v>
      </c>
      <c r="B1150" t="s">
        <v>92</v>
      </c>
      <c r="C1150" t="s">
        <v>93</v>
      </c>
      <c r="D1150" t="s">
        <v>247</v>
      </c>
      <c r="E1150" t="s">
        <v>176</v>
      </c>
      <c r="F1150" t="s">
        <v>1010</v>
      </c>
      <c r="G1150" t="s">
        <v>1091</v>
      </c>
      <c r="H1150" t="s">
        <v>1916</v>
      </c>
      <c r="I1150" t="s">
        <v>1924</v>
      </c>
      <c r="J1150" t="s">
        <v>2205</v>
      </c>
      <c r="K1150">
        <v>11207</v>
      </c>
      <c r="L1150" t="s">
        <v>2224</v>
      </c>
      <c r="N1150" t="s">
        <v>2233</v>
      </c>
      <c r="O1150" t="s">
        <v>2927</v>
      </c>
      <c r="Q1150" t="s">
        <v>3442</v>
      </c>
      <c r="R1150">
        <v>1</v>
      </c>
      <c r="S1150">
        <v>2</v>
      </c>
      <c r="T1150">
        <v>112.52</v>
      </c>
      <c r="W1150">
        <v>24000</v>
      </c>
      <c r="Y1150">
        <v>7.3</v>
      </c>
      <c r="Z1150" t="s">
        <v>176</v>
      </c>
      <c r="AA1150" t="s">
        <v>92</v>
      </c>
      <c r="AC1150" t="s">
        <v>3942</v>
      </c>
      <c r="AD1150" t="s">
        <v>247</v>
      </c>
      <c r="AF1150" t="s">
        <v>4054</v>
      </c>
      <c r="AH1150" t="s">
        <v>3510</v>
      </c>
      <c r="AJ1150" t="s">
        <v>3943</v>
      </c>
      <c r="AL1150" t="s">
        <v>4086</v>
      </c>
      <c r="AM1150" t="s">
        <v>2230</v>
      </c>
      <c r="AO1150">
        <v>1515</v>
      </c>
      <c r="AQ1150">
        <v>4</v>
      </c>
      <c r="AS1150" t="s">
        <v>4114</v>
      </c>
      <c r="AU1150" t="s">
        <v>4131</v>
      </c>
      <c r="AW1150">
        <v>1</v>
      </c>
      <c r="AY1150" t="s">
        <v>4140</v>
      </c>
      <c r="BA1150" t="s">
        <v>4149</v>
      </c>
      <c r="BC1150" t="s">
        <v>4156</v>
      </c>
      <c r="BE1150" t="s">
        <v>4280</v>
      </c>
      <c r="BF1150" t="s">
        <v>4281</v>
      </c>
      <c r="BG1150" t="s">
        <v>4054</v>
      </c>
      <c r="BM1150" t="s">
        <v>4628</v>
      </c>
    </row>
    <row r="1151" spans="1:67">
      <c r="A1151" s="1">
        <f>HYPERLINK("https://lsnyc.legalserver.org/matter/dynamic-profile/view/1905941","19-1905941")</f>
        <v>0</v>
      </c>
      <c r="B1151" t="s">
        <v>92</v>
      </c>
      <c r="C1151" t="s">
        <v>93</v>
      </c>
      <c r="D1151" t="s">
        <v>443</v>
      </c>
      <c r="F1151" t="s">
        <v>1012</v>
      </c>
      <c r="G1151" t="s">
        <v>1555</v>
      </c>
      <c r="H1151" t="s">
        <v>1580</v>
      </c>
      <c r="I1151" t="s">
        <v>2204</v>
      </c>
      <c r="J1151" t="s">
        <v>2205</v>
      </c>
      <c r="K1151">
        <v>11213</v>
      </c>
      <c r="N1151" t="s">
        <v>2233</v>
      </c>
      <c r="O1151" t="s">
        <v>2929</v>
      </c>
      <c r="Q1151" t="s">
        <v>3443</v>
      </c>
      <c r="R1151">
        <v>1</v>
      </c>
      <c r="S1151">
        <v>1</v>
      </c>
      <c r="T1151">
        <v>130.1</v>
      </c>
      <c r="W1151">
        <v>22000</v>
      </c>
      <c r="Y1151">
        <v>1.25</v>
      </c>
      <c r="Z1151" t="s">
        <v>154</v>
      </c>
      <c r="AA1151" t="s">
        <v>90</v>
      </c>
      <c r="AC1151" t="s">
        <v>3942</v>
      </c>
      <c r="AD1151" t="s">
        <v>154</v>
      </c>
      <c r="AF1151" t="s">
        <v>4054</v>
      </c>
      <c r="AH1151" t="s">
        <v>4079</v>
      </c>
      <c r="AJ1151" t="s">
        <v>3942</v>
      </c>
      <c r="AL1151" t="s">
        <v>4087</v>
      </c>
      <c r="AM1151" t="s">
        <v>2230</v>
      </c>
      <c r="AO1151">
        <v>1139.5</v>
      </c>
      <c r="AQ1151">
        <v>34</v>
      </c>
      <c r="AS1151" t="s">
        <v>4113</v>
      </c>
      <c r="AU1151" t="s">
        <v>4128</v>
      </c>
      <c r="AW1151">
        <v>1</v>
      </c>
      <c r="AY1151" t="s">
        <v>4140</v>
      </c>
      <c r="BA1151" t="s">
        <v>4149</v>
      </c>
      <c r="BC1151" t="s">
        <v>4155</v>
      </c>
      <c r="BE1151" t="s">
        <v>4159</v>
      </c>
      <c r="BF1151" t="s">
        <v>4281</v>
      </c>
      <c r="BG1151" t="s">
        <v>4303</v>
      </c>
      <c r="BM1151" t="s">
        <v>4627</v>
      </c>
    </row>
  </sheetData>
  <conditionalFormatting sqref="C1:AM1">
    <cfRule type="containsText" dxfId="1" priority="3" operator="containsText" text="Tester">
      <formula>NOT(ISERROR(SEARCH("Tester",C1)))</formula>
    </cfRule>
  </conditionalFormatting>
  <conditionalFormatting sqref="C2:AM100000">
    <cfRule type="containsText" dxfId="0" priority="1" operator="containsText" text="No Release - Remove Elig Date">
      <formula>NOT(ISERROR(SEARCH("No Release - Remove Elig Date",C2)))</formula>
    </cfRule>
    <cfRule type="containsText" dxfId="1" priority="2" operator="containsText" text="Needs">
      <formula>NOT(ISERROR(SEARCH("Needs",C2)))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2020-01-06T20:54:27Z</dcterms:created>
  <dcterms:modified xsi:type="dcterms:W3CDTF">2020-01-06T20:54:27Z</dcterms:modified>
</cp:coreProperties>
</file>