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<sst xmlns="http://schemas.openxmlformats.org/spreadsheetml/2006/main" count="29706" uniqueCount="6067">
  <si>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</si>
  <si>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</si>
  <si>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</si>
  <si>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</si>
  <si>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</si>
  <si>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</si>
  <si>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</si>
  <si>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</si>
  <si>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</si>
  <si>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</si>
  <si>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</si>
  <si>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</si>
  <si>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</si>
  <si>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Housing Signed DHCI Form</t>
  </si>
  <si>
    <t>Gen Case Index Number</t>
  </si>
  <si>
    <t>Housing Type Of Case</t>
  </si>
  <si>
    <t>Housing Level of Service</t>
  </si>
  <si>
    <t>Close Reason</t>
  </si>
  <si>
    <t>HAL Eligibility Date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</si>
  <si>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</si>
  <si>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</si>
  <si>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</si>
  <si>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</si>
  <si>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</si>
  <si>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</si>
  <si>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</si>
  <si>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</si>
  <si>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</si>
  <si>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</si>
  <si>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</si>
  <si>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</si>
  <si>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</si>
  <si>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</si>
  <si>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</si>
  <si>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</si>
  <si>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</si>
  <si>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</si>
  <si>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</si>
  <si>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</si>
  <si>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</si>
  <si>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</si>
  <si>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</si>
  <si>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</si>
  <si>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</si>
  <si>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</si>
  <si>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</si>
  <si>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</si>
  <si>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</si>
  <si>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</si>
  <si>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</si>
  <si>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Lam, Kevin</t>
  </si>
  <si>
    <t>Allen, Sharette</t>
  </si>
  <si>
    <t>Feliz, Oswald</t>
  </si>
  <si>
    <t>Almanzar, Milagros</t>
  </si>
  <si>
    <t>Anunkor, Ifeoma</t>
  </si>
  <si>
    <t>Bailey, Michael</t>
  </si>
  <si>
    <t>Barreda, Catherine</t>
  </si>
  <si>
    <t>Barrett, Samantha</t>
  </si>
  <si>
    <t>Bauer, Kai</t>
  </si>
  <si>
    <t>Fischman, Jean</t>
  </si>
  <si>
    <t>Gonzalez, Atenedoro</t>
  </si>
  <si>
    <t>Belhomme, Wilesca</t>
  </si>
  <si>
    <t>Bernardez, Florencita</t>
  </si>
  <si>
    <t>Betances, Gabriella</t>
  </si>
  <si>
    <t>Black, Rosalind</t>
  </si>
  <si>
    <t>Brand, Holdyn</t>
  </si>
  <si>
    <t>Braudy, Erica</t>
  </si>
  <si>
    <t>Briggs, John</t>
  </si>
  <si>
    <t>Guadalupe, Marilyn</t>
  </si>
  <si>
    <t>Burns, Erin</t>
  </si>
  <si>
    <t>James, Lelia</t>
  </si>
  <si>
    <t>Laureano, Luz</t>
  </si>
  <si>
    <t>Ma, Chiansan</t>
  </si>
  <si>
    <t>Norton, Carolyn</t>
  </si>
  <si>
    <t>Ocana, Johanna</t>
  </si>
  <si>
    <t>Pettit, Stephanie</t>
  </si>
  <si>
    <t>Cappellini, Bianca</t>
  </si>
  <si>
    <t>Carwin, Mikailla</t>
  </si>
  <si>
    <t>Castillo, Angel</t>
  </si>
  <si>
    <t>Castronovo, Julian</t>
  </si>
  <si>
    <t>Chen, Eugene</t>
  </si>
  <si>
    <t>Chew, Thomas</t>
  </si>
  <si>
    <t>Cisneros, Marisol</t>
  </si>
  <si>
    <t>Santana, Bridgette</t>
  </si>
  <si>
    <t>Succop, Steven</t>
  </si>
  <si>
    <t>Corsaro, Veronica</t>
  </si>
  <si>
    <t>Costa, Stephanie</t>
  </si>
  <si>
    <t>Cowen, Lindsay</t>
  </si>
  <si>
    <t>Taylor, Mark</t>
  </si>
  <si>
    <t>Crisona, Kathryn</t>
  </si>
  <si>
    <t>Ukegbu, Ezi</t>
  </si>
  <si>
    <t>Delgadillo, Omar</t>
  </si>
  <si>
    <t>DeLong, Sarah</t>
  </si>
  <si>
    <t>Vale, Yvonne</t>
  </si>
  <si>
    <t>Vaz, Marie</t>
  </si>
  <si>
    <t>Breakstone, Chelsea</t>
  </si>
  <si>
    <t>Diaz, Lino</t>
  </si>
  <si>
    <t>Drumm, Kristen</t>
  </si>
  <si>
    <t>Porcelli, Ronald</t>
  </si>
  <si>
    <t>Englard, Rubin</t>
  </si>
  <si>
    <t>Evers, Erin</t>
  </si>
  <si>
    <t>Falco, Fara</t>
  </si>
  <si>
    <t>Farrell, Emily</t>
  </si>
  <si>
    <t>McCormick, James</t>
  </si>
  <si>
    <t>Watson, Michael</t>
  </si>
  <si>
    <t>Pepe, Lailah</t>
  </si>
  <si>
    <t>Figaro, Nakesha</t>
  </si>
  <si>
    <t>Frizell, Catherine</t>
  </si>
  <si>
    <t>Garcia, Keiannis</t>
  </si>
  <si>
    <t>Golden, Tashanna</t>
  </si>
  <si>
    <t>Goncharov-Cruickshnk, Natalie</t>
  </si>
  <si>
    <t>Dolin, Brett</t>
  </si>
  <si>
    <t>Elmore, Josh</t>
  </si>
  <si>
    <t>Gathing, Vance</t>
  </si>
  <si>
    <t>Granfield, Rachel</t>
  </si>
  <si>
    <t>Hardy, Le`Shera</t>
  </si>
  <si>
    <t>Hammond, Robert</t>
  </si>
  <si>
    <t>James, Natalie</t>
  </si>
  <si>
    <t>Hao, Lindsay</t>
  </si>
  <si>
    <t>Lee, Jooyeon</t>
  </si>
  <si>
    <t>MacRae, John</t>
  </si>
  <si>
    <t>He, Ricky</t>
  </si>
  <si>
    <t>Hecht-Felella, Laura</t>
  </si>
  <si>
    <t>Heller, Steven</t>
  </si>
  <si>
    <t>Honan, Thomas</t>
  </si>
  <si>
    <t>Hong, Connie</t>
  </si>
  <si>
    <t>Hoque, Shatti</t>
  </si>
  <si>
    <t>Ijaz, Kulsoom</t>
  </si>
  <si>
    <t>Jacobs, Alex</t>
  </si>
  <si>
    <t>McCowen, Tamella</t>
  </si>
  <si>
    <t>Ortiz, Andrew</t>
  </si>
  <si>
    <t>Ross, Jasmine</t>
  </si>
  <si>
    <t>Katnani, Samar</t>
  </si>
  <si>
    <t>Kelly, Dawn</t>
  </si>
  <si>
    <t>Kelly, Kitanya</t>
  </si>
  <si>
    <t>Landry-Reyes, Jane</t>
  </si>
  <si>
    <t>Latterner, Matt</t>
  </si>
  <si>
    <t>Lin, Tina</t>
  </si>
  <si>
    <t>Lowery, Liam</t>
  </si>
  <si>
    <t>Tan, Andrea</t>
  </si>
  <si>
    <t>Twersky, Jonathan</t>
  </si>
  <si>
    <t>Massey, Randi</t>
  </si>
  <si>
    <t>Tyler, Johnson</t>
  </si>
  <si>
    <t>Villalobos, Tanya</t>
  </si>
  <si>
    <t>Wong, Humbert</t>
  </si>
  <si>
    <t>Bowman, Cathy</t>
  </si>
  <si>
    <t>Fuller-Bennett, Reuben</t>
  </si>
  <si>
    <t>Gonzalez, Gabriela</t>
  </si>
  <si>
    <t>Isaias, Bianca</t>
  </si>
  <si>
    <t>McDonald, John</t>
  </si>
  <si>
    <t>McHugh Mills, Maura</t>
  </si>
  <si>
    <t>Montoute, John</t>
  </si>
  <si>
    <t>Mottley, Darlene</t>
  </si>
  <si>
    <t>Mui, Ernie</t>
  </si>
  <si>
    <t>Osei, Dionne</t>
  </si>
  <si>
    <t>Pangonis, Dustin</t>
  </si>
  <si>
    <t>Patel, Mona</t>
  </si>
  <si>
    <t>Roman, Melissa</t>
  </si>
  <si>
    <t>St. Louis, Bianca</t>
  </si>
  <si>
    <t>Puleo Jr, Michael</t>
  </si>
  <si>
    <t>Rave, Helen</t>
  </si>
  <si>
    <t>Reardon, Elizabeth</t>
  </si>
  <si>
    <t>Reed, Jessica</t>
  </si>
  <si>
    <t>Rhee, Bohee</t>
  </si>
  <si>
    <t>Surette, Gibb</t>
  </si>
  <si>
    <t>Vujica, Visnja</t>
  </si>
  <si>
    <t>Rookwood, Shardae</t>
  </si>
  <si>
    <t>Santos, Marisol</t>
  </si>
  <si>
    <t>Flores, Irene</t>
  </si>
  <si>
    <t>Maltezos, Alexander</t>
  </si>
  <si>
    <t>Vega, Rita</t>
  </si>
  <si>
    <t>Basu, Shantonu</t>
  </si>
  <si>
    <t>Rubin, Jenn</t>
  </si>
  <si>
    <t>Sanderman, Robert</t>
  </si>
  <si>
    <t>Saywack, Priam</t>
  </si>
  <si>
    <t>Schafler, Eliza</t>
  </si>
  <si>
    <t>Schiff, Logan</t>
  </si>
  <si>
    <t>Sharma, Sagar</t>
  </si>
  <si>
    <t>McCune, Mary</t>
  </si>
  <si>
    <t>Spencer, Eleanor</t>
  </si>
  <si>
    <t>Shah, Ami</t>
  </si>
  <si>
    <t>Sun, Dao</t>
  </si>
  <si>
    <t>Treadwell, Nathan</t>
  </si>
  <si>
    <t>Abbas, Sayeda</t>
  </si>
  <si>
    <t>Bromberg, Iris</t>
  </si>
  <si>
    <t>Tadepalli, Ashwin</t>
  </si>
  <si>
    <t>Rose, Lauren</t>
  </si>
  <si>
    <t>Umoke, Jacob</t>
  </si>
  <si>
    <t>Wilkes, Nicole</t>
  </si>
  <si>
    <t>Xie, Vivian</t>
  </si>
  <si>
    <t>Yamasaki, Emily Woo</t>
  </si>
  <si>
    <t>Open</t>
  </si>
  <si>
    <t>Closed</t>
  </si>
  <si>
    <t>07/09/2019</t>
  </si>
  <si>
    <t>07/02/2019</t>
  </si>
  <si>
    <t>08/23/2019</t>
  </si>
  <si>
    <t>09/11/2019</t>
  </si>
  <si>
    <t>09/12/2019</t>
  </si>
  <si>
    <t>09/19/2019</t>
  </si>
  <si>
    <t>09/24/2019</t>
  </si>
  <si>
    <t>07/26/2019</t>
  </si>
  <si>
    <t>06/18/2019</t>
  </si>
  <si>
    <t>07/23/2019</t>
  </si>
  <si>
    <t>07/24/2019</t>
  </si>
  <si>
    <t>05/15/2019</t>
  </si>
  <si>
    <t>06/21/2019</t>
  </si>
  <si>
    <t>08/16/2019</t>
  </si>
  <si>
    <t>09/06/2019</t>
  </si>
  <si>
    <t>07/29/2019</t>
  </si>
  <si>
    <t>08/12/2019</t>
  </si>
  <si>
    <t>07/19/2019</t>
  </si>
  <si>
    <t>09/05/2019</t>
  </si>
  <si>
    <t>08/27/2019</t>
  </si>
  <si>
    <t>07/08/2019</t>
  </si>
  <si>
    <t>07/12/2019</t>
  </si>
  <si>
    <t>08/11/2019</t>
  </si>
  <si>
    <t>08/29/2019</t>
  </si>
  <si>
    <t>07/22/2019</t>
  </si>
  <si>
    <t>07/16/2019</t>
  </si>
  <si>
    <t>07/30/2019</t>
  </si>
  <si>
    <t>09/21/2019</t>
  </si>
  <si>
    <t>09/20/2019</t>
  </si>
  <si>
    <t>09/10/2019</t>
  </si>
  <si>
    <t>07/05/2019</t>
  </si>
  <si>
    <t>01/23/2018</t>
  </si>
  <si>
    <t>08/20/2019</t>
  </si>
  <si>
    <t>08/08/2019</t>
  </si>
  <si>
    <t>08/13/2019</t>
  </si>
  <si>
    <t>09/09/2019</t>
  </si>
  <si>
    <t>08/01/2019</t>
  </si>
  <si>
    <t>01/29/2018</t>
  </si>
  <si>
    <t>08/30/2019</t>
  </si>
  <si>
    <t>07/03/2019</t>
  </si>
  <si>
    <t>07/11/2019</t>
  </si>
  <si>
    <t>08/15/2019</t>
  </si>
  <si>
    <t>04/22/2019</t>
  </si>
  <si>
    <t>04/26/2019</t>
  </si>
  <si>
    <t>05/01/2019</t>
  </si>
  <si>
    <t>04/18/2019</t>
  </si>
  <si>
    <t>04/11/2019</t>
  </si>
  <si>
    <t>05/24/2019</t>
  </si>
  <si>
    <t>03/21/2019</t>
  </si>
  <si>
    <t>04/10/2019</t>
  </si>
  <si>
    <t>09/18/2019</t>
  </si>
  <si>
    <t>09/03/2019</t>
  </si>
  <si>
    <t>07/15/2019</t>
  </si>
  <si>
    <t>08/19/2019</t>
  </si>
  <si>
    <t>02/26/2019</t>
  </si>
  <si>
    <t>03/28/2019</t>
  </si>
  <si>
    <t>07/17/2019</t>
  </si>
  <si>
    <t>06/07/2019</t>
  </si>
  <si>
    <t>08/22/2019</t>
  </si>
  <si>
    <t>09/16/2019</t>
  </si>
  <si>
    <t>08/14/2019</t>
  </si>
  <si>
    <t>07/18/2019</t>
  </si>
  <si>
    <t>03/28/2018</t>
  </si>
  <si>
    <t>05/29/2019</t>
  </si>
  <si>
    <t>04/30/2019</t>
  </si>
  <si>
    <t>06/27/2019</t>
  </si>
  <si>
    <t>05/20/2019</t>
  </si>
  <si>
    <t>07/31/2019</t>
  </si>
  <si>
    <t>09/25/2019</t>
  </si>
  <si>
    <t>08/28/2019</t>
  </si>
  <si>
    <t>05/08/2019</t>
  </si>
  <si>
    <t>05/02/2019</t>
  </si>
  <si>
    <t>07/25/2019</t>
  </si>
  <si>
    <t>01/02/2018</t>
  </si>
  <si>
    <t>06/06/2019</t>
  </si>
  <si>
    <t>08/21/2019</t>
  </si>
  <si>
    <t>09/13/2019</t>
  </si>
  <si>
    <t>08/02/2019</t>
  </si>
  <si>
    <t>06/28/2019</t>
  </si>
  <si>
    <t>07/10/2019</t>
  </si>
  <si>
    <t>06/24/2019</t>
  </si>
  <si>
    <t>01/15/2019</t>
  </si>
  <si>
    <t>09/17/2019</t>
  </si>
  <si>
    <t>02/27/2019</t>
  </si>
  <si>
    <t>08/05/2019</t>
  </si>
  <si>
    <t>05/23/2016</t>
  </si>
  <si>
    <t>05/08/2016</t>
  </si>
  <si>
    <t>09/04/2019</t>
  </si>
  <si>
    <t>08/09/2019</t>
  </si>
  <si>
    <t>08/07/2019</t>
  </si>
  <si>
    <t>06/12/2019</t>
  </si>
  <si>
    <t>03/29/2019</t>
  </si>
  <si>
    <t>07/01/2019</t>
  </si>
  <si>
    <t>08/26/2019</t>
  </si>
  <si>
    <t>10/29/2018</t>
  </si>
  <si>
    <t>08/23/2018</t>
  </si>
  <si>
    <t>06/18/2015</t>
  </si>
  <si>
    <t>08/06/2019</t>
  </si>
  <si>
    <t>09/23/2019</t>
  </si>
  <si>
    <t>06/26/2019</t>
  </si>
  <si>
    <t>03/26/2019</t>
  </si>
  <si>
    <t>04/02/2019</t>
  </si>
  <si>
    <t>04/12/2019</t>
  </si>
  <si>
    <t>08/27/2018</t>
  </si>
  <si>
    <t>08/24/2018</t>
  </si>
  <si>
    <t>07/06/2018</t>
  </si>
  <si>
    <t>01/11/2019</t>
  </si>
  <si>
    <t>01/26/2018</t>
  </si>
  <si>
    <t>01/14/2019</t>
  </si>
  <si>
    <t>06/13/2019</t>
  </si>
  <si>
    <t>12/20/2018</t>
  </si>
  <si>
    <t>09/19/2018</t>
  </si>
  <si>
    <t>10/12/2018</t>
  </si>
  <si>
    <t>06/20/2018</t>
  </si>
  <si>
    <t>05/21/2019</t>
  </si>
  <si>
    <t>08/21/2018</t>
  </si>
  <si>
    <t>06/05/2019</t>
  </si>
  <si>
    <t>02/22/2019</t>
  </si>
  <si>
    <t>05/31/2019</t>
  </si>
  <si>
    <t>04/05/2019</t>
  </si>
  <si>
    <t>03/27/2017</t>
  </si>
  <si>
    <t>09/21/2018</t>
  </si>
  <si>
    <t>10/01/2018</t>
  </si>
  <si>
    <t>11/27/2018</t>
  </si>
  <si>
    <t>11/15/2018</t>
  </si>
  <si>
    <t>06/07/2018</t>
  </si>
  <si>
    <t>11/30/2018</t>
  </si>
  <si>
    <t>06/03/2019</t>
  </si>
  <si>
    <t>12/10/2018</t>
  </si>
  <si>
    <t>12/05/2018</t>
  </si>
  <si>
    <t>12/03/2018</t>
  </si>
  <si>
    <t>05/28/2019</t>
  </si>
  <si>
    <t>11/16/2018</t>
  </si>
  <si>
    <t>11/14/2018</t>
  </si>
  <si>
    <t>09/05/2018</t>
  </si>
  <si>
    <t>04/17/2017</t>
  </si>
  <si>
    <t>10/16/2018</t>
  </si>
  <si>
    <t>06/17/2019</t>
  </si>
  <si>
    <t>01/07/2019</t>
  </si>
  <si>
    <t>02/13/2019</t>
  </si>
  <si>
    <t>03/07/2019</t>
  </si>
  <si>
    <t>12/06/2018</t>
  </si>
  <si>
    <t>06/01/2015</t>
  </si>
  <si>
    <t>11/19/2018</t>
  </si>
  <si>
    <t>11/28/2018</t>
  </si>
  <si>
    <t>12/07/2018</t>
  </si>
  <si>
    <t>12/19/2018</t>
  </si>
  <si>
    <t>06/25/2019</t>
  </si>
  <si>
    <t>05/24/2018</t>
  </si>
  <si>
    <t>05/14/2019</t>
  </si>
  <si>
    <t>06/13/2018</t>
  </si>
  <si>
    <t>11/26/2018</t>
  </si>
  <si>
    <t>01/08/2019</t>
  </si>
  <si>
    <t>08/16/2018</t>
  </si>
  <si>
    <t>07/19/2018</t>
  </si>
  <si>
    <t>08/13/2018</t>
  </si>
  <si>
    <t>02/27/2017</t>
  </si>
  <si>
    <t>09/18/2018</t>
  </si>
  <si>
    <t>02/20/2019</t>
  </si>
  <si>
    <t>01/28/2019</t>
  </si>
  <si>
    <t>06/13/2017</t>
  </si>
  <si>
    <t>08/24/2016</t>
  </si>
  <si>
    <t>05/27/2017</t>
  </si>
  <si>
    <t>12/12/2016</t>
  </si>
  <si>
    <t>06/04/2019</t>
  </si>
  <si>
    <t>04/10/2018</t>
  </si>
  <si>
    <t>06/01/2018</t>
  </si>
  <si>
    <t>03/12/2019</t>
  </si>
  <si>
    <t>12/13/2018</t>
  </si>
  <si>
    <t>02/02/2017</t>
  </si>
  <si>
    <t>05/29/2015</t>
  </si>
  <si>
    <t>07/13/2015</t>
  </si>
  <si>
    <t>08/25/2015</t>
  </si>
  <si>
    <t>02/16/2016</t>
  </si>
  <si>
    <t>10/02/2018</t>
  </si>
  <si>
    <t>12/28/2017</t>
  </si>
  <si>
    <t>03/30/2016</t>
  </si>
  <si>
    <t>04/03/2018</t>
  </si>
  <si>
    <t>11/21/2018</t>
  </si>
  <si>
    <t>08/09/2018</t>
  </si>
  <si>
    <t>06/14/2018</t>
  </si>
  <si>
    <t>04/01/2019</t>
  </si>
  <si>
    <t>04/29/2019</t>
  </si>
  <si>
    <t>03/19/2019</t>
  </si>
  <si>
    <t>03/06/2018</t>
  </si>
  <si>
    <t>03/24/2017</t>
  </si>
  <si>
    <t>09/10/2018</t>
  </si>
  <si>
    <t>05/02/2018</t>
  </si>
  <si>
    <t>10/04/2018</t>
  </si>
  <si>
    <t>03/09/2018</t>
  </si>
  <si>
    <t>05/07/2019</t>
  </si>
  <si>
    <t>03/15/2019</t>
  </si>
  <si>
    <t>06/10/2019</t>
  </si>
  <si>
    <t>04/13/2017</t>
  </si>
  <si>
    <t>12/10/2013</t>
  </si>
  <si>
    <t>02/01/2017</t>
  </si>
  <si>
    <t>11/03/2016</t>
  </si>
  <si>
    <t>02/05/2018</t>
  </si>
  <si>
    <t>01/29/2019</t>
  </si>
  <si>
    <t>12/15/2018</t>
  </si>
  <si>
    <t>03/14/2019</t>
  </si>
  <si>
    <t>02/08/2019</t>
  </si>
  <si>
    <t>08/10/2016</t>
  </si>
  <si>
    <t>05/30/2019</t>
  </si>
  <si>
    <t>10/05/2018</t>
  </si>
  <si>
    <t>11/29/2016</t>
  </si>
  <si>
    <t>09/14/2017</t>
  </si>
  <si>
    <t>09/21/2017</t>
  </si>
  <si>
    <t>02/19/2019</t>
  </si>
  <si>
    <t>05/27/2019</t>
  </si>
  <si>
    <t>03/15/2018</t>
  </si>
  <si>
    <t>04/20/2018</t>
  </si>
  <si>
    <t>05/06/2019</t>
  </si>
  <si>
    <t>04/08/2019</t>
  </si>
  <si>
    <t>05/25/2016</t>
  </si>
  <si>
    <t>03/29/2018</t>
  </si>
  <si>
    <t>04/09/2019</t>
  </si>
  <si>
    <t>04/16/2019</t>
  </si>
  <si>
    <t>04/04/2019</t>
  </si>
  <si>
    <t>05/18/2018</t>
  </si>
  <si>
    <t>05/22/2019</t>
  </si>
  <si>
    <t>08/10/2017</t>
  </si>
  <si>
    <t>10/31/2017</t>
  </si>
  <si>
    <t>11/06/2017</t>
  </si>
  <si>
    <t>01/01/2018</t>
  </si>
  <si>
    <t>03/05/2019</t>
  </si>
  <si>
    <t>02/27/2018</t>
  </si>
  <si>
    <t>02/26/2018</t>
  </si>
  <si>
    <t>08/07/2017</t>
  </si>
  <si>
    <t>02/01/2019</t>
  </si>
  <si>
    <t>03/21/2017</t>
  </si>
  <si>
    <t>03/21/2018</t>
  </si>
  <si>
    <t>08/16/2017</t>
  </si>
  <si>
    <t>12/08/2015</t>
  </si>
  <si>
    <t>07/26/2017</t>
  </si>
  <si>
    <t>04/26/2017</t>
  </si>
  <si>
    <t>06/20/2019</t>
  </si>
  <si>
    <t>02/21/2019</t>
  </si>
  <si>
    <t>02/07/2019</t>
  </si>
  <si>
    <t>05/13/2019</t>
  </si>
  <si>
    <t>03/18/2019</t>
  </si>
  <si>
    <t>05/09/2019</t>
  </si>
  <si>
    <t>01/23/2019</t>
  </si>
  <si>
    <t>07/20/2016</t>
  </si>
  <si>
    <t>08/04/2019</t>
  </si>
  <si>
    <t>09/15/2019</t>
  </si>
  <si>
    <t>Donna</t>
  </si>
  <si>
    <t>Ana</t>
  </si>
  <si>
    <t>Natividad</t>
  </si>
  <si>
    <t>Georgina</t>
  </si>
  <si>
    <t>Margarita</t>
  </si>
  <si>
    <t>Flavia</t>
  </si>
  <si>
    <t>Elizabeth</t>
  </si>
  <si>
    <t>Maritza</t>
  </si>
  <si>
    <t>Marquise</t>
  </si>
  <si>
    <t>Elvira</t>
  </si>
  <si>
    <t>Rafael</t>
  </si>
  <si>
    <t>Kyianna</t>
  </si>
  <si>
    <t>Arthur</t>
  </si>
  <si>
    <t>Carmen</t>
  </si>
  <si>
    <t>Flor</t>
  </si>
  <si>
    <t>Lisa</t>
  </si>
  <si>
    <t>Robert</t>
  </si>
  <si>
    <t>Lourenco</t>
  </si>
  <si>
    <t>Candice</t>
  </si>
  <si>
    <t>Otha</t>
  </si>
  <si>
    <t>Arinola</t>
  </si>
  <si>
    <t>Denise</t>
  </si>
  <si>
    <t>Adiel</t>
  </si>
  <si>
    <t>Raquel</t>
  </si>
  <si>
    <t>Jose</t>
  </si>
  <si>
    <t>Patricia</t>
  </si>
  <si>
    <t>Jennifer</t>
  </si>
  <si>
    <t>Nermine</t>
  </si>
  <si>
    <t>Aysha</t>
  </si>
  <si>
    <t>Aneicia</t>
  </si>
  <si>
    <t>Talitha</t>
  </si>
  <si>
    <t>Karen</t>
  </si>
  <si>
    <t>Marcia</t>
  </si>
  <si>
    <t>Shatasha</t>
  </si>
  <si>
    <t>Beverly</t>
  </si>
  <si>
    <t>Rodolfo</t>
  </si>
  <si>
    <t>Henrietta</t>
  </si>
  <si>
    <t>Ivette</t>
  </si>
  <si>
    <t>Angel</t>
  </si>
  <si>
    <t>Maria</t>
  </si>
  <si>
    <t>Sarah</t>
  </si>
  <si>
    <t>Gabby</t>
  </si>
  <si>
    <t>Thomas</t>
  </si>
  <si>
    <t>Doris</t>
  </si>
  <si>
    <t>Juan</t>
  </si>
  <si>
    <t>Yara</t>
  </si>
  <si>
    <t>Luz</t>
  </si>
  <si>
    <t>Daisy</t>
  </si>
  <si>
    <t>Aracelis</t>
  </si>
  <si>
    <t>George</t>
  </si>
  <si>
    <t>Asuncion</t>
  </si>
  <si>
    <t>Rhonda</t>
  </si>
  <si>
    <t>Abdulai</t>
  </si>
  <si>
    <t>Susana</t>
  </si>
  <si>
    <t>Yesenia</t>
  </si>
  <si>
    <t>Crystal</t>
  </si>
  <si>
    <t>William</t>
  </si>
  <si>
    <t>Ruben</t>
  </si>
  <si>
    <t>Mahbub</t>
  </si>
  <si>
    <t>Digna</t>
  </si>
  <si>
    <t>Rachel</t>
  </si>
  <si>
    <t>Marina</t>
  </si>
  <si>
    <t>Temistocles</t>
  </si>
  <si>
    <t>Jeannette</t>
  </si>
  <si>
    <t>Norberto</t>
  </si>
  <si>
    <t>Francisco</t>
  </si>
  <si>
    <t>Raisa</t>
  </si>
  <si>
    <t>Mirely</t>
  </si>
  <si>
    <t>Virginia</t>
  </si>
  <si>
    <t>Katherine</t>
  </si>
  <si>
    <t>Buthaynah</t>
  </si>
  <si>
    <t>Angelica</t>
  </si>
  <si>
    <t>Morris</t>
  </si>
  <si>
    <t>Daniela</t>
  </si>
  <si>
    <t>Michelle</t>
  </si>
  <si>
    <t>Christopher</t>
  </si>
  <si>
    <t>Sonia</t>
  </si>
  <si>
    <t>Frances</t>
  </si>
  <si>
    <t>Corrine</t>
  </si>
  <si>
    <t>Erika</t>
  </si>
  <si>
    <t>Marisa</t>
  </si>
  <si>
    <t>Hanan</t>
  </si>
  <si>
    <t>Prakash</t>
  </si>
  <si>
    <t>Kim</t>
  </si>
  <si>
    <t>Michael</t>
  </si>
  <si>
    <t>Shpendi</t>
  </si>
  <si>
    <t>Vicente</t>
  </si>
  <si>
    <t>Ajulet</t>
  </si>
  <si>
    <t>Clara</t>
  </si>
  <si>
    <t>Jenny</t>
  </si>
  <si>
    <t>Amy</t>
  </si>
  <si>
    <t>Lucero</t>
  </si>
  <si>
    <t>Tiara</t>
  </si>
  <si>
    <t>Magdalia</t>
  </si>
  <si>
    <t>Migdalia</t>
  </si>
  <si>
    <t>Tanya</t>
  </si>
  <si>
    <t>Rigoberto</t>
  </si>
  <si>
    <t>Denice</t>
  </si>
  <si>
    <t>Juanita</t>
  </si>
  <si>
    <t>Hendrick</t>
  </si>
  <si>
    <t>Sikhumbuzo</t>
  </si>
  <si>
    <t>Sara</t>
  </si>
  <si>
    <t>Ines</t>
  </si>
  <si>
    <t>Beatrice</t>
  </si>
  <si>
    <t>Lourdes</t>
  </si>
  <si>
    <t>Erasmo</t>
  </si>
  <si>
    <t>Yvonne</t>
  </si>
  <si>
    <t>Jacqueline</t>
  </si>
  <si>
    <t>Hanirka</t>
  </si>
  <si>
    <t>Anthony</t>
  </si>
  <si>
    <t>Wanda</t>
  </si>
  <si>
    <t>Carl</t>
  </si>
  <si>
    <t>Guillermo</t>
  </si>
  <si>
    <t>Freddy</t>
  </si>
  <si>
    <t>Miguel</t>
  </si>
  <si>
    <t>La-Dawn</t>
  </si>
  <si>
    <t>Stanley</t>
  </si>
  <si>
    <t>Manuel</t>
  </si>
  <si>
    <t>Dawna</t>
  </si>
  <si>
    <t>Oluwatosin</t>
  </si>
  <si>
    <t>Bart</t>
  </si>
  <si>
    <t>Nana</t>
  </si>
  <si>
    <t>Test</t>
  </si>
  <si>
    <t>Ovidian</t>
  </si>
  <si>
    <t>Rachelle</t>
  </si>
  <si>
    <t>Eula</t>
  </si>
  <si>
    <t>Ron</t>
  </si>
  <si>
    <t>Dusley</t>
  </si>
  <si>
    <t>Stardasha</t>
  </si>
  <si>
    <t>Shanice</t>
  </si>
  <si>
    <t>Johny</t>
  </si>
  <si>
    <t>Evita</t>
  </si>
  <si>
    <t>Marie</t>
  </si>
  <si>
    <t>Esperanza</t>
  </si>
  <si>
    <t>Jean</t>
  </si>
  <si>
    <t>Luis</t>
  </si>
  <si>
    <t>Leslie</t>
  </si>
  <si>
    <t>Yvette</t>
  </si>
  <si>
    <t>Dian</t>
  </si>
  <si>
    <t>Viela</t>
  </si>
  <si>
    <t>Liautaud</t>
  </si>
  <si>
    <t>Shani</t>
  </si>
  <si>
    <t>Oscar</t>
  </si>
  <si>
    <t>Yuverky</t>
  </si>
  <si>
    <t>Odette</t>
  </si>
  <si>
    <t>Shelly Ann</t>
  </si>
  <si>
    <t>Natsumi</t>
  </si>
  <si>
    <t>Beryl</t>
  </si>
  <si>
    <t>Nedra</t>
  </si>
  <si>
    <t>Ryanna</t>
  </si>
  <si>
    <t>Stephanie</t>
  </si>
  <si>
    <t>Paulette</t>
  </si>
  <si>
    <t>Sekou</t>
  </si>
  <si>
    <t>Sing Hang</t>
  </si>
  <si>
    <t>Natalie</t>
  </si>
  <si>
    <t>Ernesto</t>
  </si>
  <si>
    <t>Fossillon</t>
  </si>
  <si>
    <t>Phon</t>
  </si>
  <si>
    <t>Altagracia</t>
  </si>
  <si>
    <t>Valerine</t>
  </si>
  <si>
    <t>Rosalind</t>
  </si>
  <si>
    <t>Veronica</t>
  </si>
  <si>
    <t>Moses</t>
  </si>
  <si>
    <t>Leonard</t>
  </si>
  <si>
    <t>Tanja</t>
  </si>
  <si>
    <t>Roberto</t>
  </si>
  <si>
    <t>David</t>
  </si>
  <si>
    <t>Olga</t>
  </si>
  <si>
    <t>Betty</t>
  </si>
  <si>
    <t>Tamika</t>
  </si>
  <si>
    <t>Keith</t>
  </si>
  <si>
    <t>Vere</t>
  </si>
  <si>
    <t>Theresa</t>
  </si>
  <si>
    <t>Roberta</t>
  </si>
  <si>
    <t>Prestina</t>
  </si>
  <si>
    <t>Gloria</t>
  </si>
  <si>
    <t>Bernandino</t>
  </si>
  <si>
    <t>Octavio</t>
  </si>
  <si>
    <t>Ridwane</t>
  </si>
  <si>
    <t>Martiza</t>
  </si>
  <si>
    <t>Cathy</t>
  </si>
  <si>
    <t>Barbara</t>
  </si>
  <si>
    <t>Arias</t>
  </si>
  <si>
    <t>Jessica</t>
  </si>
  <si>
    <t>Samantha</t>
  </si>
  <si>
    <t>Emily</t>
  </si>
  <si>
    <t>James</t>
  </si>
  <si>
    <t>Carolyn</t>
  </si>
  <si>
    <t>Dawn</t>
  </si>
  <si>
    <t>Christina</t>
  </si>
  <si>
    <t>Nicole</t>
  </si>
  <si>
    <t>Phyllis</t>
  </si>
  <si>
    <t>Jessie</t>
  </si>
  <si>
    <t>Tyrone</t>
  </si>
  <si>
    <t>Kameeka</t>
  </si>
  <si>
    <t>Socorro</t>
  </si>
  <si>
    <t>Heather</t>
  </si>
  <si>
    <t>Yahaira</t>
  </si>
  <si>
    <t>Joachim</t>
  </si>
  <si>
    <t>Alejandro</t>
  </si>
  <si>
    <t>Tiffany</t>
  </si>
  <si>
    <t>Shah</t>
  </si>
  <si>
    <t>Maurenee</t>
  </si>
  <si>
    <t>Dazil</t>
  </si>
  <si>
    <t>Tumininu</t>
  </si>
  <si>
    <t>Avian</t>
  </si>
  <si>
    <t>Fatima</t>
  </si>
  <si>
    <t>Dylan</t>
  </si>
  <si>
    <t>Antoine</t>
  </si>
  <si>
    <t>Sheena</t>
  </si>
  <si>
    <t>Vernice</t>
  </si>
  <si>
    <t>Blu</t>
  </si>
  <si>
    <t>Lucia</t>
  </si>
  <si>
    <t>Josephine</t>
  </si>
  <si>
    <t>Daewoo</t>
  </si>
  <si>
    <t>Ada</t>
  </si>
  <si>
    <t>John</t>
  </si>
  <si>
    <t>Eloisa</t>
  </si>
  <si>
    <t>Gautam</t>
  </si>
  <si>
    <t>Calvin</t>
  </si>
  <si>
    <t>Frederica</t>
  </si>
  <si>
    <t>Loida</t>
  </si>
  <si>
    <t>Pedro</t>
  </si>
  <si>
    <t>Soribel</t>
  </si>
  <si>
    <t>Charlene</t>
  </si>
  <si>
    <t>Ernestine</t>
  </si>
  <si>
    <t>Jeanette</t>
  </si>
  <si>
    <t>Gwendolyn</t>
  </si>
  <si>
    <t>Salisha</t>
  </si>
  <si>
    <t>Fredman</t>
  </si>
  <si>
    <t>Halimeh</t>
  </si>
  <si>
    <t>Yolanda</t>
  </si>
  <si>
    <t>Monirul</t>
  </si>
  <si>
    <t>Ariel</t>
  </si>
  <si>
    <t>April</t>
  </si>
  <si>
    <t>Eric</t>
  </si>
  <si>
    <t>Cassandra</t>
  </si>
  <si>
    <t>Malana</t>
  </si>
  <si>
    <t>Madeline</t>
  </si>
  <si>
    <t>Selvyn</t>
  </si>
  <si>
    <t>Alicia</t>
  </si>
  <si>
    <t>Jill</t>
  </si>
  <si>
    <t>Delores</t>
  </si>
  <si>
    <t>Craig</t>
  </si>
  <si>
    <t>Rodriene</t>
  </si>
  <si>
    <t>Abeda</t>
  </si>
  <si>
    <t>Bweela</t>
  </si>
  <si>
    <t>Suranyely</t>
  </si>
  <si>
    <t>Bernard</t>
  </si>
  <si>
    <t>Abielene</t>
  </si>
  <si>
    <t>Darryl</t>
  </si>
  <si>
    <t>Reginald</t>
  </si>
  <si>
    <t>Donald</t>
  </si>
  <si>
    <t>Laura</t>
  </si>
  <si>
    <t>Mallery</t>
  </si>
  <si>
    <t>Andres</t>
  </si>
  <si>
    <t>Francisaca</t>
  </si>
  <si>
    <t>Edith</t>
  </si>
  <si>
    <t>Nancy</t>
  </si>
  <si>
    <t>Johnathan</t>
  </si>
  <si>
    <t>Georgette</t>
  </si>
  <si>
    <t>Ryan</t>
  </si>
  <si>
    <t>Louis</t>
  </si>
  <si>
    <t>Hamdaani</t>
  </si>
  <si>
    <t>Nijha</t>
  </si>
  <si>
    <t>Sharena</t>
  </si>
  <si>
    <t>Nichole</t>
  </si>
  <si>
    <t>Nickcole</t>
  </si>
  <si>
    <t>Megnal</t>
  </si>
  <si>
    <t>Danesha</t>
  </si>
  <si>
    <t>Victoria</t>
  </si>
  <si>
    <t>Marilyn</t>
  </si>
  <si>
    <t>Timothy</t>
  </si>
  <si>
    <t>Maureen</t>
  </si>
  <si>
    <t>Gregory</t>
  </si>
  <si>
    <t>Carrie</t>
  </si>
  <si>
    <t>Samuel</t>
  </si>
  <si>
    <t>Ruth</t>
  </si>
  <si>
    <t>Anselma</t>
  </si>
  <si>
    <t>Morenike</t>
  </si>
  <si>
    <t>Stefanie</t>
  </si>
  <si>
    <t>Aquilina</t>
  </si>
  <si>
    <t>Cielo</t>
  </si>
  <si>
    <t>Olivia</t>
  </si>
  <si>
    <t>Rosita</t>
  </si>
  <si>
    <t>Isatu</t>
  </si>
  <si>
    <t>Angela</t>
  </si>
  <si>
    <t>Xinque</t>
  </si>
  <si>
    <t>Julissa</t>
  </si>
  <si>
    <t>Martina</t>
  </si>
  <si>
    <t>Noah</t>
  </si>
  <si>
    <t>Hagie</t>
  </si>
  <si>
    <t>Matt</t>
  </si>
  <si>
    <t>Cindy</t>
  </si>
  <si>
    <t>Debbie</t>
  </si>
  <si>
    <t>Gordon</t>
  </si>
  <si>
    <t>Albert</t>
  </si>
  <si>
    <t>Bienvenida</t>
  </si>
  <si>
    <t>Ellison</t>
  </si>
  <si>
    <t>Kara</t>
  </si>
  <si>
    <t>Nathaniel</t>
  </si>
  <si>
    <t>Joseph</t>
  </si>
  <si>
    <t>Md</t>
  </si>
  <si>
    <t>Ildin</t>
  </si>
  <si>
    <t>Catherine</t>
  </si>
  <si>
    <t>Jasmine</t>
  </si>
  <si>
    <t>Debra</t>
  </si>
  <si>
    <t>Nemesia</t>
  </si>
  <si>
    <t>Susalin</t>
  </si>
  <si>
    <t>Hossin</t>
  </si>
  <si>
    <t>Manuelita</t>
  </si>
  <si>
    <t>Clarice</t>
  </si>
  <si>
    <t>Janean</t>
  </si>
  <si>
    <t>Grace</t>
  </si>
  <si>
    <t>Lorraine</t>
  </si>
  <si>
    <t>Magino</t>
  </si>
  <si>
    <t>Sharon</t>
  </si>
  <si>
    <t>Hannah</t>
  </si>
  <si>
    <t>Waquar</t>
  </si>
  <si>
    <t>Mayra</t>
  </si>
  <si>
    <t>Ramesh</t>
  </si>
  <si>
    <t>Kayla</t>
  </si>
  <si>
    <t>Aracelly</t>
  </si>
  <si>
    <t>Gary</t>
  </si>
  <si>
    <t>Herlin</t>
  </si>
  <si>
    <t>Monica</t>
  </si>
  <si>
    <t>I</t>
  </si>
  <si>
    <t>Faruk</t>
  </si>
  <si>
    <t>Teresita</t>
  </si>
  <si>
    <t>Jacinto</t>
  </si>
  <si>
    <t>Trach</t>
  </si>
  <si>
    <t>Qing Hai</t>
  </si>
  <si>
    <t>Kevin</t>
  </si>
  <si>
    <t>Scears</t>
  </si>
  <si>
    <t>Antonio</t>
  </si>
  <si>
    <t>Zhen Guang</t>
  </si>
  <si>
    <t>Andrej</t>
  </si>
  <si>
    <t>Zulma</t>
  </si>
  <si>
    <t>Rob</t>
  </si>
  <si>
    <t>Janice</t>
  </si>
  <si>
    <t>Joy</t>
  </si>
  <si>
    <t>Carol</t>
  </si>
  <si>
    <t>Jason</t>
  </si>
  <si>
    <t>Lucy</t>
  </si>
  <si>
    <t>Cherly</t>
  </si>
  <si>
    <t>Reynaldo</t>
  </si>
  <si>
    <t>Lila</t>
  </si>
  <si>
    <t>Mariano</t>
  </si>
  <si>
    <t>Norma</t>
  </si>
  <si>
    <t>Cherilyn</t>
  </si>
  <si>
    <t>Jae</t>
  </si>
  <si>
    <t>Quantika</t>
  </si>
  <si>
    <t>Latoya</t>
  </si>
  <si>
    <t>Frantonya</t>
  </si>
  <si>
    <t>Metania</t>
  </si>
  <si>
    <t>Liza</t>
  </si>
  <si>
    <t>Ahmed</t>
  </si>
  <si>
    <t>Peter</t>
  </si>
  <si>
    <t>Jermaine</t>
  </si>
  <si>
    <t>Todd</t>
  </si>
  <si>
    <t>Melissa</t>
  </si>
  <si>
    <t>Danielle</t>
  </si>
  <si>
    <t>Erica Gomez</t>
  </si>
  <si>
    <t>Leidy Yesenia Escandon</t>
  </si>
  <si>
    <t>Saabirah</t>
  </si>
  <si>
    <t>Felipa</t>
  </si>
  <si>
    <t>Yuriy</t>
  </si>
  <si>
    <t>Shakirah</t>
  </si>
  <si>
    <t>Ralph</t>
  </si>
  <si>
    <t>Jade</t>
  </si>
  <si>
    <t>Shahnaz</t>
  </si>
  <si>
    <t>Andrew</t>
  </si>
  <si>
    <t>Desmond</t>
  </si>
  <si>
    <t>Loretta</t>
  </si>
  <si>
    <t>Mark</t>
  </si>
  <si>
    <t>Elsie</t>
  </si>
  <si>
    <t>Benita</t>
  </si>
  <si>
    <t>Carla</t>
  </si>
  <si>
    <t>Diana</t>
  </si>
  <si>
    <t>Hector</t>
  </si>
  <si>
    <t>Magnolia</t>
  </si>
  <si>
    <t>Damien</t>
  </si>
  <si>
    <t>Suzie</t>
  </si>
  <si>
    <t>Hermilyn</t>
  </si>
  <si>
    <t>Jaime</t>
  </si>
  <si>
    <t>Ramona</t>
  </si>
  <si>
    <t>Oumaima</t>
  </si>
  <si>
    <t>Ferney</t>
  </si>
  <si>
    <t>Elvida</t>
  </si>
  <si>
    <t>Katy</t>
  </si>
  <si>
    <t>Elva</t>
  </si>
  <si>
    <t>Jardi</t>
  </si>
  <si>
    <t>Mildred</t>
  </si>
  <si>
    <t>Melvin</t>
  </si>
  <si>
    <t>Yadira</t>
  </si>
  <si>
    <t>Modesta</t>
  </si>
  <si>
    <t>Stann</t>
  </si>
  <si>
    <t>Abdul</t>
  </si>
  <si>
    <t>Hongjie</t>
  </si>
  <si>
    <t>Willie</t>
  </si>
  <si>
    <t>Hosnahara</t>
  </si>
  <si>
    <t>Rosa</t>
  </si>
  <si>
    <t>Therese</t>
  </si>
  <si>
    <t>Louise</t>
  </si>
  <si>
    <t>Zeribel</t>
  </si>
  <si>
    <t>Jaquonne</t>
  </si>
  <si>
    <t>Ephemie</t>
  </si>
  <si>
    <t>Gabriella</t>
  </si>
  <si>
    <t>Evelyn</t>
  </si>
  <si>
    <t>Ruby</t>
  </si>
  <si>
    <t>Eulalia</t>
  </si>
  <si>
    <t>Ivan</t>
  </si>
  <si>
    <t>Rossmery</t>
  </si>
  <si>
    <t>Kenia</t>
  </si>
  <si>
    <t>Ernest</t>
  </si>
  <si>
    <t>Ramon</t>
  </si>
  <si>
    <t>Gladys</t>
  </si>
  <si>
    <t>Alfredo</t>
  </si>
  <si>
    <t>Asia</t>
  </si>
  <si>
    <t>YRALDA</t>
  </si>
  <si>
    <t>Silvia</t>
  </si>
  <si>
    <t>Florinda</t>
  </si>
  <si>
    <t>Felicita</t>
  </si>
  <si>
    <t>Melania</t>
  </si>
  <si>
    <t>Harvey</t>
  </si>
  <si>
    <t>Yiraldy</t>
  </si>
  <si>
    <t>Indra</t>
  </si>
  <si>
    <t>Bishaisth</t>
  </si>
  <si>
    <t>Baboo</t>
  </si>
  <si>
    <t>Roger</t>
  </si>
  <si>
    <t>Lissa</t>
  </si>
  <si>
    <t>Mariatou</t>
  </si>
  <si>
    <t>Ibrahima</t>
  </si>
  <si>
    <t>Rosaria</t>
  </si>
  <si>
    <t>Towanda</t>
  </si>
  <si>
    <t>Claude</t>
  </si>
  <si>
    <t>Cairong</t>
  </si>
  <si>
    <t>Gail</t>
  </si>
  <si>
    <t>Janelle</t>
  </si>
  <si>
    <t>Leidy</t>
  </si>
  <si>
    <t>Nathylin</t>
  </si>
  <si>
    <t>Anna</t>
  </si>
  <si>
    <t>LUCRETIA</t>
  </si>
  <si>
    <t>Dane</t>
  </si>
  <si>
    <t>Bukola</t>
  </si>
  <si>
    <t>Brender</t>
  </si>
  <si>
    <t>Cristal</t>
  </si>
  <si>
    <t>Brenda</t>
  </si>
  <si>
    <t>Eli</t>
  </si>
  <si>
    <t>Celia</t>
  </si>
  <si>
    <t>Sherrie</t>
  </si>
  <si>
    <t>Sherika</t>
  </si>
  <si>
    <t>Oneal</t>
  </si>
  <si>
    <t>Steven</t>
  </si>
  <si>
    <t>Phillip</t>
  </si>
  <si>
    <t>Toby</t>
  </si>
  <si>
    <t>Whitney</t>
  </si>
  <si>
    <t>Rosa Marie</t>
  </si>
  <si>
    <t>Marta</t>
  </si>
  <si>
    <t>Tara</t>
  </si>
  <si>
    <t>Lydia</t>
  </si>
  <si>
    <t>Roslyn</t>
  </si>
  <si>
    <t>Myra</t>
  </si>
  <si>
    <t>Yukie</t>
  </si>
  <si>
    <t>Jodi</t>
  </si>
  <si>
    <t>Tonia</t>
  </si>
  <si>
    <t>Clyde</t>
  </si>
  <si>
    <t>Deborah</t>
  </si>
  <si>
    <t>Juanne</t>
  </si>
  <si>
    <t>Shemaine</t>
  </si>
  <si>
    <t>Lakisha</t>
  </si>
  <si>
    <t>Marisol</t>
  </si>
  <si>
    <t>Efrat</t>
  </si>
  <si>
    <t>Tiyanna</t>
  </si>
  <si>
    <t>Angellica</t>
  </si>
  <si>
    <t>Nedia</t>
  </si>
  <si>
    <t>Deshawn</t>
  </si>
  <si>
    <t>Taiwo</t>
  </si>
  <si>
    <t>Mayleen</t>
  </si>
  <si>
    <t>Deanna</t>
  </si>
  <si>
    <t>Marien</t>
  </si>
  <si>
    <t>Sabrina</t>
  </si>
  <si>
    <t>Sondra</t>
  </si>
  <si>
    <t>Sheila</t>
  </si>
  <si>
    <t>Felesha</t>
  </si>
  <si>
    <t>Brooke</t>
  </si>
  <si>
    <t>Andrea</t>
  </si>
  <si>
    <t>Tori</t>
  </si>
  <si>
    <t>Kenneshea</t>
  </si>
  <si>
    <t>Adrienne</t>
  </si>
  <si>
    <t>Marvilin</t>
  </si>
  <si>
    <t>Rosemae</t>
  </si>
  <si>
    <t>Darren</t>
  </si>
  <si>
    <t>Julio</t>
  </si>
  <si>
    <t>Cynthia</t>
  </si>
  <si>
    <t>Destiny</t>
  </si>
  <si>
    <t>Lubin</t>
  </si>
  <si>
    <t>Lillian</t>
  </si>
  <si>
    <t>Teresa</t>
  </si>
  <si>
    <t>Bonnie</t>
  </si>
  <si>
    <t>Charmise</t>
  </si>
  <si>
    <t>Mahranie</t>
  </si>
  <si>
    <t>Antoinette</t>
  </si>
  <si>
    <t>Charles</t>
  </si>
  <si>
    <t>Miriam</t>
  </si>
  <si>
    <t>Otasowie</t>
  </si>
  <si>
    <t>Mariana</t>
  </si>
  <si>
    <t>Sajjad</t>
  </si>
  <si>
    <t>Daelee</t>
  </si>
  <si>
    <t>Esther</t>
  </si>
  <si>
    <t>Isabel</t>
  </si>
  <si>
    <t>Hope</t>
  </si>
  <si>
    <t>Yomaira</t>
  </si>
  <si>
    <t>Narcisa</t>
  </si>
  <si>
    <t>Dulce</t>
  </si>
  <si>
    <t>Ingrid</t>
  </si>
  <si>
    <t>Gisela</t>
  </si>
  <si>
    <t>Leonora</t>
  </si>
  <si>
    <t>Livia</t>
  </si>
  <si>
    <t>Dovear</t>
  </si>
  <si>
    <t>Lorna</t>
  </si>
  <si>
    <t>Luzelbi</t>
  </si>
  <si>
    <t>Afiya</t>
  </si>
  <si>
    <t>Suzanne</t>
  </si>
  <si>
    <t>Josheema</t>
  </si>
  <si>
    <t>Maribel</t>
  </si>
  <si>
    <t>Charise</t>
  </si>
  <si>
    <t>Tracey</t>
  </si>
  <si>
    <t>Pamela</t>
  </si>
  <si>
    <t>Dionne</t>
  </si>
  <si>
    <t>Kenneth</t>
  </si>
  <si>
    <t>Amanda</t>
  </si>
  <si>
    <t>Erica</t>
  </si>
  <si>
    <t>Trent</t>
  </si>
  <si>
    <t>Sidi</t>
  </si>
  <si>
    <t>Anderson</t>
  </si>
  <si>
    <t>Armanda</t>
  </si>
  <si>
    <t>Moduju</t>
  </si>
  <si>
    <t>Nadine</t>
  </si>
  <si>
    <t>Vera</t>
  </si>
  <si>
    <t>Harry</t>
  </si>
  <si>
    <t>Devora-Orit</t>
  </si>
  <si>
    <t>Celenio</t>
  </si>
  <si>
    <t>Melba</t>
  </si>
  <si>
    <t>Alexander</t>
  </si>
  <si>
    <t>Roman</t>
  </si>
  <si>
    <t>Gabino</t>
  </si>
  <si>
    <t>Marleny</t>
  </si>
  <si>
    <t>Akira</t>
  </si>
  <si>
    <t>Cesar</t>
  </si>
  <si>
    <t>Mehira</t>
  </si>
  <si>
    <t>Natacha</t>
  </si>
  <si>
    <t>Luisa</t>
  </si>
  <si>
    <t>Govchlya</t>
  </si>
  <si>
    <t>Murris</t>
  </si>
  <si>
    <t>Jorinda</t>
  </si>
  <si>
    <t>Dania</t>
  </si>
  <si>
    <t>Nelson</t>
  </si>
  <si>
    <t>Edna</t>
  </si>
  <si>
    <t>Eulogia</t>
  </si>
  <si>
    <t>Franklin</t>
  </si>
  <si>
    <t>Mabel</t>
  </si>
  <si>
    <t>Lupe</t>
  </si>
  <si>
    <t>Giacinta</t>
  </si>
  <si>
    <t>Vincent</t>
  </si>
  <si>
    <t>Judith</t>
  </si>
  <si>
    <t>MaryAnn</t>
  </si>
  <si>
    <t>Angelo</t>
  </si>
  <si>
    <t>Kimberly</t>
  </si>
  <si>
    <t>Eugene</t>
  </si>
  <si>
    <t>Agnes</t>
  </si>
  <si>
    <t>Racquel</t>
  </si>
  <si>
    <t>Zul-qarnain</t>
  </si>
  <si>
    <t>Mercedes</t>
  </si>
  <si>
    <t>Alejandra</t>
  </si>
  <si>
    <t>Malisha</t>
  </si>
  <si>
    <t>Helen</t>
  </si>
  <si>
    <t>Ted</t>
  </si>
  <si>
    <t>Regina</t>
  </si>
  <si>
    <t>Sana</t>
  </si>
  <si>
    <t>Maleja</t>
  </si>
  <si>
    <t>Sherry</t>
  </si>
  <si>
    <t>Lucindia</t>
  </si>
  <si>
    <t>Ayanna</t>
  </si>
  <si>
    <t>Florence</t>
  </si>
  <si>
    <t>Carmel</t>
  </si>
  <si>
    <t>Letisha</t>
  </si>
  <si>
    <t>Nikcole</t>
  </si>
  <si>
    <t>Shorok</t>
  </si>
  <si>
    <t>Alaina</t>
  </si>
  <si>
    <t>Hazel</t>
  </si>
  <si>
    <t>Charisse</t>
  </si>
  <si>
    <t>Jamie</t>
  </si>
  <si>
    <t>Jacey</t>
  </si>
  <si>
    <t>Brandon</t>
  </si>
  <si>
    <t>Hussain</t>
  </si>
  <si>
    <t>Mary</t>
  </si>
  <si>
    <t>Waanibe</t>
  </si>
  <si>
    <t>Nastassja</t>
  </si>
  <si>
    <t>Isha</t>
  </si>
  <si>
    <t>Deonna</t>
  </si>
  <si>
    <t>Blondy</t>
  </si>
  <si>
    <t>Salahuddin</t>
  </si>
  <si>
    <t>Myrna</t>
  </si>
  <si>
    <t>Charlotte</t>
  </si>
  <si>
    <t>Farkunda</t>
  </si>
  <si>
    <t>Young Tae</t>
  </si>
  <si>
    <t>Kin Sau</t>
  </si>
  <si>
    <t>Maude</t>
  </si>
  <si>
    <t>Young</t>
  </si>
  <si>
    <t>Haydee</t>
  </si>
  <si>
    <t>Anila</t>
  </si>
  <si>
    <t>Bassam</t>
  </si>
  <si>
    <t>Obed</t>
  </si>
  <si>
    <t>Milagro</t>
  </si>
  <si>
    <t>Ansar</t>
  </si>
  <si>
    <t>Marc</t>
  </si>
  <si>
    <t>Juana</t>
  </si>
  <si>
    <t>Gabriela</t>
  </si>
  <si>
    <t>Minerva</t>
  </si>
  <si>
    <t>Quyen</t>
  </si>
  <si>
    <t>In Sun</t>
  </si>
  <si>
    <t>Vivian</t>
  </si>
  <si>
    <t>Inocencio</t>
  </si>
  <si>
    <t>Trilbie</t>
  </si>
  <si>
    <t>Bernadette</t>
  </si>
  <si>
    <t>Venice</t>
  </si>
  <si>
    <t>Aquanetta</t>
  </si>
  <si>
    <t>Lovado</t>
  </si>
  <si>
    <t>Sebastian</t>
  </si>
  <si>
    <t>Ventesa</t>
  </si>
  <si>
    <t>Lelar</t>
  </si>
  <si>
    <t>Gina</t>
  </si>
  <si>
    <t>Wilmer</t>
  </si>
  <si>
    <t>Claudia</t>
  </si>
  <si>
    <t>Wandy</t>
  </si>
  <si>
    <t>Xenia</t>
  </si>
  <si>
    <t>Bartola</t>
  </si>
  <si>
    <t>Laverne</t>
  </si>
  <si>
    <t>Richard</t>
  </si>
  <si>
    <t>Lysa</t>
  </si>
  <si>
    <t>Alma</t>
  </si>
  <si>
    <t>Ebony</t>
  </si>
  <si>
    <t>Josefina</t>
  </si>
  <si>
    <t>Alba</t>
  </si>
  <si>
    <t>Latanya</t>
  </si>
  <si>
    <t>Valicia</t>
  </si>
  <si>
    <t>Redis</t>
  </si>
  <si>
    <t>Renee</t>
  </si>
  <si>
    <t>Jane</t>
  </si>
  <si>
    <t>Kyla</t>
  </si>
  <si>
    <t>Merisca</t>
  </si>
  <si>
    <t>Dale</t>
  </si>
  <si>
    <t>Roxanne</t>
  </si>
  <si>
    <t>Matthew</t>
  </si>
  <si>
    <t>Roma</t>
  </si>
  <si>
    <t>Martha</t>
  </si>
  <si>
    <t>Shui Jin</t>
  </si>
  <si>
    <t>Aminata</t>
  </si>
  <si>
    <t>Mariama</t>
  </si>
  <si>
    <t>Mariam</t>
  </si>
  <si>
    <t>Rosanna</t>
  </si>
  <si>
    <t>Dalmar</t>
  </si>
  <si>
    <t>Jonathan</t>
  </si>
  <si>
    <t>Fanta</t>
  </si>
  <si>
    <t>Arcides</t>
  </si>
  <si>
    <t>Ziola</t>
  </si>
  <si>
    <t>Cheik</t>
  </si>
  <si>
    <t>Xiu Hua</t>
  </si>
  <si>
    <t>Dandio</t>
  </si>
  <si>
    <t>Darneice</t>
  </si>
  <si>
    <t>Dongqing</t>
  </si>
  <si>
    <t>Violanda</t>
  </si>
  <si>
    <t>Christine</t>
  </si>
  <si>
    <t>Colleen</t>
  </si>
  <si>
    <t>Ben</t>
  </si>
  <si>
    <t>Millie</t>
  </si>
  <si>
    <t>Davika</t>
  </si>
  <si>
    <t>Peta</t>
  </si>
  <si>
    <t>Nikita</t>
  </si>
  <si>
    <t>Valerie</t>
  </si>
  <si>
    <t>Chastity</t>
  </si>
  <si>
    <t>Trelane</t>
  </si>
  <si>
    <t>Alvin</t>
  </si>
  <si>
    <t>Kathleen</t>
  </si>
  <si>
    <t>Melanie</t>
  </si>
  <si>
    <t>Ena</t>
  </si>
  <si>
    <t>Mattie</t>
  </si>
  <si>
    <t>Ashley</t>
  </si>
  <si>
    <t>Tiffani</t>
  </si>
  <si>
    <t>Massa</t>
  </si>
  <si>
    <t>Ladora</t>
  </si>
  <si>
    <t>Tomika</t>
  </si>
  <si>
    <t>Frankie</t>
  </si>
  <si>
    <t>Cecilia</t>
  </si>
  <si>
    <t>Alka</t>
  </si>
  <si>
    <t>Jacquelynn</t>
  </si>
  <si>
    <t>Shauna</t>
  </si>
  <si>
    <t>Renauld</t>
  </si>
  <si>
    <t>Shirley</t>
  </si>
  <si>
    <t>Collette</t>
  </si>
  <si>
    <t>Jesse</t>
  </si>
  <si>
    <t>Sylvia</t>
  </si>
  <si>
    <t>Kneysha</t>
  </si>
  <si>
    <t>Penny</t>
  </si>
  <si>
    <t>Tanachi</t>
  </si>
  <si>
    <t>Amina</t>
  </si>
  <si>
    <t>Clarence</t>
  </si>
  <si>
    <t>Joe</t>
  </si>
  <si>
    <t>Vilma</t>
  </si>
  <si>
    <t>Mireya</t>
  </si>
  <si>
    <t>Kieran</t>
  </si>
  <si>
    <t>Alyssa</t>
  </si>
  <si>
    <t>Deidre</t>
  </si>
  <si>
    <t>Frank</t>
  </si>
  <si>
    <t>Suheylee</t>
  </si>
  <si>
    <t>Dolores</t>
  </si>
  <si>
    <t>Gino</t>
  </si>
  <si>
    <t>Yocelyn</t>
  </si>
  <si>
    <t>Solomon</t>
  </si>
  <si>
    <t>Jules</t>
  </si>
  <si>
    <t>Raphel</t>
  </si>
  <si>
    <t>Daina</t>
  </si>
  <si>
    <t>Lola</t>
  </si>
  <si>
    <t>Krystyna</t>
  </si>
  <si>
    <t>Marian Valdez</t>
  </si>
  <si>
    <t>Ronald</t>
  </si>
  <si>
    <t>Halima</t>
  </si>
  <si>
    <t>Justina</t>
  </si>
  <si>
    <t>Dorothy</t>
  </si>
  <si>
    <t>Brette</t>
  </si>
  <si>
    <t>Dara</t>
  </si>
  <si>
    <t>Takeisha</t>
  </si>
  <si>
    <t>Paula</t>
  </si>
  <si>
    <t>Felia</t>
  </si>
  <si>
    <t>Emma</t>
  </si>
  <si>
    <t>Michele</t>
  </si>
  <si>
    <t>Jenaire</t>
  </si>
  <si>
    <t>Marcel</t>
  </si>
  <si>
    <t>Karla</t>
  </si>
  <si>
    <t>Joshua</t>
  </si>
  <si>
    <t>Rebecca</t>
  </si>
  <si>
    <t>Il</t>
  </si>
  <si>
    <t>Karyn</t>
  </si>
  <si>
    <t>Desra</t>
  </si>
  <si>
    <t>Rosalia</t>
  </si>
  <si>
    <t>Riccobono</t>
  </si>
  <si>
    <t>Garcia</t>
  </si>
  <si>
    <t>Perez</t>
  </si>
  <si>
    <t>Reyes Fernandez</t>
  </si>
  <si>
    <t>Avelino</t>
  </si>
  <si>
    <t>Cabrera</t>
  </si>
  <si>
    <t>Diaz</t>
  </si>
  <si>
    <t>Clemencia</t>
  </si>
  <si>
    <t>Blowe</t>
  </si>
  <si>
    <t>Headrington</t>
  </si>
  <si>
    <t>Jones</t>
  </si>
  <si>
    <t>Murray</t>
  </si>
  <si>
    <t>Conway</t>
  </si>
  <si>
    <t>Velez</t>
  </si>
  <si>
    <t>Torres</t>
  </si>
  <si>
    <t>Pickens</t>
  </si>
  <si>
    <t>Carter</t>
  </si>
  <si>
    <t>Almeida</t>
  </si>
  <si>
    <t>Rodriguez</t>
  </si>
  <si>
    <t>Vallejo</t>
  </si>
  <si>
    <t>Rolling</t>
  </si>
  <si>
    <t>Brooks</t>
  </si>
  <si>
    <t>Davis</t>
  </si>
  <si>
    <t>Eshkenazi</t>
  </si>
  <si>
    <t>Nuredin</t>
  </si>
  <si>
    <t>Carrasquillo</t>
  </si>
  <si>
    <t>Romano</t>
  </si>
  <si>
    <t>Samios</t>
  </si>
  <si>
    <t>Hussein</t>
  </si>
  <si>
    <t>Khanam</t>
  </si>
  <si>
    <t>Novak</t>
  </si>
  <si>
    <t>Kinsey</t>
  </si>
  <si>
    <t>Williams</t>
  </si>
  <si>
    <t>Vaca</t>
  </si>
  <si>
    <t>Johnson</t>
  </si>
  <si>
    <t>Bonner</t>
  </si>
  <si>
    <t>Morales</t>
  </si>
  <si>
    <t>Gyimah</t>
  </si>
  <si>
    <t>Calise</t>
  </si>
  <si>
    <t>Ortiz</t>
  </si>
  <si>
    <t>Chavez</t>
  </si>
  <si>
    <t>Sepuya</t>
  </si>
  <si>
    <t>Solis</t>
  </si>
  <si>
    <t>Woody</t>
  </si>
  <si>
    <t>Ruiz</t>
  </si>
  <si>
    <t>Bautista</t>
  </si>
  <si>
    <t>Fermin</t>
  </si>
  <si>
    <t>Molina</t>
  </si>
  <si>
    <t>Tapia</t>
  </si>
  <si>
    <t>De Aza</t>
  </si>
  <si>
    <t>Simmons</t>
  </si>
  <si>
    <t>Sotiroff</t>
  </si>
  <si>
    <t>Reid</t>
  </si>
  <si>
    <t>Kabba</t>
  </si>
  <si>
    <t>Bossa -Venecia</t>
  </si>
  <si>
    <t>Bedoya</t>
  </si>
  <si>
    <t>Ventura</t>
  </si>
  <si>
    <t>Sneddon</t>
  </si>
  <si>
    <t>Iglesias</t>
  </si>
  <si>
    <t>Khan</t>
  </si>
  <si>
    <t>Colon</t>
  </si>
  <si>
    <t>Paulino</t>
  </si>
  <si>
    <t>Joakim</t>
  </si>
  <si>
    <t>Fernandez</t>
  </si>
  <si>
    <t>Dejesus</t>
  </si>
  <si>
    <t>Gil Abreu</t>
  </si>
  <si>
    <t>Porro</t>
  </si>
  <si>
    <t>Andujar</t>
  </si>
  <si>
    <t>Acevedo</t>
  </si>
  <si>
    <t>Bogdanova</t>
  </si>
  <si>
    <t>Salas</t>
  </si>
  <si>
    <t>Parker</t>
  </si>
  <si>
    <t>Sanders</t>
  </si>
  <si>
    <t>Ramirez</t>
  </si>
  <si>
    <t>Luciano</t>
  </si>
  <si>
    <t>Lane</t>
  </si>
  <si>
    <t>Nadeau</t>
  </si>
  <si>
    <t>Maldonado</t>
  </si>
  <si>
    <t>Gibson</t>
  </si>
  <si>
    <t>Santero</t>
  </si>
  <si>
    <t>Amadeo</t>
  </si>
  <si>
    <t>Dunn-Moodie</t>
  </si>
  <si>
    <t>Osman</t>
  </si>
  <si>
    <t>Brown</t>
  </si>
  <si>
    <t>Agard</t>
  </si>
  <si>
    <t>Lala</t>
  </si>
  <si>
    <t>Meza</t>
  </si>
  <si>
    <t>Cherry-Donaldson</t>
  </si>
  <si>
    <t>Ogburn</t>
  </si>
  <si>
    <t>Rosario</t>
  </si>
  <si>
    <t>Poirier</t>
  </si>
  <si>
    <t>Costa</t>
  </si>
  <si>
    <t>Lawrence</t>
  </si>
  <si>
    <t>Rotger</t>
  </si>
  <si>
    <t>Saavedra</t>
  </si>
  <si>
    <t>Deleon</t>
  </si>
  <si>
    <t>Statuto</t>
  </si>
  <si>
    <t>Medrano</t>
  </si>
  <si>
    <t>Kunene</t>
  </si>
  <si>
    <t>Saravia</t>
  </si>
  <si>
    <t>Lopez</t>
  </si>
  <si>
    <t>McCants</t>
  </si>
  <si>
    <t>Baltazer</t>
  </si>
  <si>
    <t>Zarzuela</t>
  </si>
  <si>
    <t>Coleman</t>
  </si>
  <si>
    <t>Veras</t>
  </si>
  <si>
    <t>Segura</t>
  </si>
  <si>
    <t>Mojica</t>
  </si>
  <si>
    <t>Lliguichuzhca</t>
  </si>
  <si>
    <t>Aquino</t>
  </si>
  <si>
    <t>Navarro</t>
  </si>
  <si>
    <t>Barnes</t>
  </si>
  <si>
    <t>MacNeil</t>
  </si>
  <si>
    <t>Denis</t>
  </si>
  <si>
    <t>Olabiwonnu</t>
  </si>
  <si>
    <t>Vecchione</t>
  </si>
  <si>
    <t>Boakye</t>
  </si>
  <si>
    <t>A Test</t>
  </si>
  <si>
    <t>Caraballo</t>
  </si>
  <si>
    <t>Hillman</t>
  </si>
  <si>
    <t>Saffore</t>
  </si>
  <si>
    <t>Sepulveda</t>
  </si>
  <si>
    <t>McKinnon</t>
  </si>
  <si>
    <t>Shelton</t>
  </si>
  <si>
    <t>Martinez</t>
  </si>
  <si>
    <t>Robles</t>
  </si>
  <si>
    <t>Saint Louis</t>
  </si>
  <si>
    <t>Bestman</t>
  </si>
  <si>
    <t>Justin</t>
  </si>
  <si>
    <t>Pena</t>
  </si>
  <si>
    <t>Pierre</t>
  </si>
  <si>
    <t>Robateau</t>
  </si>
  <si>
    <t>McGhee</t>
  </si>
  <si>
    <t>Augustus</t>
  </si>
  <si>
    <t>Holder</t>
  </si>
  <si>
    <t>Fenton</t>
  </si>
  <si>
    <t>Colinet</t>
  </si>
  <si>
    <t>Hinton</t>
  </si>
  <si>
    <t>Serrano</t>
  </si>
  <si>
    <t>Wright</t>
  </si>
  <si>
    <t>Peralta</t>
  </si>
  <si>
    <t>Stewart</t>
  </si>
  <si>
    <t>Thompson</t>
  </si>
  <si>
    <t>McDowell-Butts</t>
  </si>
  <si>
    <t>Lucas</t>
  </si>
  <si>
    <t>Newkirk</t>
  </si>
  <si>
    <t>Fofana</t>
  </si>
  <si>
    <t>Brathwaite</t>
  </si>
  <si>
    <t>Chan</t>
  </si>
  <si>
    <t>Lewis</t>
  </si>
  <si>
    <t>Tlatelpa</t>
  </si>
  <si>
    <t>Durandisse</t>
  </si>
  <si>
    <t>Vazquez</t>
  </si>
  <si>
    <t>Quach</t>
  </si>
  <si>
    <t>Smartt</t>
  </si>
  <si>
    <t>Medina</t>
  </si>
  <si>
    <t>Cruz</t>
  </si>
  <si>
    <t>Austin</t>
  </si>
  <si>
    <t>McKenzie</t>
  </si>
  <si>
    <t>Peacock</t>
  </si>
  <si>
    <t>Rollock</t>
  </si>
  <si>
    <t>Hairston</t>
  </si>
  <si>
    <t>Landa</t>
  </si>
  <si>
    <t>Subren</t>
  </si>
  <si>
    <t>Cantos</t>
  </si>
  <si>
    <t>Suru</t>
  </si>
  <si>
    <t>Tuitt</t>
  </si>
  <si>
    <t>Lotmore</t>
  </si>
  <si>
    <t>Edwards-Joseph</t>
  </si>
  <si>
    <t>Butler</t>
  </si>
  <si>
    <t>Washington</t>
  </si>
  <si>
    <t>Speller</t>
  </si>
  <si>
    <t>Quezada</t>
  </si>
  <si>
    <t>Pareja</t>
  </si>
  <si>
    <t>Machioudi</t>
  </si>
  <si>
    <t>McCarthy</t>
  </si>
  <si>
    <t>Stephens</t>
  </si>
  <si>
    <t>Randall</t>
  </si>
  <si>
    <t>Del Pilar Cabrera</t>
  </si>
  <si>
    <t>Lopes Malave</t>
  </si>
  <si>
    <t>Hernandez</t>
  </si>
  <si>
    <t>Taylor</t>
  </si>
  <si>
    <t>Shoup</t>
  </si>
  <si>
    <t>Bragg</t>
  </si>
  <si>
    <t>Rivera</t>
  </si>
  <si>
    <t>Lindsey</t>
  </si>
  <si>
    <t>Wells</t>
  </si>
  <si>
    <t>Orta</t>
  </si>
  <si>
    <t>Tweel</t>
  </si>
  <si>
    <t>Walsh</t>
  </si>
  <si>
    <t>Pope</t>
  </si>
  <si>
    <t>Moss</t>
  </si>
  <si>
    <t>Curley</t>
  </si>
  <si>
    <t>Bernal</t>
  </si>
  <si>
    <t>Ferrari</t>
  </si>
  <si>
    <t>Turner</t>
  </si>
  <si>
    <t>Casteneda</t>
  </si>
  <si>
    <t>Haque</t>
  </si>
  <si>
    <t>Cousins</t>
  </si>
  <si>
    <t>Wikstrom</t>
  </si>
  <si>
    <t>Adesanya</t>
  </si>
  <si>
    <t>Bailey</t>
  </si>
  <si>
    <t>Khatib</t>
  </si>
  <si>
    <t>Castro</t>
  </si>
  <si>
    <t>Mullings</t>
  </si>
  <si>
    <t>Santiago</t>
  </si>
  <si>
    <t xml:space="preserve">Ruby </t>
  </si>
  <si>
    <t>Tejada</t>
  </si>
  <si>
    <t>Allsop</t>
  </si>
  <si>
    <t>Obie</t>
  </si>
  <si>
    <t>Cepeda</t>
  </si>
  <si>
    <t>Boylan</t>
  </si>
  <si>
    <t>Beckles</t>
  </si>
  <si>
    <t>Pio</t>
  </si>
  <si>
    <t>Fernanadez</t>
  </si>
  <si>
    <t>Doolen</t>
  </si>
  <si>
    <t>England</t>
  </si>
  <si>
    <t>Choudhury</t>
  </si>
  <si>
    <t>Clare</t>
  </si>
  <si>
    <t>Fabian</t>
  </si>
  <si>
    <t>Murphy</t>
  </si>
  <si>
    <t>Franco-Delawrence</t>
  </si>
  <si>
    <t>Ali</t>
  </si>
  <si>
    <t>Salgado</t>
  </si>
  <si>
    <t>Abuzahrieh</t>
  </si>
  <si>
    <t>Matthews</t>
  </si>
  <si>
    <t>Rosquist</t>
  </si>
  <si>
    <t>Kenneh</t>
  </si>
  <si>
    <t>Perry</t>
  </si>
  <si>
    <t>Islam</t>
  </si>
  <si>
    <t>Munzer</t>
  </si>
  <si>
    <t>Sumler</t>
  </si>
  <si>
    <t>Shea</t>
  </si>
  <si>
    <t>Cousin</t>
  </si>
  <si>
    <t>Salaman</t>
  </si>
  <si>
    <t>Reese</t>
  </si>
  <si>
    <t>Mercado</t>
  </si>
  <si>
    <t>Kee</t>
  </si>
  <si>
    <t>Allen</t>
  </si>
  <si>
    <t>Gaines</t>
  </si>
  <si>
    <t>Stephenson</t>
  </si>
  <si>
    <t>Dupree</t>
  </si>
  <si>
    <t>Cotter</t>
  </si>
  <si>
    <t>Noel</t>
  </si>
  <si>
    <t>Sultana</t>
  </si>
  <si>
    <t>Steptoe</t>
  </si>
  <si>
    <t>Pesquera</t>
  </si>
  <si>
    <t>watson</t>
  </si>
  <si>
    <t>Delaney</t>
  </si>
  <si>
    <t>Hinson</t>
  </si>
  <si>
    <t>Govan</t>
  </si>
  <si>
    <t>Morrison</t>
  </si>
  <si>
    <t>Decarmine</t>
  </si>
  <si>
    <t>Filion</t>
  </si>
  <si>
    <t>Chase</t>
  </si>
  <si>
    <t>Levandov</t>
  </si>
  <si>
    <t>Manosalvas</t>
  </si>
  <si>
    <t>Manoslavas</t>
  </si>
  <si>
    <t>Mitchell</t>
  </si>
  <si>
    <t>Hayes</t>
  </si>
  <si>
    <t>Ward</t>
  </si>
  <si>
    <t>Pacht</t>
  </si>
  <si>
    <t>Rosello</t>
  </si>
  <si>
    <t>Birney</t>
  </si>
  <si>
    <t>Ousmane</t>
  </si>
  <si>
    <t>Harley</t>
  </si>
  <si>
    <t>Kevelier</t>
  </si>
  <si>
    <t>Stone</t>
  </si>
  <si>
    <t>Francis</t>
  </si>
  <si>
    <t>Dennis</t>
  </si>
  <si>
    <t>Lowery</t>
  </si>
  <si>
    <t>Jackson</t>
  </si>
  <si>
    <t>Nicholas</t>
  </si>
  <si>
    <t>Jeffrey</t>
  </si>
  <si>
    <t>Tucker</t>
  </si>
  <si>
    <t>Fernanders</t>
  </si>
  <si>
    <t>Gardner</t>
  </si>
  <si>
    <t>Sayers Joseph</t>
  </si>
  <si>
    <t>Lambert</t>
  </si>
  <si>
    <t>Hill</t>
  </si>
  <si>
    <t>Paca</t>
  </si>
  <si>
    <t>Cano</t>
  </si>
  <si>
    <t>Grayson</t>
  </si>
  <si>
    <t>Trigueno</t>
  </si>
  <si>
    <t>Bangura</t>
  </si>
  <si>
    <t>Smith</t>
  </si>
  <si>
    <t>Barfield</t>
  </si>
  <si>
    <t>Duax</t>
  </si>
  <si>
    <t>Muniz</t>
  </si>
  <si>
    <t>Cornielle</t>
  </si>
  <si>
    <t>Gomez</t>
  </si>
  <si>
    <t>Mease</t>
  </si>
  <si>
    <t>Simaha</t>
  </si>
  <si>
    <t>Bond</t>
  </si>
  <si>
    <t>Ebanks</t>
  </si>
  <si>
    <t>Duesbury</t>
  </si>
  <si>
    <t>Matoes</t>
  </si>
  <si>
    <t>Paez</t>
  </si>
  <si>
    <t>Mcknight</t>
  </si>
  <si>
    <t>Shepherd</t>
  </si>
  <si>
    <t>Lynch</t>
  </si>
  <si>
    <t>Edwards</t>
  </si>
  <si>
    <t>Griffin</t>
  </si>
  <si>
    <t>Pizicas</t>
  </si>
  <si>
    <t>Cruz Lopez</t>
  </si>
  <si>
    <t>Guerrero</t>
  </si>
  <si>
    <t>Miranda</t>
  </si>
  <si>
    <t>Salinas</t>
  </si>
  <si>
    <t>Mejias</t>
  </si>
  <si>
    <t>Napoleoni</t>
  </si>
  <si>
    <t>Linton</t>
  </si>
  <si>
    <t>Bonilla</t>
  </si>
  <si>
    <t>Khoudp</t>
  </si>
  <si>
    <t>Deoleo</t>
  </si>
  <si>
    <t>Foster</t>
  </si>
  <si>
    <t>Huerta</t>
  </si>
  <si>
    <t>Fields</t>
  </si>
  <si>
    <t>Bethea</t>
  </si>
  <si>
    <t>Acosta-De la Cruz</t>
  </si>
  <si>
    <t>Ellis</t>
  </si>
  <si>
    <t>Henderson</t>
  </si>
  <si>
    <t>Chowdhury</t>
  </si>
  <si>
    <t>Abreu</t>
  </si>
  <si>
    <t>Herrera Avalos</t>
  </si>
  <si>
    <t>Shrestha</t>
  </si>
  <si>
    <t>Gutierrez</t>
  </si>
  <si>
    <t>Shifrin</t>
  </si>
  <si>
    <t>Sanchez</t>
  </si>
  <si>
    <t>Ganz</t>
  </si>
  <si>
    <t>Prado</t>
  </si>
  <si>
    <t>Gonzalez</t>
  </si>
  <si>
    <t>Ahamed</t>
  </si>
  <si>
    <t>Yepez</t>
  </si>
  <si>
    <t>Huitzil Paleta</t>
  </si>
  <si>
    <t>Phung</t>
  </si>
  <si>
    <t>Qiu</t>
  </si>
  <si>
    <t>Glenn</t>
  </si>
  <si>
    <t>Toussaint</t>
  </si>
  <si>
    <t>Lee</t>
  </si>
  <si>
    <t>Bell</t>
  </si>
  <si>
    <t>Mahon</t>
  </si>
  <si>
    <t>Chen</t>
  </si>
  <si>
    <t>Klewicki</t>
  </si>
  <si>
    <t>Banks</t>
  </si>
  <si>
    <t>Robinson</t>
  </si>
  <si>
    <t>Hooks</t>
  </si>
  <si>
    <t>Maillard</t>
  </si>
  <si>
    <t>Fortuna</t>
  </si>
  <si>
    <t>Willson</t>
  </si>
  <si>
    <t>Sharp</t>
  </si>
  <si>
    <t>Martin</t>
  </si>
  <si>
    <t>Taveras</t>
  </si>
  <si>
    <t>Lara</t>
  </si>
  <si>
    <t>Tavarez</t>
  </si>
  <si>
    <t>Evans</t>
  </si>
  <si>
    <t>Moreno</t>
  </si>
  <si>
    <t>Vanwagoner</t>
  </si>
  <si>
    <t>Guido</t>
  </si>
  <si>
    <t>Ruzzo</t>
  </si>
  <si>
    <t>Maura</t>
  </si>
  <si>
    <t>Santos</t>
  </si>
  <si>
    <t>Faulkner</t>
  </si>
  <si>
    <t>Baker</t>
  </si>
  <si>
    <t>Shaw</t>
  </si>
  <si>
    <t>Boyko</t>
  </si>
  <si>
    <t>Whyte</t>
  </si>
  <si>
    <t>Engesser</t>
  </si>
  <si>
    <t>Nassar</t>
  </si>
  <si>
    <t>Rahman</t>
  </si>
  <si>
    <t>Donaldson</t>
  </si>
  <si>
    <t>Joa</t>
  </si>
  <si>
    <t>Segal</t>
  </si>
  <si>
    <t>Uriel</t>
  </si>
  <si>
    <t>Suarez</t>
  </si>
  <si>
    <t>McLennan</t>
  </si>
  <si>
    <t>Emanuel</t>
  </si>
  <si>
    <t>Campbell</t>
  </si>
  <si>
    <t>Lyashchenko</t>
  </si>
  <si>
    <t>Watkins</t>
  </si>
  <si>
    <t>Zollo</t>
  </si>
  <si>
    <t>Coronel</t>
  </si>
  <si>
    <t>Briggs</t>
  </si>
  <si>
    <t>Weiner</t>
  </si>
  <si>
    <t>Tarantola</t>
  </si>
  <si>
    <t>Sankar</t>
  </si>
  <si>
    <t>Ansbro-Saghirashvili</t>
  </si>
  <si>
    <t>Handy</t>
  </si>
  <si>
    <t>Rosado</t>
  </si>
  <si>
    <t>Ross</t>
  </si>
  <si>
    <t>Belches</t>
  </si>
  <si>
    <t>Adames</t>
  </si>
  <si>
    <t>Hargrove</t>
  </si>
  <si>
    <t>Santana</t>
  </si>
  <si>
    <t>Quinones</t>
  </si>
  <si>
    <t>Javier</t>
  </si>
  <si>
    <t>Aleman</t>
  </si>
  <si>
    <t>Ospina</t>
  </si>
  <si>
    <t>Rush</t>
  </si>
  <si>
    <t>McQuilkin</t>
  </si>
  <si>
    <t>Gatling</t>
  </si>
  <si>
    <t>McClendon</t>
  </si>
  <si>
    <t>Gaston-Alaoui</t>
  </si>
  <si>
    <t>Herrera</t>
  </si>
  <si>
    <t>De la Rosa</t>
  </si>
  <si>
    <t>Capell</t>
  </si>
  <si>
    <t>DelCarmen</t>
  </si>
  <si>
    <t>Solis Verdesoto</t>
  </si>
  <si>
    <t>Soskind</t>
  </si>
  <si>
    <t>Ponce</t>
  </si>
  <si>
    <t>Pimentel</t>
  </si>
  <si>
    <t>Adams</t>
  </si>
  <si>
    <t>St. Louis</t>
  </si>
  <si>
    <t>Valentine</t>
  </si>
  <si>
    <t>Zou</t>
  </si>
  <si>
    <t>Beauford</t>
  </si>
  <si>
    <t>Kahan</t>
  </si>
  <si>
    <t>Akter</t>
  </si>
  <si>
    <t>Pagan</t>
  </si>
  <si>
    <t>Randolph</t>
  </si>
  <si>
    <t>Batista</t>
  </si>
  <si>
    <t>Evans Joseph</t>
  </si>
  <si>
    <t>Hilario</t>
  </si>
  <si>
    <t>Cooper</t>
  </si>
  <si>
    <t>Bourjonny</t>
  </si>
  <si>
    <t>Mancuso</t>
  </si>
  <si>
    <t>Rodriguez Rodado</t>
  </si>
  <si>
    <t>Leibowitz</t>
  </si>
  <si>
    <t>Mason</t>
  </si>
  <si>
    <t>Nazario</t>
  </si>
  <si>
    <t>Silva Sideris</t>
  </si>
  <si>
    <t>Mendoza</t>
  </si>
  <si>
    <t>Castanos</t>
  </si>
  <si>
    <t>Mirla</t>
  </si>
  <si>
    <t>Lyons</t>
  </si>
  <si>
    <t>Diamond</t>
  </si>
  <si>
    <t>Berkeley</t>
  </si>
  <si>
    <t>Novas</t>
  </si>
  <si>
    <t>CRUZ</t>
  </si>
  <si>
    <t>Reynoso</t>
  </si>
  <si>
    <t>Acosta</t>
  </si>
  <si>
    <t>Jimenez</t>
  </si>
  <si>
    <t>Cuadrado</t>
  </si>
  <si>
    <t>Lindo</t>
  </si>
  <si>
    <t>Ram</t>
  </si>
  <si>
    <t>Harryram</t>
  </si>
  <si>
    <t>Singh</t>
  </si>
  <si>
    <t>Murillo</t>
  </si>
  <si>
    <t>Azanero</t>
  </si>
  <si>
    <t>Walker</t>
  </si>
  <si>
    <t>Negron</t>
  </si>
  <si>
    <t>Clark</t>
  </si>
  <si>
    <t>Steinmetz</t>
  </si>
  <si>
    <t>Diallo</t>
  </si>
  <si>
    <t>Crawford</t>
  </si>
  <si>
    <t>Saturnin</t>
  </si>
  <si>
    <t>Clerveau</t>
  </si>
  <si>
    <t>Mestizo</t>
  </si>
  <si>
    <t>Bershadsky</t>
  </si>
  <si>
    <t>Zeng</t>
  </si>
  <si>
    <t>Gray</t>
  </si>
  <si>
    <t>Burgas</t>
  </si>
  <si>
    <t>Sosa Salcedo</t>
  </si>
  <si>
    <t>Flowers</t>
  </si>
  <si>
    <t>Dearth</t>
  </si>
  <si>
    <t>Marrone</t>
  </si>
  <si>
    <t>DE ROSARIO</t>
  </si>
  <si>
    <t>Jack</t>
  </si>
  <si>
    <t>Makinde</t>
  </si>
  <si>
    <t>Calderon</t>
  </si>
  <si>
    <t>Jean-Jacques</t>
  </si>
  <si>
    <t>King</t>
  </si>
  <si>
    <t>Altman</t>
  </si>
  <si>
    <t>Duncan</t>
  </si>
  <si>
    <t>Somers</t>
  </si>
  <si>
    <t>Flores</t>
  </si>
  <si>
    <t>Tanco</t>
  </si>
  <si>
    <t>Harrison</t>
  </si>
  <si>
    <t>Ferguson</t>
  </si>
  <si>
    <t>Harris</t>
  </si>
  <si>
    <t>White</t>
  </si>
  <si>
    <t>Eberhart</t>
  </si>
  <si>
    <t>Coletta</t>
  </si>
  <si>
    <t>Knight</t>
  </si>
  <si>
    <t>Hucey</t>
  </si>
  <si>
    <t>Creighton</t>
  </si>
  <si>
    <t>Mayo</t>
  </si>
  <si>
    <t>Silverio</t>
  </si>
  <si>
    <t>Stubs</t>
  </si>
  <si>
    <t>Shoval</t>
  </si>
  <si>
    <t>Fogarty</t>
  </si>
  <si>
    <t>Cameron</t>
  </si>
  <si>
    <t>Piedrahita</t>
  </si>
  <si>
    <t>Cheeks</t>
  </si>
  <si>
    <t>Cardenas</t>
  </si>
  <si>
    <t>Wheeler</t>
  </si>
  <si>
    <t>Hinkson</t>
  </si>
  <si>
    <t>Adesina</t>
  </si>
  <si>
    <t>Woolford</t>
  </si>
  <si>
    <t>Patterson</t>
  </si>
  <si>
    <t>Carbonell</t>
  </si>
  <si>
    <t>Hamilton</t>
  </si>
  <si>
    <t>Fagen</t>
  </si>
  <si>
    <t>Stribling</t>
  </si>
  <si>
    <t>Elmore</t>
  </si>
  <si>
    <t>Dowdell</t>
  </si>
  <si>
    <t>Collins</t>
  </si>
  <si>
    <t>Ayala</t>
  </si>
  <si>
    <t>Marcano</t>
  </si>
  <si>
    <t>Allums</t>
  </si>
  <si>
    <t>Fraser</t>
  </si>
  <si>
    <t>Hendy-Hogan</t>
  </si>
  <si>
    <t>Aristomene</t>
  </si>
  <si>
    <t>Jouvert</t>
  </si>
  <si>
    <t>Chavarria</t>
  </si>
  <si>
    <t>Moore</t>
  </si>
  <si>
    <t>Richards</t>
  </si>
  <si>
    <t>Holmes</t>
  </si>
  <si>
    <t>Machuca</t>
  </si>
  <si>
    <t>Ruebenstahl</t>
  </si>
  <si>
    <t>Virella</t>
  </si>
  <si>
    <t>Sawh</t>
  </si>
  <si>
    <t>Olatidoye</t>
  </si>
  <si>
    <t>Cardena</t>
  </si>
  <si>
    <t>Akbar</t>
  </si>
  <si>
    <t>Suissa</t>
  </si>
  <si>
    <t>Weche</t>
  </si>
  <si>
    <t>Halberstam</t>
  </si>
  <si>
    <t>Cochran</t>
  </si>
  <si>
    <t>Soriano</t>
  </si>
  <si>
    <t>Portella</t>
  </si>
  <si>
    <t>Checo</t>
  </si>
  <si>
    <t>Rojas</t>
  </si>
  <si>
    <t>Marizan</t>
  </si>
  <si>
    <t>Veneziano</t>
  </si>
  <si>
    <t>Calhoun</t>
  </si>
  <si>
    <t>Parris</t>
  </si>
  <si>
    <t>Stackhouse</t>
  </si>
  <si>
    <t>Feliciano</t>
  </si>
  <si>
    <t>Basurto</t>
  </si>
  <si>
    <t>Treitedny</t>
  </si>
  <si>
    <t>Faison</t>
  </si>
  <si>
    <t>Newton</t>
  </si>
  <si>
    <t>Cordero</t>
  </si>
  <si>
    <t>Muller</t>
  </si>
  <si>
    <t>Bishop</t>
  </si>
  <si>
    <t>Ashwood</t>
  </si>
  <si>
    <t>Wainwright</t>
  </si>
  <si>
    <t>Williamson</t>
  </si>
  <si>
    <t>Lebron</t>
  </si>
  <si>
    <t>West</t>
  </si>
  <si>
    <t>Alfuqaha</t>
  </si>
  <si>
    <t>Resto</t>
  </si>
  <si>
    <t>Duran</t>
  </si>
  <si>
    <t>Lemelin</t>
  </si>
  <si>
    <t>Henry</t>
  </si>
  <si>
    <t>Somorin</t>
  </si>
  <si>
    <t>Barlon</t>
  </si>
  <si>
    <t>Furs</t>
  </si>
  <si>
    <t>Brewer</t>
  </si>
  <si>
    <t>Adigun</t>
  </si>
  <si>
    <t>Dor</t>
  </si>
  <si>
    <t>Tolbert</t>
  </si>
  <si>
    <t>Burnett</t>
  </si>
  <si>
    <t>Buchanan</t>
  </si>
  <si>
    <t>Delaine</t>
  </si>
  <si>
    <t>Ahfor</t>
  </si>
  <si>
    <t>Wynn</t>
  </si>
  <si>
    <t>Zhou</t>
  </si>
  <si>
    <t>Camacho</t>
  </si>
  <si>
    <t>Modesto</t>
  </si>
  <si>
    <t>Phillips</t>
  </si>
  <si>
    <t>Merced</t>
  </si>
  <si>
    <t>Rivas</t>
  </si>
  <si>
    <t>Adjeyi</t>
  </si>
  <si>
    <t>Jimenez Perez</t>
  </si>
  <si>
    <t>Wiggins</t>
  </si>
  <si>
    <t>Woodall</t>
  </si>
  <si>
    <t>Marte</t>
  </si>
  <si>
    <t>Benitez</t>
  </si>
  <si>
    <t>Solano</t>
  </si>
  <si>
    <t>Montano</t>
  </si>
  <si>
    <t>Lumchan</t>
  </si>
  <si>
    <t>Swartzon</t>
  </si>
  <si>
    <t>Haft</t>
  </si>
  <si>
    <t>Silverstein</t>
  </si>
  <si>
    <t>Wynns</t>
  </si>
  <si>
    <t>Ithier</t>
  </si>
  <si>
    <t>Jose Rosado</t>
  </si>
  <si>
    <t>Aponte</t>
  </si>
  <si>
    <t>Pratt</t>
  </si>
  <si>
    <t>Febus</t>
  </si>
  <si>
    <t>Mann</t>
  </si>
  <si>
    <t>Hargett</t>
  </si>
  <si>
    <t>Fleming</t>
  </si>
  <si>
    <t>Gambino</t>
  </si>
  <si>
    <t>Vicidomini</t>
  </si>
  <si>
    <t>Larson</t>
  </si>
  <si>
    <t>Basile</t>
  </si>
  <si>
    <t>Coppotelli</t>
  </si>
  <si>
    <t>Polito</t>
  </si>
  <si>
    <t>Abbruscato</t>
  </si>
  <si>
    <t>Korostyshevskiy</t>
  </si>
  <si>
    <t>Fallah</t>
  </si>
  <si>
    <t>Burgess</t>
  </si>
  <si>
    <t>Abdu-Shahid</t>
  </si>
  <si>
    <t>Owolabi</t>
  </si>
  <si>
    <t>Aguilar</t>
  </si>
  <si>
    <t>Waiters</t>
  </si>
  <si>
    <t>Bracy</t>
  </si>
  <si>
    <t>Heslin</t>
  </si>
  <si>
    <t>Pacheco</t>
  </si>
  <si>
    <t>Reyes</t>
  </si>
  <si>
    <t>St.Hill</t>
  </si>
  <si>
    <t>Sidorovich</t>
  </si>
  <si>
    <t>Hailstalk</t>
  </si>
  <si>
    <t>Jaffery</t>
  </si>
  <si>
    <t>Rushmore</t>
  </si>
  <si>
    <t>Samuels</t>
  </si>
  <si>
    <t>Jalloh</t>
  </si>
  <si>
    <t>Carmelia</t>
  </si>
  <si>
    <t>Blamo</t>
  </si>
  <si>
    <t>Storms</t>
  </si>
  <si>
    <t>Dargan</t>
  </si>
  <si>
    <t>Hazell</t>
  </si>
  <si>
    <t>Christian</t>
  </si>
  <si>
    <t>Grimes</t>
  </si>
  <si>
    <t>Desormeaux</t>
  </si>
  <si>
    <t>Hughes</t>
  </si>
  <si>
    <t>Ciancimino</t>
  </si>
  <si>
    <t>Abuzaid</t>
  </si>
  <si>
    <t>Borrero</t>
  </si>
  <si>
    <t>Dotson</t>
  </si>
  <si>
    <t>Miller</t>
  </si>
  <si>
    <t>Howard</t>
  </si>
  <si>
    <t>Jackmen</t>
  </si>
  <si>
    <t>Pitroipa</t>
  </si>
  <si>
    <t>Stephen</t>
  </si>
  <si>
    <t>Dodard</t>
  </si>
  <si>
    <t>Harper</t>
  </si>
  <si>
    <t>Colasso</t>
  </si>
  <si>
    <t>Wong</t>
  </si>
  <si>
    <t>de Souza-King</t>
  </si>
  <si>
    <t>Blanc</t>
  </si>
  <si>
    <t>Chung</t>
  </si>
  <si>
    <t>Laroche</t>
  </si>
  <si>
    <t>Castano</t>
  </si>
  <si>
    <t>Pandya</t>
  </si>
  <si>
    <t>Mozeb</t>
  </si>
  <si>
    <t>Bamaca</t>
  </si>
  <si>
    <t>Munoz</t>
  </si>
  <si>
    <t>Mooren</t>
  </si>
  <si>
    <t>Poteat</t>
  </si>
  <si>
    <t>carlesimo</t>
  </si>
  <si>
    <t>Sosa</t>
  </si>
  <si>
    <t>Choy</t>
  </si>
  <si>
    <t>Fogarthy</t>
  </si>
  <si>
    <t>Hong</t>
  </si>
  <si>
    <t>Balletta</t>
  </si>
  <si>
    <t>Choe</t>
  </si>
  <si>
    <t>Guzman</t>
  </si>
  <si>
    <t>Ramos Ceballos</t>
  </si>
  <si>
    <t>Thompson-Dean Bailey</t>
  </si>
  <si>
    <t>Nesbitt</t>
  </si>
  <si>
    <t>Hartley</t>
  </si>
  <si>
    <t>Nussbaum</t>
  </si>
  <si>
    <t>Vargas</t>
  </si>
  <si>
    <t>Danenhower</t>
  </si>
  <si>
    <t>Hewitt</t>
  </si>
  <si>
    <t>Browne</t>
  </si>
  <si>
    <t>McCall</t>
  </si>
  <si>
    <t>Bowens-Lamar</t>
  </si>
  <si>
    <t>Jurado-Laboy</t>
  </si>
  <si>
    <t>Price</t>
  </si>
  <si>
    <t>Roche</t>
  </si>
  <si>
    <t>Despinosse</t>
  </si>
  <si>
    <t>Scott-Biris</t>
  </si>
  <si>
    <t>Almonor</t>
  </si>
  <si>
    <t>Werts</t>
  </si>
  <si>
    <t>Valentin</t>
  </si>
  <si>
    <t>Henriquez</t>
  </si>
  <si>
    <t>Piper</t>
  </si>
  <si>
    <t>Vanible</t>
  </si>
  <si>
    <t>Dickey</t>
  </si>
  <si>
    <t>Parken</t>
  </si>
  <si>
    <t>Mays</t>
  </si>
  <si>
    <t>Beltre</t>
  </si>
  <si>
    <t>Middleton</t>
  </si>
  <si>
    <t>Galvez</t>
  </si>
  <si>
    <t>Reeves</t>
  </si>
  <si>
    <t>Ledesma</t>
  </si>
  <si>
    <t>Palmer</t>
  </si>
  <si>
    <t>Gil</t>
  </si>
  <si>
    <t>Cornelius</t>
  </si>
  <si>
    <t>Farrell</t>
  </si>
  <si>
    <t>Irizarry</t>
  </si>
  <si>
    <t>Cervantes</t>
  </si>
  <si>
    <t>Doumbouya</t>
  </si>
  <si>
    <t>Camara</t>
  </si>
  <si>
    <t>Mata</t>
  </si>
  <si>
    <t>Gottlieb</t>
  </si>
  <si>
    <t>Doumbia</t>
  </si>
  <si>
    <t>Rondon</t>
  </si>
  <si>
    <t>Sylvster</t>
  </si>
  <si>
    <t>Soumahoro</t>
  </si>
  <si>
    <t>Ye</t>
  </si>
  <si>
    <t>Diakite</t>
  </si>
  <si>
    <t>Martillo Cruz</t>
  </si>
  <si>
    <t>Quiles</t>
  </si>
  <si>
    <t>Bermudez</t>
  </si>
  <si>
    <t>Huang</t>
  </si>
  <si>
    <t>Rosas</t>
  </si>
  <si>
    <t>Padilla</t>
  </si>
  <si>
    <t>Santini</t>
  </si>
  <si>
    <t>Lino</t>
  </si>
  <si>
    <t>Serby</t>
  </si>
  <si>
    <t>Sperraza</t>
  </si>
  <si>
    <t>Ramdath</t>
  </si>
  <si>
    <t>Gay Campbell</t>
  </si>
  <si>
    <t>Carbucia</t>
  </si>
  <si>
    <t>Polk</t>
  </si>
  <si>
    <t>McCool</t>
  </si>
  <si>
    <t>Vanable</t>
  </si>
  <si>
    <t>Bennett</t>
  </si>
  <si>
    <t>Swaray</t>
  </si>
  <si>
    <t>Copeland</t>
  </si>
  <si>
    <t>Larossa</t>
  </si>
  <si>
    <t>Gregoire</t>
  </si>
  <si>
    <t>Sham</t>
  </si>
  <si>
    <t>Inciarrano</t>
  </si>
  <si>
    <t>Armstrong</t>
  </si>
  <si>
    <t>Rock</t>
  </si>
  <si>
    <t>Gregg</t>
  </si>
  <si>
    <t>Richardson</t>
  </si>
  <si>
    <t>Loumsby</t>
  </si>
  <si>
    <t>Seongbae</t>
  </si>
  <si>
    <t>Swain</t>
  </si>
  <si>
    <t>Gual</t>
  </si>
  <si>
    <t>Byrum</t>
  </si>
  <si>
    <t>Espinal</t>
  </si>
  <si>
    <t>Prescott</t>
  </si>
  <si>
    <t>Robletto</t>
  </si>
  <si>
    <t>Portuondo</t>
  </si>
  <si>
    <t>Romero</t>
  </si>
  <si>
    <t>Carlucci</t>
  </si>
  <si>
    <t>Hinds</t>
  </si>
  <si>
    <t>Coello</t>
  </si>
  <si>
    <t>Fitzgerald</t>
  </si>
  <si>
    <t>Willmorth</t>
  </si>
  <si>
    <t>Wojtylak</t>
  </si>
  <si>
    <t>Fragoso</t>
  </si>
  <si>
    <t>Zarate</t>
  </si>
  <si>
    <t>Vlado</t>
  </si>
  <si>
    <t>Skloot</t>
  </si>
  <si>
    <t>Marrero</t>
  </si>
  <si>
    <t>Gorham</t>
  </si>
  <si>
    <t>Weinstein</t>
  </si>
  <si>
    <t>Bozek</t>
  </si>
  <si>
    <t>Fuller</t>
  </si>
  <si>
    <t>Irizarry-Jacobs</t>
  </si>
  <si>
    <t>Sykes</t>
  </si>
  <si>
    <t>De Rojas</t>
  </si>
  <si>
    <t>Romain</t>
  </si>
  <si>
    <t>Morningstar</t>
  </si>
  <si>
    <t>Soukamneuth</t>
  </si>
  <si>
    <t>Walkes</t>
  </si>
  <si>
    <t>Daley</t>
  </si>
  <si>
    <t>Sena</t>
  </si>
  <si>
    <t>Savattere</t>
  </si>
  <si>
    <t>Christinis</t>
  </si>
  <si>
    <t>Davila</t>
  </si>
  <si>
    <t>Frazier</t>
  </si>
  <si>
    <t>Pestano</t>
  </si>
  <si>
    <t>Carrington</t>
  </si>
  <si>
    <t>Villanueva</t>
  </si>
  <si>
    <t>Hines</t>
  </si>
  <si>
    <t>Rosas-Mejia</t>
  </si>
  <si>
    <t>6110 Beach Front Rd</t>
  </si>
  <si>
    <t>67 W 107th St</t>
  </si>
  <si>
    <t>98 W 183rd St</t>
  </si>
  <si>
    <t>655 W 160th St</t>
  </si>
  <si>
    <t>14 Thayer St</t>
  </si>
  <si>
    <t>556 W 181st St</t>
  </si>
  <si>
    <t>707 W 171st St</t>
  </si>
  <si>
    <t>516 W 156th St</t>
  </si>
  <si>
    <t>562 Bainbridge St</t>
  </si>
  <si>
    <t>2071 Walton Ave</t>
  </si>
  <si>
    <t>1765 Townsend Ave</t>
  </si>
  <si>
    <t>63 Rockaway Pkwy</t>
  </si>
  <si>
    <t>506 Decatur St</t>
  </si>
  <si>
    <t>2111 Southern Blvd</t>
  </si>
  <si>
    <t>1015 E 179th st</t>
  </si>
  <si>
    <t>5707 Shore Front Pkwy # Pwy</t>
  </si>
  <si>
    <t>14435 37th Ave</t>
  </si>
  <si>
    <t>3428 44th St</t>
  </si>
  <si>
    <t>13418 133rd Ave</t>
  </si>
  <si>
    <t>14750 72nd Dr</t>
  </si>
  <si>
    <t>19215 A 64th Cir</t>
  </si>
  <si>
    <t>5124 Beach Channel Dr</t>
  </si>
  <si>
    <t>333 Beach 32nd St</t>
  </si>
  <si>
    <t>4410 30th Ave</t>
  </si>
  <si>
    <t>3114 42nd St</t>
  </si>
  <si>
    <t>1730 Taylor Ave</t>
  </si>
  <si>
    <t>13912 34th Rd</t>
  </si>
  <si>
    <t>14809 Northern Blvd</t>
  </si>
  <si>
    <t>8903 146th St</t>
  </si>
  <si>
    <t>15754 21st Ave</t>
  </si>
  <si>
    <t>18364 Dunlop Ave</t>
  </si>
  <si>
    <t>10306 Remington St</t>
  </si>
  <si>
    <t>9724 93rd St</t>
  </si>
  <si>
    <t>20 Richmind Plaza</t>
  </si>
  <si>
    <t>10 Kimberly Ln</t>
  </si>
  <si>
    <t>2375 Southern Blvd</t>
  </si>
  <si>
    <t>1111 Gerard Ave</t>
  </si>
  <si>
    <t>444 State St</t>
  </si>
  <si>
    <t>1447 Gipson St</t>
  </si>
  <si>
    <t>8 W 169th St</t>
  </si>
  <si>
    <t>1269 Grand Concourse</t>
  </si>
  <si>
    <t>620 Baychester Ave</t>
  </si>
  <si>
    <t>4754 Richardson Ave</t>
  </si>
  <si>
    <t>1080 Anderson Ave</t>
  </si>
  <si>
    <t>655 Morris Ave</t>
  </si>
  <si>
    <t>1679 Southern Blvd</t>
  </si>
  <si>
    <t>2260 Webster Ave</t>
  </si>
  <si>
    <t>1415 Wythe Pl</t>
  </si>
  <si>
    <t>915 Kelly St</t>
  </si>
  <si>
    <t>1204 Shakespeare Ave</t>
  </si>
  <si>
    <t>1777 Grand Concourse</t>
  </si>
  <si>
    <t>1892 Andrews Ave</t>
  </si>
  <si>
    <t>901 Walton Ave</t>
  </si>
  <si>
    <t>205 Avenue C</t>
  </si>
  <si>
    <t>124 E 117th St</t>
  </si>
  <si>
    <t>1 Jacobus Pl</t>
  </si>
  <si>
    <t>600 W 186th St</t>
  </si>
  <si>
    <t>363 E 163rd St</t>
  </si>
  <si>
    <t>200 Haven ave</t>
  </si>
  <si>
    <t>554 W 181st St</t>
  </si>
  <si>
    <t>200 Haven Ave</t>
  </si>
  <si>
    <t>117 Sherman Ave</t>
  </si>
  <si>
    <t>520 Isham St</t>
  </si>
  <si>
    <t>121 Seaman Ave</t>
  </si>
  <si>
    <t>45 Pinehurst Ave</t>
  </si>
  <si>
    <t>1370 Saint Nicholas Ave</t>
  </si>
  <si>
    <t>119 Vermilyea Ave</t>
  </si>
  <si>
    <t>38 Post Avenue</t>
  </si>
  <si>
    <t>22 Post Ave</t>
  </si>
  <si>
    <t>1781 Riverside Dr</t>
  </si>
  <si>
    <t>248 Audubon Ave</t>
  </si>
  <si>
    <t>449 W 206th St</t>
  </si>
  <si>
    <t>1769 Vyse Ave</t>
  </si>
  <si>
    <t>165 W 169th St</t>
  </si>
  <si>
    <t>180 Broad St</t>
  </si>
  <si>
    <t>64 Austin Ave</t>
  </si>
  <si>
    <t>93 Scribner Ave</t>
  </si>
  <si>
    <t>4709 White Plains Rd</t>
  </si>
  <si>
    <t>8 Navy Pier Ct</t>
  </si>
  <si>
    <t>119 Shotwell Ave</t>
  </si>
  <si>
    <t>185 Park Hill Ave</t>
  </si>
  <si>
    <t>476 Vanderbilt Ave</t>
  </si>
  <si>
    <t>530 Exterior St</t>
  </si>
  <si>
    <t>426 Harold Ave</t>
  </si>
  <si>
    <t>1220 Shakespeare Ave</t>
  </si>
  <si>
    <t>2018 Monterey Ave</t>
  </si>
  <si>
    <t>1050 Anderson Ave</t>
  </si>
  <si>
    <t>949 Ogden Ave</t>
  </si>
  <si>
    <t>101 Hastings St</t>
  </si>
  <si>
    <t>6 E 167th St</t>
  </si>
  <si>
    <t>147 Scribner Ave</t>
  </si>
  <si>
    <t>30 Daniel Low Ter</t>
  </si>
  <si>
    <t>1000 Anderson Ave</t>
  </si>
  <si>
    <t>122 Hamilton Ave</t>
  </si>
  <si>
    <t>563 Cauldwell Ave</t>
  </si>
  <si>
    <t>25 Bond St</t>
  </si>
  <si>
    <t>1880 Valentine Ave</t>
  </si>
  <si>
    <t>3405 Putnam Pl</t>
  </si>
  <si>
    <t>355 E 187TH ST</t>
  </si>
  <si>
    <t>1515 Selwyn Ave</t>
  </si>
  <si>
    <t>4325 Hunter St</t>
  </si>
  <si>
    <t>9428 86th Rd</t>
  </si>
  <si>
    <t>45 Twin Pines Dr</t>
  </si>
  <si>
    <t>2111 Lafontaine Ave</t>
  </si>
  <si>
    <t>2985 Botanical Sq</t>
  </si>
  <si>
    <t>1615 Walton Ave</t>
  </si>
  <si>
    <t>1475 Sheridan Ave</t>
  </si>
  <si>
    <t>1460 Sterling Pl</t>
  </si>
  <si>
    <t>1782 Bergen st</t>
  </si>
  <si>
    <t>39 Hegeman Ave</t>
  </si>
  <si>
    <t>769 Bryant Ave</t>
  </si>
  <si>
    <t>555 14th Street</t>
  </si>
  <si>
    <t>950 Aldus St</t>
  </si>
  <si>
    <t>866 E 178th St</t>
  </si>
  <si>
    <t>1541 Williamsbridge Rd</t>
  </si>
  <si>
    <t>180 E 18th St</t>
  </si>
  <si>
    <t>779 4th Ave</t>
  </si>
  <si>
    <t>293 Martense St</t>
  </si>
  <si>
    <t>310 E 25th St</t>
  </si>
  <si>
    <t>693 Flatbush Ave</t>
  </si>
  <si>
    <t>300 10th St</t>
  </si>
  <si>
    <t>217 Van Brunt St</t>
  </si>
  <si>
    <t>233 E 92nd St</t>
  </si>
  <si>
    <t>9427 Kings Hwy</t>
  </si>
  <si>
    <t>792 Sterling Pl</t>
  </si>
  <si>
    <t>327 Franklin Ave</t>
  </si>
  <si>
    <t>899 Montgomery St</t>
  </si>
  <si>
    <t>257 Mother Gaston Blvd</t>
  </si>
  <si>
    <t>211 W 101st St</t>
  </si>
  <si>
    <t>1129 43rd St</t>
  </si>
  <si>
    <t>50 Linden Blvd</t>
  </si>
  <si>
    <t>1857 Coney Island Ave</t>
  </si>
  <si>
    <t>3413 Avenue H</t>
  </si>
  <si>
    <t>483 Pacific St</t>
  </si>
  <si>
    <t>1895 Morris Ave</t>
  </si>
  <si>
    <t>501 Hegeman Ave</t>
  </si>
  <si>
    <t>216 Rockaway Ave</t>
  </si>
  <si>
    <t>2170 Univ Ave</t>
  </si>
  <si>
    <t>2238 Morris Ave</t>
  </si>
  <si>
    <t>110 E 176th St</t>
  </si>
  <si>
    <t>2083 Creston Ave</t>
  </si>
  <si>
    <t>3063 Buhre Ave</t>
  </si>
  <si>
    <t>2705 Marion Ave</t>
  </si>
  <si>
    <t>275 E Gun Hill Rd</t>
  </si>
  <si>
    <t>675 Lincoln Ave</t>
  </si>
  <si>
    <t>790 Eldert Ln</t>
  </si>
  <si>
    <t>1661 Saint Johns Pl</t>
  </si>
  <si>
    <t>1920 Union St</t>
  </si>
  <si>
    <t>1165 Elton St</t>
  </si>
  <si>
    <t>145 Elmira Loop</t>
  </si>
  <si>
    <t>1711 Fulton St</t>
  </si>
  <si>
    <t>110 Chauncey st</t>
  </si>
  <si>
    <t>9507 Kings Hwy</t>
  </si>
  <si>
    <t>226 W Tremont Ave</t>
  </si>
  <si>
    <t>1153 Grand Concourse</t>
  </si>
  <si>
    <t>215 E 164th St</t>
  </si>
  <si>
    <t>1954 1st Ave</t>
  </si>
  <si>
    <t>454 E 119th St</t>
  </si>
  <si>
    <t>2305 2nd Ave</t>
  </si>
  <si>
    <t>13 E 124th St</t>
  </si>
  <si>
    <t>1652 Park Ave</t>
  </si>
  <si>
    <t>51 E 129th St</t>
  </si>
  <si>
    <t>152 E 84th St</t>
  </si>
  <si>
    <t>1933 Fulton St</t>
  </si>
  <si>
    <t>666 Dumont Ave</t>
  </si>
  <si>
    <t>311 E 193rd St</t>
  </si>
  <si>
    <t>785 Belmont Ave</t>
  </si>
  <si>
    <t>393 Montauk Ave</t>
  </si>
  <si>
    <t>54 Bristol St</t>
  </si>
  <si>
    <t>880 Tinton Ave</t>
  </si>
  <si>
    <t>1221 Sheridan Ave</t>
  </si>
  <si>
    <t>409 Saratoga Ave</t>
  </si>
  <si>
    <t>1197 Grand Concourse</t>
  </si>
  <si>
    <t>168 E 93rd St</t>
  </si>
  <si>
    <t>642 Eldert Ln</t>
  </si>
  <si>
    <t>269 E Burnside Ave</t>
  </si>
  <si>
    <t>174 Riverdale Ave</t>
  </si>
  <si>
    <t>985 Halsey St</t>
  </si>
  <si>
    <t>985 Halsey st</t>
  </si>
  <si>
    <t>420 Watkins St</t>
  </si>
  <si>
    <t>498 Vermont St</t>
  </si>
  <si>
    <t>381 Sumpter St</t>
  </si>
  <si>
    <t>643 Thieriot Ave</t>
  </si>
  <si>
    <t>540 East 183rd Street</t>
  </si>
  <si>
    <t>4011 149th St</t>
  </si>
  <si>
    <t>417 Pennsylvania Ave</t>
  </si>
  <si>
    <t>1452 Beach Ave</t>
  </si>
  <si>
    <t>280 Etna St</t>
  </si>
  <si>
    <t>2066 Morris Ave</t>
  </si>
  <si>
    <t>135 Terrace View Ave</t>
  </si>
  <si>
    <t>2825 Grand Concourse</t>
  </si>
  <si>
    <t>2714 Frederick Douglass Blvd</t>
  </si>
  <si>
    <t>168 1st Ave</t>
  </si>
  <si>
    <t>22 W 25th St</t>
  </si>
  <si>
    <t>1468 5th Ave</t>
  </si>
  <si>
    <t>5 Saint Marks Pl</t>
  </si>
  <si>
    <t>427 Fort Washington Ave</t>
  </si>
  <si>
    <t>266 Nagle Ave</t>
  </si>
  <si>
    <t>100 Belmont Pl</t>
  </si>
  <si>
    <t>225 Park Hill Ave</t>
  </si>
  <si>
    <t>745 E 242nd St</t>
  </si>
  <si>
    <t>185 Saint Marks Pl</t>
  </si>
  <si>
    <t>408 Lincoln Ave</t>
  </si>
  <si>
    <t>231 Steuben St</t>
  </si>
  <si>
    <t>817 Union Ave</t>
  </si>
  <si>
    <t>142 Hillcrest Ter</t>
  </si>
  <si>
    <t>2099 Forest Ave</t>
  </si>
  <si>
    <t>240 Park Hill Ave</t>
  </si>
  <si>
    <t>235b Jersey St</t>
  </si>
  <si>
    <t>385 Chestnut St</t>
  </si>
  <si>
    <t>558 Ralph Ave</t>
  </si>
  <si>
    <t>1940 Pacific St</t>
  </si>
  <si>
    <t>1711 Morris Ave</t>
  </si>
  <si>
    <t>624 Howard Ave</t>
  </si>
  <si>
    <t>720 Belmont Ave</t>
  </si>
  <si>
    <t>1030 Carroll St</t>
  </si>
  <si>
    <t>2323 Walton Ave</t>
  </si>
  <si>
    <t>210 Clinton Ave</t>
  </si>
  <si>
    <t>2175 Ryer Ave</t>
  </si>
  <si>
    <t>1015 Washington Ave</t>
  </si>
  <si>
    <t>2545 Linden Blvd</t>
  </si>
  <si>
    <t>482 Nostrand Ave</t>
  </si>
  <si>
    <t>480 E 23rd St</t>
  </si>
  <si>
    <t>30 Richman Plz</t>
  </si>
  <si>
    <t>271 Arlington Ave</t>
  </si>
  <si>
    <t>1944 Mcgraw Ave</t>
  </si>
  <si>
    <t>1504 Sheridan Ave</t>
  </si>
  <si>
    <t>40 Richman Plz</t>
  </si>
  <si>
    <t>Po Box 6399</t>
  </si>
  <si>
    <t>711a Seagirt Ave</t>
  </si>
  <si>
    <t>479 Pennsylvania Ave</t>
  </si>
  <si>
    <t>1132 Loring Ave</t>
  </si>
  <si>
    <t>984 Halsey St</t>
  </si>
  <si>
    <t>490 Ocean Parkway</t>
  </si>
  <si>
    <t>8 Rutland Rd</t>
  </si>
  <si>
    <t>490 Ocean Pkwy</t>
  </si>
  <si>
    <t>15 B Dwight Street</t>
  </si>
  <si>
    <t>611 Flatbush Ave</t>
  </si>
  <si>
    <t>607 Flatbush Ave</t>
  </si>
  <si>
    <t>959 Hegeman Ave</t>
  </si>
  <si>
    <t>345 E 83rd St</t>
  </si>
  <si>
    <t>1920 Union ST</t>
  </si>
  <si>
    <t>222 Sheridan Ave</t>
  </si>
  <si>
    <t>984 Glenmore Ave</t>
  </si>
  <si>
    <t>1411 Linden Blvd</t>
  </si>
  <si>
    <t>353 Chester St</t>
  </si>
  <si>
    <t>241 Schenck Ave</t>
  </si>
  <si>
    <t>14 prospect ave</t>
  </si>
  <si>
    <t>536 E 96th St</t>
  </si>
  <si>
    <t>232 Schenectady Ave</t>
  </si>
  <si>
    <t>115 Ocean Ave</t>
  </si>
  <si>
    <t>152 Marcus Garvey Blvd</t>
  </si>
  <si>
    <t>1752 Sterling Pl</t>
  </si>
  <si>
    <t>1490 Boone Ave</t>
  </si>
  <si>
    <t>941 Jerome ave</t>
  </si>
  <si>
    <t>737 Southern Blvd</t>
  </si>
  <si>
    <t>3572 Dekalb Ave</t>
  </si>
  <si>
    <t>629 E 3rd St</t>
  </si>
  <si>
    <t>466 Alabama Ave</t>
  </si>
  <si>
    <t>433 Halsey St</t>
  </si>
  <si>
    <t>360 E 166th St</t>
  </si>
  <si>
    <t>941 Jerome Ave</t>
  </si>
  <si>
    <t>1460 Pennsylvania Ave</t>
  </si>
  <si>
    <t>74 Eldert st</t>
  </si>
  <si>
    <t>135 E 149th St</t>
  </si>
  <si>
    <t>899 Westchester Ave</t>
  </si>
  <si>
    <t>227 Lott Ave</t>
  </si>
  <si>
    <t>567 Macon St</t>
  </si>
  <si>
    <t>257 Linden St</t>
  </si>
  <si>
    <t>765 lincoln ave</t>
  </si>
  <si>
    <t>1534 Selwyn Ave</t>
  </si>
  <si>
    <t>3534 Bronx Blvd</t>
  </si>
  <si>
    <t>92 Crystal St</t>
  </si>
  <si>
    <t>1049 Grand Concourse</t>
  </si>
  <si>
    <t>95 W 162nd St</t>
  </si>
  <si>
    <t>420 Saint Marks Pl</t>
  </si>
  <si>
    <t>1972 Walton Ave</t>
  </si>
  <si>
    <t>205 Sumpter St</t>
  </si>
  <si>
    <t>1215 Grand Concourse</t>
  </si>
  <si>
    <t>1210 Elder Ave</t>
  </si>
  <si>
    <t>1855 Monroe Ave</t>
  </si>
  <si>
    <t>1954 Loring Pl S</t>
  </si>
  <si>
    <t>1521 Sheridan Ave</t>
  </si>
  <si>
    <t>2183 Washington Ave</t>
  </si>
  <si>
    <t>468 City Island Ave</t>
  </si>
  <si>
    <t>329 Beach 70th St</t>
  </si>
  <si>
    <t>2061 20th St</t>
  </si>
  <si>
    <t>9863 Corona Ave</t>
  </si>
  <si>
    <t>2919 Lewmay Rd</t>
  </si>
  <si>
    <t>2099 Bergen St</t>
  </si>
  <si>
    <t>13235 Sanford Ave</t>
  </si>
  <si>
    <t>14445 35th Ave</t>
  </si>
  <si>
    <t>3750 81st St</t>
  </si>
  <si>
    <t>10921 Van Wyck Expy</t>
  </si>
  <si>
    <t>3432 43rd ST</t>
  </si>
  <si>
    <t>13146 Laurelton Pkwy</t>
  </si>
  <si>
    <t>2574 Bedford Ave</t>
  </si>
  <si>
    <t>4308 40th St</t>
  </si>
  <si>
    <t>4516 49th St</t>
  </si>
  <si>
    <t>4706 49th St</t>
  </si>
  <si>
    <t>4536 49th St</t>
  </si>
  <si>
    <t>5929 Queens Blvd</t>
  </si>
  <si>
    <t>96 Baxter St</t>
  </si>
  <si>
    <t>33 Henry St</t>
  </si>
  <si>
    <t>3310 Bayview Ave</t>
  </si>
  <si>
    <t>315 Pulaski St</t>
  </si>
  <si>
    <t>1302 Newkirk Ave</t>
  </si>
  <si>
    <t>316 Troutman St</t>
  </si>
  <si>
    <t>973 Saint Marks Ave</t>
  </si>
  <si>
    <t>95 Clinton St</t>
  </si>
  <si>
    <t>975 42nd St</t>
  </si>
  <si>
    <t>1336 Herkimer St</t>
  </si>
  <si>
    <t>1760 Madison Ave</t>
  </si>
  <si>
    <t>127 E 107th St</t>
  </si>
  <si>
    <t>167 W 83rd St</t>
  </si>
  <si>
    <t>88 Seaman Ave</t>
  </si>
  <si>
    <t>2999 8th Ave</t>
  </si>
  <si>
    <t>753 Macon St</t>
  </si>
  <si>
    <t>2108 Amsterdam Ave</t>
  </si>
  <si>
    <t>336 E 117th St</t>
  </si>
  <si>
    <t>517 W 160th St</t>
  </si>
  <si>
    <t>500 W 213th St</t>
  </si>
  <si>
    <t>5763 wadsworth terrace</t>
  </si>
  <si>
    <t>502 W 213th St</t>
  </si>
  <si>
    <t>966 Saint Nicholas Ave</t>
  </si>
  <si>
    <t>257 Marion St</t>
  </si>
  <si>
    <t>1122 Herkimer St</t>
  </si>
  <si>
    <t>701 Bay St</t>
  </si>
  <si>
    <t>555 Lincoln Ave</t>
  </si>
  <si>
    <t>268a Jersey St</t>
  </si>
  <si>
    <t>566 Parkside Ave</t>
  </si>
  <si>
    <t>19 Steuben St</t>
  </si>
  <si>
    <t>20 Sky Ln</t>
  </si>
  <si>
    <t>87 Taft Ave</t>
  </si>
  <si>
    <t>329 Beach 86th St</t>
  </si>
  <si>
    <t>3433 30th St</t>
  </si>
  <si>
    <t>731 LInden blvd</t>
  </si>
  <si>
    <t>48 Van Siclen Ave</t>
  </si>
  <si>
    <t>7002 Parsons Blvd</t>
  </si>
  <si>
    <t>7110 34th Ave</t>
  </si>
  <si>
    <t>16836 88th Ave</t>
  </si>
  <si>
    <t>3805 Crescent St</t>
  </si>
  <si>
    <t>9407 75th St</t>
  </si>
  <si>
    <t>6570 Booth St</t>
  </si>
  <si>
    <t>879 Cypress Ave</t>
  </si>
  <si>
    <t>1705 Stanhope St</t>
  </si>
  <si>
    <t>2168 Fulton St</t>
  </si>
  <si>
    <t>11560 204th St</t>
  </si>
  <si>
    <t>11539 135th St</t>
  </si>
  <si>
    <t>14920 124th St</t>
  </si>
  <si>
    <t>4115 50th Ave</t>
  </si>
  <si>
    <t>5024 31st Ave</t>
  </si>
  <si>
    <t>4135 53rd St</t>
  </si>
  <si>
    <t>478 Herzl St</t>
  </si>
  <si>
    <t>40 N 4th St</t>
  </si>
  <si>
    <t>125 Beach 17th St</t>
  </si>
  <si>
    <t>316 Stuyvesant Ave</t>
  </si>
  <si>
    <t>19619 Jamaica Ave</t>
  </si>
  <si>
    <t>3721 80th St</t>
  </si>
  <si>
    <t>11618 147th St</t>
  </si>
  <si>
    <t>107-04 Liverpool Street</t>
  </si>
  <si>
    <t>10704 Liverpool St</t>
  </si>
  <si>
    <t>8822 Parsons Blvd</t>
  </si>
  <si>
    <t>11814 83rd Ave</t>
  </si>
  <si>
    <t>9102 Sutter Ave</t>
  </si>
  <si>
    <t>12514 Jamaica Ave</t>
  </si>
  <si>
    <t>10436 196th St</t>
  </si>
  <si>
    <t>226 Naples Ter</t>
  </si>
  <si>
    <t>674 Academy St</t>
  </si>
  <si>
    <t>96 Linwood St</t>
  </si>
  <si>
    <t>63 A Lewis Ave</t>
  </si>
  <si>
    <t>557 Bradford St</t>
  </si>
  <si>
    <t>89 Seaman Ave</t>
  </si>
  <si>
    <t>95 Seaman Ave</t>
  </si>
  <si>
    <t>101 Post Ave</t>
  </si>
  <si>
    <t>615 W 164th St</t>
  </si>
  <si>
    <t>1795 Riverside Dr</t>
  </si>
  <si>
    <t>595 W 207th St</t>
  </si>
  <si>
    <t>521 W 186th St</t>
  </si>
  <si>
    <t>521 Fort Washington Ave</t>
  </si>
  <si>
    <t>90 Downing St</t>
  </si>
  <si>
    <t>358 Knickerbocker Ave</t>
  </si>
  <si>
    <t>668 Brooklyn Ave</t>
  </si>
  <si>
    <t>95 Linden Blvd</t>
  </si>
  <si>
    <t>643 Central Ave</t>
  </si>
  <si>
    <t>1004 Montgomery st</t>
  </si>
  <si>
    <t>1873 Park Pl</t>
  </si>
  <si>
    <t>2092 Dean St</t>
  </si>
  <si>
    <t>113 Nassau St</t>
  </si>
  <si>
    <t>30 Sickles St</t>
  </si>
  <si>
    <t>645 W 160th St</t>
  </si>
  <si>
    <t>529 W 189th St</t>
  </si>
  <si>
    <t>2374 Amsterdam Ave</t>
  </si>
  <si>
    <t>598 W 191st St</t>
  </si>
  <si>
    <t>670 W 193rd St</t>
  </si>
  <si>
    <t>116 Seaman Ave</t>
  </si>
  <si>
    <t>4455 Broadway</t>
  </si>
  <si>
    <t>136 Seaman Ave</t>
  </si>
  <si>
    <t>15 Post ave</t>
  </si>
  <si>
    <t>1130 Grassmere Ter</t>
  </si>
  <si>
    <t>26204 Hungry Harbor Rd</t>
  </si>
  <si>
    <t>14144 182nd St</t>
  </si>
  <si>
    <t>46 Sullivan St</t>
  </si>
  <si>
    <t>11609 Francis Lewis Blvd</t>
  </si>
  <si>
    <t>2510 Collier Ave</t>
  </si>
  <si>
    <t>13324 Sanford Ave</t>
  </si>
  <si>
    <t>6729 Kissena Blvd</t>
  </si>
  <si>
    <t>485 12th St</t>
  </si>
  <si>
    <t>6115 163rd St</t>
  </si>
  <si>
    <t>8912 183rd St</t>
  </si>
  <si>
    <t>8607 101st St</t>
  </si>
  <si>
    <t>1 Beach 105th St</t>
  </si>
  <si>
    <t>14911 Edgewood St</t>
  </si>
  <si>
    <t>207 Park Pl</t>
  </si>
  <si>
    <t>5039 61st St</t>
  </si>
  <si>
    <t>21 Truxton St</t>
  </si>
  <si>
    <t>201 E 18th St</t>
  </si>
  <si>
    <t>1096 President St</t>
  </si>
  <si>
    <t>495 Sterling Pl</t>
  </si>
  <si>
    <t>120 E 19th St</t>
  </si>
  <si>
    <t>100 W 83rd St</t>
  </si>
  <si>
    <t>38 6th Ave</t>
  </si>
  <si>
    <t>19523 Station Rd</t>
  </si>
  <si>
    <t>240 E 194th St</t>
  </si>
  <si>
    <t>2575 Jerome Ave</t>
  </si>
  <si>
    <t>1434 Ogden Ave</t>
  </si>
  <si>
    <t>1011 Sheridan Ave</t>
  </si>
  <si>
    <t>35 E Clarke Pl</t>
  </si>
  <si>
    <t>888 Grand Concourse</t>
  </si>
  <si>
    <t>2025 Valentine Ave</t>
  </si>
  <si>
    <t>250 E 178th St</t>
  </si>
  <si>
    <t>2001 Morris Ave</t>
  </si>
  <si>
    <t>P.O Box 689</t>
  </si>
  <si>
    <t>80 Bruckner Blvd</t>
  </si>
  <si>
    <t>310 Alexander Ave</t>
  </si>
  <si>
    <t>1520 Sedgwick Ave</t>
  </si>
  <si>
    <t>1191 Boston Rd</t>
  </si>
  <si>
    <t>490 E 189th St</t>
  </si>
  <si>
    <t>2060 Crotona Pkwy</t>
  </si>
  <si>
    <t>108 E Clarke Pl</t>
  </si>
  <si>
    <t>2337 Ellis Ave</t>
  </si>
  <si>
    <t>1495 Grand Concourse</t>
  </si>
  <si>
    <t>140 17th St</t>
  </si>
  <si>
    <t>100 Pulaski St</t>
  </si>
  <si>
    <t>205 Montrose Ave</t>
  </si>
  <si>
    <t>1060 Sheridan Ave</t>
  </si>
  <si>
    <t>1311 Merriam Ave</t>
  </si>
  <si>
    <t>468 Gates Ave</t>
  </si>
  <si>
    <t>1098 Grant Ave</t>
  </si>
  <si>
    <t>315 E 167th St</t>
  </si>
  <si>
    <t>811 Saint Johns Pl</t>
  </si>
  <si>
    <t>840 E 8th St</t>
  </si>
  <si>
    <t>553 McDonald Ave</t>
  </si>
  <si>
    <t>1798 Bedford Ave</t>
  </si>
  <si>
    <t>2010 Newkirk Ave</t>
  </si>
  <si>
    <t>1417 70th St</t>
  </si>
  <si>
    <t>45 Shepherd Ave</t>
  </si>
  <si>
    <t>132 17th St</t>
  </si>
  <si>
    <t>2483 W 16th St</t>
  </si>
  <si>
    <t>3510 Bainbridge Ave</t>
  </si>
  <si>
    <t>5706 Farragut Rd</t>
  </si>
  <si>
    <t>540 E 23rd St</t>
  </si>
  <si>
    <t>509 Flatbush Ave</t>
  </si>
  <si>
    <t>572 Manhattan Ave</t>
  </si>
  <si>
    <t>810 E 35th St</t>
  </si>
  <si>
    <t>9720 Kings Hwy</t>
  </si>
  <si>
    <t>395 Autumn Ave</t>
  </si>
  <si>
    <t>532 Bradford St</t>
  </si>
  <si>
    <t>738 Bradford St</t>
  </si>
  <si>
    <t>1118 Winthrop St</t>
  </si>
  <si>
    <t>13 Columbus Pl</t>
  </si>
  <si>
    <t>2573 Atlantic Ave</t>
  </si>
  <si>
    <t>65 Willoughby Ave</t>
  </si>
  <si>
    <t>1315 Eastern Pkwy</t>
  </si>
  <si>
    <t>553 58th St</t>
  </si>
  <si>
    <t>890 Flushing Ave</t>
  </si>
  <si>
    <t>206 Newport St</t>
  </si>
  <si>
    <t>455 Decatur St</t>
  </si>
  <si>
    <t>780 Macdonough St</t>
  </si>
  <si>
    <t>1370 Eastern Pkwy</t>
  </si>
  <si>
    <t>295A Bainbridge St</t>
  </si>
  <si>
    <t>903 Drew St</t>
  </si>
  <si>
    <t>699 Pennsylvania Ave</t>
  </si>
  <si>
    <t>74 5th ave</t>
  </si>
  <si>
    <t>200 Schermerhorn St</t>
  </si>
  <si>
    <t>2160 dean st</t>
  </si>
  <si>
    <t>372 New York Ave</t>
  </si>
  <si>
    <t>1314 Eastern Pkwy</t>
  </si>
  <si>
    <t>394 E 98th St</t>
  </si>
  <si>
    <t>2070 Union St</t>
  </si>
  <si>
    <t>1743 Prospect Pl</t>
  </si>
  <si>
    <t>1036 President St</t>
  </si>
  <si>
    <t>68 MacDougal St</t>
  </si>
  <si>
    <t>711 Herkimer St</t>
  </si>
  <si>
    <t>490 E 23rd St</t>
  </si>
  <si>
    <t>4513 10th Ave</t>
  </si>
  <si>
    <t>6623 Ridge Blvd</t>
  </si>
  <si>
    <t>25 utica Ave</t>
  </si>
  <si>
    <t>961 42nd St</t>
  </si>
  <si>
    <t>249 Thomas S Boyland St</t>
  </si>
  <si>
    <t>455 101st St</t>
  </si>
  <si>
    <t>450 Schenck Ave</t>
  </si>
  <si>
    <t>404 Williams Ave</t>
  </si>
  <si>
    <t>2750 W 33rd St</t>
  </si>
  <si>
    <t>3325 Neptune Ave</t>
  </si>
  <si>
    <t>656 Howard Ave</t>
  </si>
  <si>
    <t>630 Riverdale Ave</t>
  </si>
  <si>
    <t>682 Alabama Ave</t>
  </si>
  <si>
    <t>294 Sumpter St</t>
  </si>
  <si>
    <t>1617 Eastern Pkwy</t>
  </si>
  <si>
    <t>246 Bainbridge St</t>
  </si>
  <si>
    <t>147 Rockaway Pkwy</t>
  </si>
  <si>
    <t>140 Cadman Plz W</t>
  </si>
  <si>
    <t>765 Lincoln Ave</t>
  </si>
  <si>
    <t>1740 Prospect Pl</t>
  </si>
  <si>
    <t>556 Thomas S Boyland St</t>
  </si>
  <si>
    <t>1469 Bedford Ave</t>
  </si>
  <si>
    <t>163 Madison St</t>
  </si>
  <si>
    <t>140 Ralph Ave</t>
  </si>
  <si>
    <t>405 Rockaway Pkwy</t>
  </si>
  <si>
    <t>272 Pennsylvania Ave</t>
  </si>
  <si>
    <t>902 Drew St</t>
  </si>
  <si>
    <t>91 Junius St</t>
  </si>
  <si>
    <t>284 Cooper St</t>
  </si>
  <si>
    <t>263 Prospect Park W</t>
  </si>
  <si>
    <t>611 Linwood St</t>
  </si>
  <si>
    <t>1062 Elton St</t>
  </si>
  <si>
    <t>2041 E 7th St</t>
  </si>
  <si>
    <t>959 Metropolitan Ave</t>
  </si>
  <si>
    <t>1465 Geneva Loop</t>
  </si>
  <si>
    <t>28 Hill St</t>
  </si>
  <si>
    <t>301 100th St</t>
  </si>
  <si>
    <t>108 Central Ave</t>
  </si>
  <si>
    <t>2112 Starling Ave</t>
  </si>
  <si>
    <t>3424 Gates Pl</t>
  </si>
  <si>
    <t>219 Sullivan Pl</t>
  </si>
  <si>
    <t>750 Rockaway Ave</t>
  </si>
  <si>
    <t>1392 Sterling Pl</t>
  </si>
  <si>
    <t>533 Bay St</t>
  </si>
  <si>
    <t>225 Park HIll Ave</t>
  </si>
  <si>
    <t>1132 Halsey St</t>
  </si>
  <si>
    <t>604 Lincoln Ave</t>
  </si>
  <si>
    <t>422 Avenue U</t>
  </si>
  <si>
    <t>1786 Brooklyn Ave</t>
  </si>
  <si>
    <t>1490 Ocean Ave</t>
  </si>
  <si>
    <t>274 Forbell St</t>
  </si>
  <si>
    <t>34 Castleton Ave</t>
  </si>
  <si>
    <t>160 Vermilyea Ave</t>
  </si>
  <si>
    <t>210 Sherman Ave</t>
  </si>
  <si>
    <t>711 W 180th St</t>
  </si>
  <si>
    <t>631 W 207th St</t>
  </si>
  <si>
    <t>790 Riverside Dr</t>
  </si>
  <si>
    <t>530 W 122nd st</t>
  </si>
  <si>
    <t>251 Fort Washington Ave</t>
  </si>
  <si>
    <t>1869 Eastern Pkwy</t>
  </si>
  <si>
    <t>9502 Kings Hwy</t>
  </si>
  <si>
    <t>412 Thomas S Boyland St</t>
  </si>
  <si>
    <t>331 Beach 31st St</t>
  </si>
  <si>
    <t>25 W Tremont Ave</t>
  </si>
  <si>
    <t>1162 Washington Ave</t>
  </si>
  <si>
    <t>1201 Shakespeare Ave</t>
  </si>
  <si>
    <t>624 Riverdale Ave</t>
  </si>
  <si>
    <t>36 Bedford Park Blvd E</t>
  </si>
  <si>
    <t>691 Gerard Ave</t>
  </si>
  <si>
    <t>1314 Findlay Ave</t>
  </si>
  <si>
    <t>2663 Heath Ave</t>
  </si>
  <si>
    <t>4769 White Plains Rd</t>
  </si>
  <si>
    <t>800 Hancock St</t>
  </si>
  <si>
    <t>2243 Ryer Ave</t>
  </si>
  <si>
    <t>1001 Woodycrest Ave</t>
  </si>
  <si>
    <t>2922 Grand Concourse</t>
  </si>
  <si>
    <t>1380 Univ Ave</t>
  </si>
  <si>
    <t>3366 Decatur Ave</t>
  </si>
  <si>
    <t>1340 Merriam Ave</t>
  </si>
  <si>
    <t>50 Vandalia Ave</t>
  </si>
  <si>
    <t>19 Hill St</t>
  </si>
  <si>
    <t>225 Neptune Ave</t>
  </si>
  <si>
    <t>761 44th St</t>
  </si>
  <si>
    <t>968 Bronx Park S</t>
  </si>
  <si>
    <t>630 Chauncey St</t>
  </si>
  <si>
    <t>1018 Eastern Pkwy</t>
  </si>
  <si>
    <t>777 Macdonough St</t>
  </si>
  <si>
    <t>216 Rockaway ave</t>
  </si>
  <si>
    <t>249 Thomas S Boyland st</t>
  </si>
  <si>
    <t>1074 Eastern Pkwy</t>
  </si>
  <si>
    <t>403 Kosciuszko St</t>
  </si>
  <si>
    <t>1176 President St</t>
  </si>
  <si>
    <t>904 Winthrop St</t>
  </si>
  <si>
    <t>435 Grand Ave</t>
  </si>
  <si>
    <t>200 Highland Blvd</t>
  </si>
  <si>
    <t>670 E 32nd St</t>
  </si>
  <si>
    <t>766 Miller Ave</t>
  </si>
  <si>
    <t>1985 Webster Ave</t>
  </si>
  <si>
    <t>3111 Heath Ave</t>
  </si>
  <si>
    <t>952 Aldus St</t>
  </si>
  <si>
    <t>1362 Grand Concourse</t>
  </si>
  <si>
    <t>1417 Grand Concourse</t>
  </si>
  <si>
    <t>425 E 153rd St</t>
  </si>
  <si>
    <t>437 Wyona St</t>
  </si>
  <si>
    <t>1453 Walton Ave</t>
  </si>
  <si>
    <t>980 Aldus St</t>
  </si>
  <si>
    <t>120 W 183rd St</t>
  </si>
  <si>
    <t>1105 Elder Ave</t>
  </si>
  <si>
    <t>85 Bristol St</t>
  </si>
  <si>
    <t>1898 Bergen St</t>
  </si>
  <si>
    <t>66 Vermilyea Ave</t>
  </si>
  <si>
    <t>129 Sherman Ave</t>
  </si>
  <si>
    <t>60 Thayer St</t>
  </si>
  <si>
    <t>4530 Broadway</t>
  </si>
  <si>
    <t>140 Riverside dr</t>
  </si>
  <si>
    <t>436 Fort Washington Ave</t>
  </si>
  <si>
    <t>580 Academy St</t>
  </si>
  <si>
    <t>621 W 171st St</t>
  </si>
  <si>
    <t>500 W 176th St</t>
  </si>
  <si>
    <t>601 W 156th St</t>
  </si>
  <si>
    <t>519 W 157th St</t>
  </si>
  <si>
    <t>1441 Bushwick Ave</t>
  </si>
  <si>
    <t>220 Audubon Ave</t>
  </si>
  <si>
    <t>73 Crystal St</t>
  </si>
  <si>
    <t>160 Prospect Ave</t>
  </si>
  <si>
    <t>214 E 94th St</t>
  </si>
  <si>
    <t>460n Brielle Ave</t>
  </si>
  <si>
    <t>460 Brielle Ave</t>
  </si>
  <si>
    <t>460N Brielle Ave</t>
  </si>
  <si>
    <t>150 Hendricks Ave</t>
  </si>
  <si>
    <t>124 Pelican Cir</t>
  </si>
  <si>
    <t>320 Vanderbilt Ave</t>
  </si>
  <si>
    <t>91 Brook St</t>
  </si>
  <si>
    <t>119 Clark Ln</t>
  </si>
  <si>
    <t>700 Victory Blvd</t>
  </si>
  <si>
    <t>180 Park Hill Ave</t>
  </si>
  <si>
    <t>1908 N Railroad Ave</t>
  </si>
  <si>
    <t>164 Winter Ave</t>
  </si>
  <si>
    <t>83 Crescent Ave</t>
  </si>
  <si>
    <t>19 Slosson Ter</t>
  </si>
  <si>
    <t>14 Court St</t>
  </si>
  <si>
    <t>618 Livonia Ave</t>
  </si>
  <si>
    <t>18 2nd St</t>
  </si>
  <si>
    <t>300 E 93rd St</t>
  </si>
  <si>
    <t>292 Westervelt Ave</t>
  </si>
  <si>
    <t>30 Dongan Hills Ave</t>
  </si>
  <si>
    <t>14 Spartan Ave</t>
  </si>
  <si>
    <t>49 Curtis Pl</t>
  </si>
  <si>
    <t>165 Saint Marks Pl</t>
  </si>
  <si>
    <t>140 Park Hill Ave</t>
  </si>
  <si>
    <t>177 Milford St</t>
  </si>
  <si>
    <t>5 Slosson Ter</t>
  </si>
  <si>
    <t>1633 Sterling Pl</t>
  </si>
  <si>
    <t>101 Daniel Low Ter</t>
  </si>
  <si>
    <t>3305 Fulton st</t>
  </si>
  <si>
    <t>12 Gunther Pl</t>
  </si>
  <si>
    <t>260 Park Hill Ave</t>
  </si>
  <si>
    <t>469 Ridgewood Ave</t>
  </si>
  <si>
    <t>392 Rockaway Pkwy</t>
  </si>
  <si>
    <t>671 Halsey St</t>
  </si>
  <si>
    <t>363 Grand Ave</t>
  </si>
  <si>
    <t>396 Saratoga Ave</t>
  </si>
  <si>
    <t>14070 Ash Ave</t>
  </si>
  <si>
    <t>78 Havemeyer St Apt 4</t>
  </si>
  <si>
    <t>520 Hegeman Ave</t>
  </si>
  <si>
    <t>585 E 21st St</t>
  </si>
  <si>
    <t>1553 Dekalb Ave</t>
  </si>
  <si>
    <t>434 Warwick St</t>
  </si>
  <si>
    <t>131 Eldert St</t>
  </si>
  <si>
    <t>180 Grafton St</t>
  </si>
  <si>
    <t>82 Rockaway Pkwy</t>
  </si>
  <si>
    <t>108 Rockaway Ave</t>
  </si>
  <si>
    <t>165 Woltz Ave, Upper Floor</t>
  </si>
  <si>
    <t>1409 Prospect Ave</t>
  </si>
  <si>
    <t>751 Gerard Ave</t>
  </si>
  <si>
    <t>115 Marcy Pl</t>
  </si>
  <si>
    <t>800 Grand Concourse</t>
  </si>
  <si>
    <t>1195 Anderson Ave</t>
  </si>
  <si>
    <t>9720 57th Ave</t>
  </si>
  <si>
    <t>181 Beach 25th St</t>
  </si>
  <si>
    <t>1410 New Haven Ave</t>
  </si>
  <si>
    <t>14011 Ash Ave</t>
  </si>
  <si>
    <t>14730 38th Ave</t>
  </si>
  <si>
    <t>13906 34th Rd</t>
  </si>
  <si>
    <t>67 Manhattan Ave</t>
  </si>
  <si>
    <t>54 S Elliott Pl</t>
  </si>
  <si>
    <t>648 Kings Hwy</t>
  </si>
  <si>
    <t>3011 Parsons Blvd</t>
  </si>
  <si>
    <t>1155 E 35th St</t>
  </si>
  <si>
    <t>14308 Roosevelt Ave</t>
  </si>
  <si>
    <t>4210 colden st</t>
  </si>
  <si>
    <t>7313 70th St</t>
  </si>
  <si>
    <t>8806 Parsons Blvd</t>
  </si>
  <si>
    <t>16 Margaret St</t>
  </si>
  <si>
    <t>Tompkins Square 244 East 3rd Row Street</t>
  </si>
  <si>
    <t>11920 Union Tpke</t>
  </si>
  <si>
    <t>2818 38th Ave</t>
  </si>
  <si>
    <t>10 Stanton St</t>
  </si>
  <si>
    <t>1295 5th Ave</t>
  </si>
  <si>
    <t>601 W 189th St</t>
  </si>
  <si>
    <t>85 Seaman ave</t>
  </si>
  <si>
    <t>51 E 97th St</t>
  </si>
  <si>
    <t>166 E 109th St</t>
  </si>
  <si>
    <t>125 Seaman Ave</t>
  </si>
  <si>
    <t>9830 57th Ave</t>
  </si>
  <si>
    <t>9832 57th Ave</t>
  </si>
  <si>
    <t>14220 Franklin Ave</t>
  </si>
  <si>
    <t>4146 68th St</t>
  </si>
  <si>
    <t>14412 28th Ave</t>
  </si>
  <si>
    <t>7222 Austin St</t>
  </si>
  <si>
    <t>3706 107th St</t>
  </si>
  <si>
    <t>9608 57th Ave</t>
  </si>
  <si>
    <t>9838 57th Ave</t>
  </si>
  <si>
    <t>3856 10th Ave</t>
  </si>
  <si>
    <t>10934 221st St</t>
  </si>
  <si>
    <t>24207 149th Ave</t>
  </si>
  <si>
    <t>13753 234th St</t>
  </si>
  <si>
    <t>20916 86th drive</t>
  </si>
  <si>
    <t>853 Elsmere Pl</t>
  </si>
  <si>
    <t>2768 Webster Ave</t>
  </si>
  <si>
    <t>1512 Townfend Ave</t>
  </si>
  <si>
    <t>555 Kappock St</t>
  </si>
  <si>
    <t>1355 Grand Concourse</t>
  </si>
  <si>
    <t>6040 Huxley Ave</t>
  </si>
  <si>
    <t>27 W 181st St</t>
  </si>
  <si>
    <t>1238 Simpson St</t>
  </si>
  <si>
    <t>1415 Bristow St</t>
  </si>
  <si>
    <t>325 E 194th St</t>
  </si>
  <si>
    <t>735 E 182nd St</t>
  </si>
  <si>
    <t>653 Cauldwell Ave</t>
  </si>
  <si>
    <t>2101 Creston Ave</t>
  </si>
  <si>
    <t>662 6th Ave</t>
  </si>
  <si>
    <t>356 Arlington Ave</t>
  </si>
  <si>
    <t>2511 Newkirk Ave</t>
  </si>
  <si>
    <t>284 Eastern Pkwy</t>
  </si>
  <si>
    <t>2085 Lexington Ave</t>
  </si>
  <si>
    <t>139 W 135th St</t>
  </si>
  <si>
    <t>2273 Adam Clayton Powell Jr Blvd</t>
  </si>
  <si>
    <t>304 W 148th St</t>
  </si>
  <si>
    <t>125 E 118th St</t>
  </si>
  <si>
    <t>2276 2nd Ave</t>
  </si>
  <si>
    <t>122 E 104th St</t>
  </si>
  <si>
    <t>135 W 123rd St</t>
  </si>
  <si>
    <t>30 E 95th St</t>
  </si>
  <si>
    <t>351 W 121st St</t>
  </si>
  <si>
    <t>620 W 182nd St</t>
  </si>
  <si>
    <t>1936 Prospect Pl</t>
  </si>
  <si>
    <t>125 Sherman Ave</t>
  </si>
  <si>
    <t>4861 Broadway</t>
  </si>
  <si>
    <t>199 Sherman Ave</t>
  </si>
  <si>
    <t>231 Edgecome Avenue</t>
  </si>
  <si>
    <t>601 West 149th Street 54</t>
  </si>
  <si>
    <t>47 Featherbed Ln</t>
  </si>
  <si>
    <t>2055 Harrison Ave</t>
  </si>
  <si>
    <t>750 Grand Concourse</t>
  </si>
  <si>
    <t>2979 Marion Ave</t>
  </si>
  <si>
    <t>1374 York Ave</t>
  </si>
  <si>
    <t>2757 Claflin Ave</t>
  </si>
  <si>
    <t>1124 Boynton Ave</t>
  </si>
  <si>
    <t>1818 Anthony Ave</t>
  </si>
  <si>
    <t>2304 Grand Ave</t>
  </si>
  <si>
    <t>917 Ogden Ave</t>
  </si>
  <si>
    <t>219 E 196th St</t>
  </si>
  <si>
    <t>1325 Lafayette Ave</t>
  </si>
  <si>
    <t>58 Orchard St</t>
  </si>
  <si>
    <t>1060 Sheridan ave</t>
  </si>
  <si>
    <t>140 Henry St</t>
  </si>
  <si>
    <t>117 E 130th St</t>
  </si>
  <si>
    <t>530 W 136th St</t>
  </si>
  <si>
    <t>33 Post Ave</t>
  </si>
  <si>
    <t>49 Payson ave</t>
  </si>
  <si>
    <t>1230 woodycrest Ave</t>
  </si>
  <si>
    <t>1520 Sheridan Ave</t>
  </si>
  <si>
    <t>301 W 138TH ST</t>
  </si>
  <si>
    <t>25 Vermilyea Ave</t>
  </si>
  <si>
    <t>111 W 135th St</t>
  </si>
  <si>
    <t>66 Mulberry St</t>
  </si>
  <si>
    <t>57-63 Wadsworth Terrace</t>
  </si>
  <si>
    <t>541 Isham St</t>
  </si>
  <si>
    <t>519 W 143rd St</t>
  </si>
  <si>
    <t>2416 38th Ave</t>
  </si>
  <si>
    <t>1741 Norman St</t>
  </si>
  <si>
    <t>7218 Almeda Ave</t>
  </si>
  <si>
    <t>1409 E 98th St</t>
  </si>
  <si>
    <t>482 Prospect pl</t>
  </si>
  <si>
    <t>1704 Madison St</t>
  </si>
  <si>
    <t>14719 230th St</t>
  </si>
  <si>
    <t>11513 111th Ave</t>
  </si>
  <si>
    <t>411 Westervelt Ave</t>
  </si>
  <si>
    <t>997 Summit Ave</t>
  </si>
  <si>
    <t>107 Caroline St</t>
  </si>
  <si>
    <t>739 E 242nd St</t>
  </si>
  <si>
    <t>1466 Beach Ave</t>
  </si>
  <si>
    <t>735 E 242nd St</t>
  </si>
  <si>
    <t>1330 Intervale Ave</t>
  </si>
  <si>
    <t>231 steuben st</t>
  </si>
  <si>
    <t>232 Otis Ave</t>
  </si>
  <si>
    <t>69 Adams Ave</t>
  </si>
  <si>
    <t>131 BROOME ST</t>
  </si>
  <si>
    <t>200 E 65th Street</t>
  </si>
  <si>
    <t>33 Bionia Ave</t>
  </si>
  <si>
    <t>15 Sandra Ln</t>
  </si>
  <si>
    <t>220 Osgood Ave</t>
  </si>
  <si>
    <t>16 Vulcan St</t>
  </si>
  <si>
    <t>15a Chester Pl</t>
  </si>
  <si>
    <t>131 Jersey St</t>
  </si>
  <si>
    <t>48 Saint Marks Pl</t>
  </si>
  <si>
    <t>1331 Bay St</t>
  </si>
  <si>
    <t>34 Layton Ave</t>
  </si>
  <si>
    <t>166 Clove Rd</t>
  </si>
  <si>
    <t>16 Van Buren St</t>
  </si>
  <si>
    <t>78 Van Duzer St</t>
  </si>
  <si>
    <t>227 Oder Ave</t>
  </si>
  <si>
    <t>273 Saint Marks Pl</t>
  </si>
  <si>
    <t>1700 Grand Concourse</t>
  </si>
  <si>
    <t>793 Fairmount Pl</t>
  </si>
  <si>
    <t>89 Thompson St</t>
  </si>
  <si>
    <t>250 Corson Ave</t>
  </si>
  <si>
    <t>664 W 161st St</t>
  </si>
  <si>
    <t>615 W 184th St</t>
  </si>
  <si>
    <t>254 Seaman Ave</t>
  </si>
  <si>
    <t>611 W 158th St</t>
  </si>
  <si>
    <t>815 W 180th St</t>
  </si>
  <si>
    <t>716 W 180th St</t>
  </si>
  <si>
    <t>215 Audubon Ave</t>
  </si>
  <si>
    <t>620 W 189th St</t>
  </si>
  <si>
    <t>121 Sherman Ave</t>
  </si>
  <si>
    <t>803 W 180th St</t>
  </si>
  <si>
    <t>650 W 173rd St</t>
  </si>
  <si>
    <t>701r Bay St</t>
  </si>
  <si>
    <t>111 Laurel Ave</t>
  </si>
  <si>
    <t>350 Vanderbilt Ave</t>
  </si>
  <si>
    <t>70 S Elliott Pl</t>
  </si>
  <si>
    <t>232 Stuyvesant Ave</t>
  </si>
  <si>
    <t>702 44th St</t>
  </si>
  <si>
    <t>2860 Ocean Ave</t>
  </si>
  <si>
    <t>285 Schenectady Ave</t>
  </si>
  <si>
    <t>299 Union Ave</t>
  </si>
  <si>
    <t>1406 New York Ave</t>
  </si>
  <si>
    <t>81 Columbia St</t>
  </si>
  <si>
    <t>2351 Pacific St</t>
  </si>
  <si>
    <t>461 Dean St</t>
  </si>
  <si>
    <t>276 Greeley Ave</t>
  </si>
  <si>
    <t>40 Meadow Pl</t>
  </si>
  <si>
    <t>1967 Bergen St</t>
  </si>
  <si>
    <t>343 Herzl St</t>
  </si>
  <si>
    <t>1805 Pitkin Ave</t>
  </si>
  <si>
    <t>1325 Eastern Pkwy</t>
  </si>
  <si>
    <t>588 Decatur St</t>
  </si>
  <si>
    <t>364 Stuyvesant Ave</t>
  </si>
  <si>
    <t>481 Williams Ave</t>
  </si>
  <si>
    <t>321 Milford St</t>
  </si>
  <si>
    <t>996 Hegeman Ave</t>
  </si>
  <si>
    <t>1305 Delmar Loope</t>
  </si>
  <si>
    <t>4616 43rd Ave</t>
  </si>
  <si>
    <t>22 Foley St.</t>
  </si>
  <si>
    <t>177 Sheffield Ave</t>
  </si>
  <si>
    <t>Apt 1</t>
  </si>
  <si>
    <t>5A</t>
  </si>
  <si>
    <t>5G</t>
  </si>
  <si>
    <t>1F</t>
  </si>
  <si>
    <t>3H</t>
  </si>
  <si>
    <t>Bw</t>
  </si>
  <si>
    <t>3A</t>
  </si>
  <si>
    <t>5D</t>
  </si>
  <si>
    <t>5H</t>
  </si>
  <si>
    <t>2F</t>
  </si>
  <si>
    <t>2R</t>
  </si>
  <si>
    <t>23 A</t>
  </si>
  <si>
    <t>3rd FL</t>
  </si>
  <si>
    <t>2nd Floor</t>
  </si>
  <si>
    <t>1C</t>
  </si>
  <si>
    <t>3C</t>
  </si>
  <si>
    <t>2B</t>
  </si>
  <si>
    <t>2L</t>
  </si>
  <si>
    <t>1st</t>
  </si>
  <si>
    <t>6G</t>
  </si>
  <si>
    <t>E5</t>
  </si>
  <si>
    <t>6H</t>
  </si>
  <si>
    <t>Basement</t>
  </si>
  <si>
    <t>2nd fl</t>
  </si>
  <si>
    <t>34J</t>
  </si>
  <si>
    <t>1A</t>
  </si>
  <si>
    <t>7E</t>
  </si>
  <si>
    <t>4D</t>
  </si>
  <si>
    <t>Apt 4R</t>
  </si>
  <si>
    <t>11D</t>
  </si>
  <si>
    <t>7H</t>
  </si>
  <si>
    <t>5E</t>
  </si>
  <si>
    <t>6M</t>
  </si>
  <si>
    <t>14A</t>
  </si>
  <si>
    <t>Bsmt.</t>
  </si>
  <si>
    <t>4G</t>
  </si>
  <si>
    <t>3G</t>
  </si>
  <si>
    <t>3J</t>
  </si>
  <si>
    <t>20F</t>
  </si>
  <si>
    <t>5F</t>
  </si>
  <si>
    <t>2U</t>
  </si>
  <si>
    <t>A4</t>
  </si>
  <si>
    <t>2d</t>
  </si>
  <si>
    <t>6A</t>
  </si>
  <si>
    <t>K</t>
  </si>
  <si>
    <t>4A</t>
  </si>
  <si>
    <t>20J</t>
  </si>
  <si>
    <t>4B</t>
  </si>
  <si>
    <t>bsmnt</t>
  </si>
  <si>
    <t>4i</t>
  </si>
  <si>
    <t>1-T</t>
  </si>
  <si>
    <t>8-4005</t>
  </si>
  <si>
    <t>1st floor</t>
  </si>
  <si>
    <t>10G</t>
  </si>
  <si>
    <t>3AN</t>
  </si>
  <si>
    <t>1N</t>
  </si>
  <si>
    <t>3N</t>
  </si>
  <si>
    <t>EE</t>
  </si>
  <si>
    <t>F22</t>
  </si>
  <si>
    <t>F3</t>
  </si>
  <si>
    <t>B42</t>
  </si>
  <si>
    <t>CC</t>
  </si>
  <si>
    <t>2J</t>
  </si>
  <si>
    <t>ST1</t>
  </si>
  <si>
    <t>GG</t>
  </si>
  <si>
    <t>G-32</t>
  </si>
  <si>
    <t>1205W</t>
  </si>
  <si>
    <t>1st fl</t>
  </si>
  <si>
    <t>5C</t>
  </si>
  <si>
    <t>9A</t>
  </si>
  <si>
    <t>2T</t>
  </si>
  <si>
    <t>2K</t>
  </si>
  <si>
    <t>10M</t>
  </si>
  <si>
    <t>9F</t>
  </si>
  <si>
    <t>3E</t>
  </si>
  <si>
    <t>1E</t>
  </si>
  <si>
    <t>3M</t>
  </si>
  <si>
    <t>C8</t>
  </si>
  <si>
    <t>C6</t>
  </si>
  <si>
    <t>1-D</t>
  </si>
  <si>
    <t>B4</t>
  </si>
  <si>
    <t>1B</t>
  </si>
  <si>
    <t>B</t>
  </si>
  <si>
    <t>2D</t>
  </si>
  <si>
    <t>3B</t>
  </si>
  <si>
    <t>1H, LEFT SIDE</t>
  </si>
  <si>
    <t>2E</t>
  </si>
  <si>
    <t>2A</t>
  </si>
  <si>
    <t>2C</t>
  </si>
  <si>
    <t>1D</t>
  </si>
  <si>
    <t>3D</t>
  </si>
  <si>
    <t>4E</t>
  </si>
  <si>
    <t>1R</t>
  </si>
  <si>
    <t>3F</t>
  </si>
  <si>
    <t>1c</t>
  </si>
  <si>
    <t>4C</t>
  </si>
  <si>
    <t>4I</t>
  </si>
  <si>
    <t>5T</t>
  </si>
  <si>
    <t>B2</t>
  </si>
  <si>
    <t>C1</t>
  </si>
  <si>
    <t>B1</t>
  </si>
  <si>
    <t>1H</t>
  </si>
  <si>
    <t>6B</t>
  </si>
  <si>
    <t>Apt 5D</t>
  </si>
  <si>
    <t>6R</t>
  </si>
  <si>
    <t>#2H</t>
  </si>
  <si>
    <t>2b</t>
  </si>
  <si>
    <t>6yy</t>
  </si>
  <si>
    <t>Apt 2L</t>
  </si>
  <si>
    <t>13P</t>
  </si>
  <si>
    <t>4H</t>
  </si>
  <si>
    <t>2N</t>
  </si>
  <si>
    <t>4J</t>
  </si>
  <si>
    <t>5B</t>
  </si>
  <si>
    <t>6F</t>
  </si>
  <si>
    <t>6C</t>
  </si>
  <si>
    <t>Apt 4</t>
  </si>
  <si>
    <t>A2</t>
  </si>
  <si>
    <t>4L</t>
  </si>
  <si>
    <t>1M</t>
  </si>
  <si>
    <t>3K</t>
  </si>
  <si>
    <t>18G</t>
  </si>
  <si>
    <t>2G</t>
  </si>
  <si>
    <t>2P</t>
  </si>
  <si>
    <t>A3</t>
  </si>
  <si>
    <t>6-K</t>
  </si>
  <si>
    <t>!</t>
  </si>
  <si>
    <t>1K</t>
  </si>
  <si>
    <t>4U</t>
  </si>
  <si>
    <t>12F</t>
  </si>
  <si>
    <t>2 Floor</t>
  </si>
  <si>
    <t>1L</t>
  </si>
  <si>
    <t>6U</t>
  </si>
  <si>
    <t>5K</t>
  </si>
  <si>
    <t>PBH</t>
  </si>
  <si>
    <t>17H</t>
  </si>
  <si>
    <t>2-F</t>
  </si>
  <si>
    <t>5-G</t>
  </si>
  <si>
    <t>1G</t>
  </si>
  <si>
    <t>7C</t>
  </si>
  <si>
    <t>24D</t>
  </si>
  <si>
    <t>16H</t>
  </si>
  <si>
    <t>15B</t>
  </si>
  <si>
    <t>14C</t>
  </si>
  <si>
    <t>12B</t>
  </si>
  <si>
    <t>E4</t>
  </si>
  <si>
    <t>C15</t>
  </si>
  <si>
    <t>C4</t>
  </si>
  <si>
    <t>FL 3</t>
  </si>
  <si>
    <t>2nd Fl</t>
  </si>
  <si>
    <t>10E</t>
  </si>
  <si>
    <t>4-K</t>
  </si>
  <si>
    <t>#1</t>
  </si>
  <si>
    <t>15J</t>
  </si>
  <si>
    <t>5i</t>
  </si>
  <si>
    <t>6K</t>
  </si>
  <si>
    <t>B3</t>
  </si>
  <si>
    <t>First Floor</t>
  </si>
  <si>
    <t>5k</t>
  </si>
  <si>
    <t>C22</t>
  </si>
  <si>
    <t>3rd Floor</t>
  </si>
  <si>
    <t>1St Floor</t>
  </si>
  <si>
    <t>Apt 3D</t>
  </si>
  <si>
    <t>5M</t>
  </si>
  <si>
    <t>4-B</t>
  </si>
  <si>
    <t>6I</t>
  </si>
  <si>
    <t>2H</t>
  </si>
  <si>
    <t>4F</t>
  </si>
  <si>
    <t>6D</t>
  </si>
  <si>
    <t>2 R</t>
  </si>
  <si>
    <t>4R</t>
  </si>
  <si>
    <t>17A</t>
  </si>
  <si>
    <t>5s</t>
  </si>
  <si>
    <t>4a</t>
  </si>
  <si>
    <t>Apt 2</t>
  </si>
  <si>
    <t>Apt A6</t>
  </si>
  <si>
    <t>6 O</t>
  </si>
  <si>
    <t>11H</t>
  </si>
  <si>
    <t>1416W</t>
  </si>
  <si>
    <t>3R</t>
  </si>
  <si>
    <t>1st Floor</t>
  </si>
  <si>
    <t>Fl 1</t>
  </si>
  <si>
    <t>1 floor</t>
  </si>
  <si>
    <t>D5</t>
  </si>
  <si>
    <t># 3</t>
  </si>
  <si>
    <t>8D</t>
  </si>
  <si>
    <t>8A</t>
  </si>
  <si>
    <t>8C</t>
  </si>
  <si>
    <t>41A</t>
  </si>
  <si>
    <t>3L</t>
  </si>
  <si>
    <t>21C</t>
  </si>
  <si>
    <t>3 FL</t>
  </si>
  <si>
    <t>Apt A4</t>
  </si>
  <si>
    <t>23C</t>
  </si>
  <si>
    <t>3i</t>
  </si>
  <si>
    <t>32B</t>
  </si>
  <si>
    <t>Apt. 6S</t>
  </si>
  <si>
    <t>7B</t>
  </si>
  <si>
    <t>A</t>
  </si>
  <si>
    <t>5J</t>
  </si>
  <si>
    <t>5N</t>
  </si>
  <si>
    <t>B15</t>
  </si>
  <si>
    <t>D3</t>
  </si>
  <si>
    <t>A35</t>
  </si>
  <si>
    <t>L3</t>
  </si>
  <si>
    <t>#2D</t>
  </si>
  <si>
    <t>Privat house</t>
  </si>
  <si>
    <t>#8H</t>
  </si>
  <si>
    <t>Apt 3</t>
  </si>
  <si>
    <t>Box 7</t>
  </si>
  <si>
    <t>2 floor</t>
  </si>
  <si>
    <t>F4</t>
  </si>
  <si>
    <t>k</t>
  </si>
  <si>
    <t>#2</t>
  </si>
  <si>
    <t>BB</t>
  </si>
  <si>
    <t>#3B</t>
  </si>
  <si>
    <t>1b</t>
  </si>
  <si>
    <t>6E</t>
  </si>
  <si>
    <t>D9</t>
  </si>
  <si>
    <t>18J</t>
  </si>
  <si>
    <t>apt 2F</t>
  </si>
  <si>
    <t>20C</t>
  </si>
  <si>
    <t>13G</t>
  </si>
  <si>
    <t>17 A</t>
  </si>
  <si>
    <t>D2</t>
  </si>
  <si>
    <t>3P</t>
  </si>
  <si>
    <t>2nd FL</t>
  </si>
  <si>
    <t>D1</t>
  </si>
  <si>
    <t>BSMT</t>
  </si>
  <si>
    <t>3I</t>
  </si>
  <si>
    <t>Apt 2R</t>
  </si>
  <si>
    <t>1floor</t>
  </si>
  <si>
    <t>8H</t>
  </si>
  <si>
    <t>F2</t>
  </si>
  <si>
    <t>20H</t>
  </si>
  <si>
    <t>2I</t>
  </si>
  <si>
    <t>10C</t>
  </si>
  <si>
    <t>12-A</t>
  </si>
  <si>
    <t>15F</t>
  </si>
  <si>
    <t>12C</t>
  </si>
  <si>
    <t>3-R</t>
  </si>
  <si>
    <t>D6</t>
  </si>
  <si>
    <t>17K</t>
  </si>
  <si>
    <t>7R</t>
  </si>
  <si>
    <t>5L</t>
  </si>
  <si>
    <t>14L</t>
  </si>
  <si>
    <t>1st floor apt 3</t>
  </si>
  <si>
    <t>D4</t>
  </si>
  <si>
    <t>1h</t>
  </si>
  <si>
    <t>2nd floor</t>
  </si>
  <si>
    <t>3AS</t>
  </si>
  <si>
    <t>30A</t>
  </si>
  <si>
    <t>Apt;. 2E</t>
  </si>
  <si>
    <t>4T</t>
  </si>
  <si>
    <t>20B</t>
  </si>
  <si>
    <t>331E</t>
  </si>
  <si>
    <t>205W</t>
  </si>
  <si>
    <t>211W</t>
  </si>
  <si>
    <t>321E</t>
  </si>
  <si>
    <t>314W</t>
  </si>
  <si>
    <t>413E</t>
  </si>
  <si>
    <t>206W</t>
  </si>
  <si>
    <t>115E</t>
  </si>
  <si>
    <t>204W</t>
  </si>
  <si>
    <t>5c</t>
  </si>
  <si>
    <t>1 R</t>
  </si>
  <si>
    <t>1st Fl.</t>
  </si>
  <si>
    <t>2nd Fl.</t>
  </si>
  <si>
    <t>4M</t>
  </si>
  <si>
    <t>14H</t>
  </si>
  <si>
    <t>#4C</t>
  </si>
  <si>
    <t>2Q</t>
  </si>
  <si>
    <t>22K</t>
  </si>
  <si>
    <t>1st Fl</t>
  </si>
  <si>
    <t>23K</t>
  </si>
  <si>
    <t>6CN</t>
  </si>
  <si>
    <t>11DD</t>
  </si>
  <si>
    <t>R602</t>
  </si>
  <si>
    <t>Apt 6O</t>
  </si>
  <si>
    <t>B-2</t>
  </si>
  <si>
    <t>A04</t>
  </si>
  <si>
    <t>E3A1</t>
  </si>
  <si>
    <t>Apt. 2-L</t>
  </si>
  <si>
    <t>Apt 5A</t>
  </si>
  <si>
    <t>9E</t>
  </si>
  <si>
    <t>15L</t>
  </si>
  <si>
    <t>6V</t>
  </si>
  <si>
    <t>8N</t>
  </si>
  <si>
    <t>12L</t>
  </si>
  <si>
    <t>apt 4</t>
  </si>
  <si>
    <t>3Q</t>
  </si>
  <si>
    <t>BC</t>
  </si>
  <si>
    <t>3W</t>
  </si>
  <si>
    <t>Apt 4J</t>
  </si>
  <si>
    <t>B7</t>
  </si>
  <si>
    <t>7F</t>
  </si>
  <si>
    <t>G</t>
  </si>
  <si>
    <t>7D</t>
  </si>
  <si>
    <t>3c</t>
  </si>
  <si>
    <t>Bsmt</t>
  </si>
  <si>
    <t>1st FL</t>
  </si>
  <si>
    <t>1st Floor (back)</t>
  </si>
  <si>
    <t>Apt. 2</t>
  </si>
  <si>
    <t>6S</t>
  </si>
  <si>
    <t>5P</t>
  </si>
  <si>
    <t>7L</t>
  </si>
  <si>
    <t>22A</t>
  </si>
  <si>
    <t>4N</t>
  </si>
  <si>
    <t>1T</t>
  </si>
  <si>
    <t>Apt 1-V</t>
  </si>
  <si>
    <t>Second Floor</t>
  </si>
  <si>
    <t>apt 2</t>
  </si>
  <si>
    <t>Rear</t>
  </si>
  <si>
    <t>15C</t>
  </si>
  <si>
    <t>13A</t>
  </si>
  <si>
    <t>21G</t>
  </si>
  <si>
    <t>9C</t>
  </si>
  <si>
    <t>3T</t>
  </si>
  <si>
    <t>6L</t>
  </si>
  <si>
    <t>B5</t>
  </si>
  <si>
    <t>4-C</t>
  </si>
  <si>
    <t># 2B</t>
  </si>
  <si>
    <t>4-G</t>
  </si>
  <si>
    <t>4-H</t>
  </si>
  <si>
    <t>H</t>
  </si>
  <si>
    <t>11B</t>
  </si>
  <si>
    <t>Unit 1</t>
  </si>
  <si>
    <t>#6A</t>
  </si>
  <si>
    <t>#1F</t>
  </si>
  <si>
    <t>14B</t>
  </si>
  <si>
    <t>17L</t>
  </si>
  <si>
    <t>10L</t>
  </si>
  <si>
    <t>Arverne</t>
  </si>
  <si>
    <t>New York</t>
  </si>
  <si>
    <t>Bronx</t>
  </si>
  <si>
    <t>Brooklyn</t>
  </si>
  <si>
    <t>Flushing</t>
  </si>
  <si>
    <t>Long Island City</t>
  </si>
  <si>
    <t>South Ozone Park</t>
  </si>
  <si>
    <t>Fresh Meadows</t>
  </si>
  <si>
    <t>Far Rockaway</t>
  </si>
  <si>
    <t>Astoria</t>
  </si>
  <si>
    <t>Jamaica</t>
  </si>
  <si>
    <t>Whitestone</t>
  </si>
  <si>
    <t>Saint Albans</t>
  </si>
  <si>
    <t>Ozone Park</t>
  </si>
  <si>
    <t>Staten Island</t>
  </si>
  <si>
    <t>Woodhaven</t>
  </si>
  <si>
    <t>Corona</t>
  </si>
  <si>
    <t>Jackson Heights</t>
  </si>
  <si>
    <t>Rosedale</t>
  </si>
  <si>
    <t>Sunnyside</t>
  </si>
  <si>
    <t>Woodside</t>
  </si>
  <si>
    <t>Rockaway Beach</t>
  </si>
  <si>
    <t>Rego Park</t>
  </si>
  <si>
    <t>Ridgewood</t>
  </si>
  <si>
    <t>Hollis</t>
  </si>
  <si>
    <t>Jackson Hts</t>
  </si>
  <si>
    <t>Kew Gardens</t>
  </si>
  <si>
    <t>Richmond Hill</t>
  </si>
  <si>
    <t>Springfield Gardens</t>
  </si>
  <si>
    <t>Cambria Heights</t>
  </si>
  <si>
    <t>Rockaway Park</t>
  </si>
  <si>
    <t>staten island</t>
  </si>
  <si>
    <t>Buffalo</t>
  </si>
  <si>
    <t>Glendale</t>
  </si>
  <si>
    <t>Johnson City</t>
  </si>
  <si>
    <t>Long Is City</t>
  </si>
  <si>
    <t>Forest Hills</t>
  </si>
  <si>
    <t>Queens Village</t>
  </si>
  <si>
    <t>NEW YORK</t>
  </si>
  <si>
    <t>No</t>
  </si>
  <si>
    <t>Yes</t>
  </si>
  <si>
    <t xml:space="preserve"> </t>
  </si>
  <si>
    <t xml:space="preserve">Yes </t>
  </si>
  <si>
    <t>None</t>
  </si>
  <si>
    <t>DHCI Form</t>
  </si>
  <si>
    <t>Active CA/SNAP</t>
  </si>
  <si>
    <t>No case</t>
  </si>
  <si>
    <t>LT-026720-19/BX</t>
  </si>
  <si>
    <t>LT-077282-18/NY</t>
  </si>
  <si>
    <t>LT-022528-19/BX</t>
  </si>
  <si>
    <t>LT-019248-19/BX</t>
  </si>
  <si>
    <t>LT-066319-19/KI</t>
  </si>
  <si>
    <t>LT-058694-19/KI</t>
  </si>
  <si>
    <t>LT-023352-19/BX</t>
  </si>
  <si>
    <t>LT-033625-19/BX</t>
  </si>
  <si>
    <t>no case</t>
  </si>
  <si>
    <t>LT-059162-19/QU</t>
  </si>
  <si>
    <t>LT-060954-19/QU</t>
  </si>
  <si>
    <t>LT-054693-19/QU</t>
  </si>
  <si>
    <t>LT-062870-19/QU</t>
  </si>
  <si>
    <t>HT-110017-RV</t>
  </si>
  <si>
    <t>LT-050232-17/QU</t>
  </si>
  <si>
    <t>HM-130106-OM</t>
  </si>
  <si>
    <t>LT-065463-19/QU</t>
  </si>
  <si>
    <t>LT-000600-19/QU</t>
  </si>
  <si>
    <t>LT-66022-19/QU</t>
  </si>
  <si>
    <t>LT-63369-19/QU</t>
  </si>
  <si>
    <t>LT-061914-19/QU</t>
  </si>
  <si>
    <t>LT-063416-19/QU</t>
  </si>
  <si>
    <t>LT-063534-19/QU</t>
  </si>
  <si>
    <t>LT-057814-18/BX</t>
  </si>
  <si>
    <t>EO-610003-B</t>
  </si>
  <si>
    <t>LT-059198-19/QU</t>
  </si>
  <si>
    <t>none</t>
  </si>
  <si>
    <t>FO-610005-RO</t>
  </si>
  <si>
    <t>LT-250726-19/NY</t>
  </si>
  <si>
    <t>LT-057621-19/BX</t>
  </si>
  <si>
    <t>LT-063530-19/NY</t>
  </si>
  <si>
    <t>LT-055242-19/NY</t>
  </si>
  <si>
    <t>LT-050184-19/NY</t>
  </si>
  <si>
    <t>LT-008522-19/bx</t>
  </si>
  <si>
    <t>LT-050679-19/RI</t>
  </si>
  <si>
    <t>LT-052559-18/RI</t>
  </si>
  <si>
    <t>LT-051021-19/RI</t>
  </si>
  <si>
    <t>LT-050405-19/RI</t>
  </si>
  <si>
    <t>LT-51128-19/RI</t>
  </si>
  <si>
    <t>LT-050725-19/RI</t>
  </si>
  <si>
    <t>LT-050752-19/RI</t>
  </si>
  <si>
    <t>LT-051883-19/RI</t>
  </si>
  <si>
    <t>TBD</t>
  </si>
  <si>
    <t>LT-016946-19/BX</t>
  </si>
  <si>
    <t>LT-017260-19/BX</t>
  </si>
  <si>
    <t>LT-053712-18/RI</t>
  </si>
  <si>
    <t>30302-19</t>
  </si>
  <si>
    <t>LT-000055-19/RI</t>
  </si>
  <si>
    <t>LT-052064-19/RI</t>
  </si>
  <si>
    <t>LT-023429-18/BX</t>
  </si>
  <si>
    <t>LT-020164-19/BX</t>
  </si>
  <si>
    <t>LT-028998-19/BX</t>
  </si>
  <si>
    <t>LT-066074-18/BX</t>
  </si>
  <si>
    <t>HT-630020-RO</t>
  </si>
  <si>
    <t>GW-630035-B</t>
  </si>
  <si>
    <t>LT-009775-19/BX</t>
  </si>
  <si>
    <t>LT-012529-19/QU</t>
  </si>
  <si>
    <t>LT-074838-18/QU</t>
  </si>
  <si>
    <t>LT-070061-19/KI</t>
  </si>
  <si>
    <t>LT-809393-16/BX</t>
  </si>
  <si>
    <t>LT-032256-19/BX</t>
  </si>
  <si>
    <t>GQ-610075-OR</t>
  </si>
  <si>
    <t>FM 630024RT</t>
  </si>
  <si>
    <t>GP-210025-R</t>
  </si>
  <si>
    <t>LT-071983-19/KI</t>
  </si>
  <si>
    <t>No Case</t>
  </si>
  <si>
    <t>908893-TD-2019</t>
  </si>
  <si>
    <t>LT-071742-19/KI</t>
  </si>
  <si>
    <t>HS-210129-S</t>
  </si>
  <si>
    <t>LT-072500-19/KI</t>
  </si>
  <si>
    <t>LT-050642-19/KI</t>
  </si>
  <si>
    <t>Unknown</t>
  </si>
  <si>
    <t>LT-075189-19/KI</t>
  </si>
  <si>
    <t>LT-059006-19/KI</t>
  </si>
  <si>
    <t>LT-093193-18/KI</t>
  </si>
  <si>
    <t>LT-054825-19/KI</t>
  </si>
  <si>
    <t>LT-069638-19/KI</t>
  </si>
  <si>
    <t>LT-052666-19/KI</t>
  </si>
  <si>
    <t>LT-055726-19/KI</t>
  </si>
  <si>
    <t>LT-067539-19/KI</t>
  </si>
  <si>
    <t>LT-050261-19/KI</t>
  </si>
  <si>
    <t>LT-068984-19/KI</t>
  </si>
  <si>
    <t>LT-251141-19/NY</t>
  </si>
  <si>
    <t>LT-252448-19/NY</t>
  </si>
  <si>
    <t>LT-250785-19/NY</t>
  </si>
  <si>
    <t>LT-056474-19/KI</t>
  </si>
  <si>
    <t>LT-058093-19/KI</t>
  </si>
  <si>
    <t>LT-069535-19/KI</t>
  </si>
  <si>
    <t>LT-071995-19/KI</t>
  </si>
  <si>
    <t>LT-072591-19/KI</t>
  </si>
  <si>
    <t>LT-71177-19/ki</t>
  </si>
  <si>
    <t>LT-072141-19/KI</t>
  </si>
  <si>
    <t>LT-073946-19/KI</t>
  </si>
  <si>
    <t>LT-069112-19/KI</t>
  </si>
  <si>
    <t>LT-067366-19/KI</t>
  </si>
  <si>
    <t>LT-094957-18/KI</t>
  </si>
  <si>
    <t>LT-074475-19/KI</t>
  </si>
  <si>
    <t>LT-067359-19/KI</t>
  </si>
  <si>
    <t>LT-073440-19/KI</t>
  </si>
  <si>
    <t>LT-072171-19/KI</t>
  </si>
  <si>
    <t>LT-085791-18/KI</t>
  </si>
  <si>
    <t>LT-029231-19/BX</t>
  </si>
  <si>
    <t>M-H-Z-19-71808</t>
  </si>
  <si>
    <t>251206/15</t>
  </si>
  <si>
    <t>LT-018293-19/KI</t>
  </si>
  <si>
    <t>LT-047475-18/BX</t>
  </si>
  <si>
    <t>LT-064740-18</t>
  </si>
  <si>
    <t>LT-031016-19/BX</t>
  </si>
  <si>
    <t>LT-059740-19/NY</t>
  </si>
  <si>
    <t>LT-062103-19/NY</t>
  </si>
  <si>
    <t>LT-060876-19/NY</t>
  </si>
  <si>
    <t>LT-057814-19/NY</t>
  </si>
  <si>
    <t>LT-062779-19/NY</t>
  </si>
  <si>
    <t>LT-064944-19/NY</t>
  </si>
  <si>
    <t>LT-051527-19/RI</t>
  </si>
  <si>
    <t>LT-051817-19/RI</t>
  </si>
  <si>
    <t>LT-050619-19/RI</t>
  </si>
  <si>
    <t>LT-051834-19/RI</t>
  </si>
  <si>
    <t>LT-051757-19/RI</t>
  </si>
  <si>
    <t>040820/2019</t>
  </si>
  <si>
    <t>LT-051537-19/RI</t>
  </si>
  <si>
    <t>LT-051730-19/RI</t>
  </si>
  <si>
    <t>LT-050958-19/RI</t>
  </si>
  <si>
    <t>002704/2018</t>
  </si>
  <si>
    <t>LT-065317-19/KI</t>
  </si>
  <si>
    <t>LT-44109-18-BX</t>
  </si>
  <si>
    <t>LT-094403-17/KI</t>
  </si>
  <si>
    <t>LT-066296-18/KI</t>
  </si>
  <si>
    <t>LT-028484-19/BX</t>
  </si>
  <si>
    <t>LT-063661-19/KI</t>
  </si>
  <si>
    <t>LT-103276-11/KI</t>
  </si>
  <si>
    <t>no case of August 9, 2019</t>
  </si>
  <si>
    <t>LT-032562-19/BX</t>
  </si>
  <si>
    <t>no case as of 9/12/19</t>
  </si>
  <si>
    <t>LT-067136-19/KI</t>
  </si>
  <si>
    <t>LT-050728-19/RI</t>
  </si>
  <si>
    <t>LT-50618-19/RI</t>
  </si>
  <si>
    <t>GS-210042-B</t>
  </si>
  <si>
    <t>LT-059492-19/KI</t>
  </si>
  <si>
    <t>LT-028805-19/BX</t>
  </si>
  <si>
    <t>LT-007084-19/BX</t>
  </si>
  <si>
    <t>LT-073148-19/KI</t>
  </si>
  <si>
    <t>LT-077105-19/KI</t>
  </si>
  <si>
    <t>LT-077394-19/KI</t>
  </si>
  <si>
    <t>LT-079404-18/KI</t>
  </si>
  <si>
    <t>LT-077612-19/KI</t>
  </si>
  <si>
    <t>65959-19</t>
  </si>
  <si>
    <t>LT-084391-18/KI</t>
  </si>
  <si>
    <t>HP 2384/2018</t>
  </si>
  <si>
    <t>LT-051044-19/RI</t>
  </si>
  <si>
    <t>LT-000478-19/QU</t>
  </si>
  <si>
    <t>LT-061547-19/QU</t>
  </si>
  <si>
    <t>LT-060978-19/QU</t>
  </si>
  <si>
    <t>LT-062081-19/QU</t>
  </si>
  <si>
    <t>LT-078066-19/KI</t>
  </si>
  <si>
    <t>LT-61130-19/QU</t>
  </si>
  <si>
    <t>LT-053861-19/QU</t>
  </si>
  <si>
    <t>LT-075052-18/QU</t>
  </si>
  <si>
    <t>LT-063916-19/QU</t>
  </si>
  <si>
    <t>LT-062856-19/QU</t>
  </si>
  <si>
    <t>LT-057153-19/QU</t>
  </si>
  <si>
    <t>65250/19</t>
  </si>
  <si>
    <t>LT-051366-19/QU</t>
  </si>
  <si>
    <t>LT-063289-19/QU</t>
  </si>
  <si>
    <t>HN-110017-OM</t>
  </si>
  <si>
    <t>GW-130070-OM</t>
  </si>
  <si>
    <t>GW-130064-0M</t>
  </si>
  <si>
    <t>LT-059937-19/NY</t>
  </si>
  <si>
    <t>LT-064107-19/NY</t>
  </si>
  <si>
    <t>LT-077054-18/KI</t>
  </si>
  <si>
    <t>LT-74071-18/KI</t>
  </si>
  <si>
    <t>LT-06187-19/KI</t>
  </si>
  <si>
    <t>LT-001218-19/KI</t>
  </si>
  <si>
    <t>LT-051247-17/KI</t>
  </si>
  <si>
    <t>LT-096258-18/KI</t>
  </si>
  <si>
    <t>LT-012645-19/NY</t>
  </si>
  <si>
    <t>ER-410056-RT</t>
  </si>
  <si>
    <t>GW-430022-OM</t>
  </si>
  <si>
    <t>450170/2019</t>
  </si>
  <si>
    <t>LT-067298-19/NY</t>
  </si>
  <si>
    <t>LT-057884-19/NY</t>
  </si>
  <si>
    <t>LT-050902-19/RI</t>
  </si>
  <si>
    <t>LT-051516-19/RI</t>
  </si>
  <si>
    <t>LT-051788-19/RI</t>
  </si>
  <si>
    <t>LT-051689-19/RI</t>
  </si>
  <si>
    <t>LT-051778-19/RI</t>
  </si>
  <si>
    <t>LT-051773-19/RI</t>
  </si>
  <si>
    <t>LT-060920-19/QU</t>
  </si>
  <si>
    <t>LT-062947-19/QU</t>
  </si>
  <si>
    <t>LT-062805-19/QU</t>
  </si>
  <si>
    <t>LT-056564-19/QU</t>
  </si>
  <si>
    <t>LT-064890-19/QU</t>
  </si>
  <si>
    <t>LT-</t>
  </si>
  <si>
    <t>LT-061685-19/QU</t>
  </si>
  <si>
    <t>LT-063650-19/QU</t>
  </si>
  <si>
    <t>LT-062661-19/QU</t>
  </si>
  <si>
    <t>CV-024411-15/QU</t>
  </si>
  <si>
    <t>LT-053104-19/QU</t>
  </si>
  <si>
    <t>LT-064297-19/QU</t>
  </si>
  <si>
    <t>LT-070975-19/KI</t>
  </si>
  <si>
    <t>LT-062052-19/QU</t>
  </si>
  <si>
    <t>LT-000322-19/QU</t>
  </si>
  <si>
    <t>LT-062630-19/QU</t>
  </si>
  <si>
    <t>LT-060626-19/QU</t>
  </si>
  <si>
    <t>LT-063334-19/QU</t>
  </si>
  <si>
    <t>LT-52542-19/QU</t>
  </si>
  <si>
    <t>LT-076161-18/QU</t>
  </si>
  <si>
    <t>LT-063360-19/QU</t>
  </si>
  <si>
    <t>LT-063791-19/QU</t>
  </si>
  <si>
    <t>LT-064508-19/QU</t>
  </si>
  <si>
    <t>92657/18</t>
  </si>
  <si>
    <t>LT-059792-19/NY</t>
  </si>
  <si>
    <t>LT-055593-18/KI</t>
  </si>
  <si>
    <t>LT-071393-19/KI</t>
  </si>
  <si>
    <t>LT-075654-19/KI</t>
  </si>
  <si>
    <t>LT-074634-18/KI</t>
  </si>
  <si>
    <t>LT-064911-19/QU</t>
  </si>
  <si>
    <t>LT-063265-19/QU</t>
  </si>
  <si>
    <t>LT-063867-19/QU</t>
  </si>
  <si>
    <t>LT-012516-19/QU</t>
  </si>
  <si>
    <t>LT-059617-19/QU</t>
  </si>
  <si>
    <t>LT-062604-19/QU</t>
  </si>
  <si>
    <t>LT-064502-19/QU</t>
  </si>
  <si>
    <t>LT-064510-19/QU</t>
  </si>
  <si>
    <t>LT-064640-19/QU</t>
  </si>
  <si>
    <t>LT-065982-19/QU</t>
  </si>
  <si>
    <t>67082/15</t>
  </si>
  <si>
    <t>LT-064518-19/QU</t>
  </si>
  <si>
    <t>LT-027333-19/BX</t>
  </si>
  <si>
    <t>HP610081OM</t>
  </si>
  <si>
    <t>LT-036549-19/BX</t>
  </si>
  <si>
    <t>LT-001433-19/KI</t>
  </si>
  <si>
    <t>LT-089593-18/KI</t>
  </si>
  <si>
    <t>LT-076797-19/KI</t>
  </si>
  <si>
    <t>LT-072128-19/KI</t>
  </si>
  <si>
    <t>LT-077664-19/KI</t>
  </si>
  <si>
    <t>LT-093560-18/KI</t>
  </si>
  <si>
    <t>LT-060592-19/KI</t>
  </si>
  <si>
    <t>LT-054927-19/KI</t>
  </si>
  <si>
    <t>LT-079777-18/KI</t>
  </si>
  <si>
    <t>LT-051880-19/KI</t>
  </si>
  <si>
    <t>LT-063928-19/KI</t>
  </si>
  <si>
    <t>LT-075564-19/KI</t>
  </si>
  <si>
    <t>LT-055196-19/KI</t>
  </si>
  <si>
    <t>LT-075388-19/KI</t>
  </si>
  <si>
    <t>LT-054459-19/KI</t>
  </si>
  <si>
    <t>LT-001631-19/KI</t>
  </si>
  <si>
    <t>LT-077952-19/KI</t>
  </si>
  <si>
    <t>LT-078069-19/KI</t>
  </si>
  <si>
    <t>LT-065327-19/KI</t>
  </si>
  <si>
    <t>LT-061783-19/KI</t>
  </si>
  <si>
    <t>LT-063667-19/KI</t>
  </si>
  <si>
    <t>LT-069790-19/KI</t>
  </si>
  <si>
    <t>LT-071824-19/KI</t>
  </si>
  <si>
    <t>LT-073240-19/KI</t>
  </si>
  <si>
    <t>LT-051869-19/KI</t>
  </si>
  <si>
    <t>LT-073109-19/KI</t>
  </si>
  <si>
    <t>LT-075190-19/KI</t>
  </si>
  <si>
    <t>LT-075205-19/KI</t>
  </si>
  <si>
    <t>LT-74239-19/KI</t>
  </si>
  <si>
    <t>LT-5030417-17/KI</t>
  </si>
  <si>
    <t>LT-059494-16/KI</t>
  </si>
  <si>
    <t>LT-062212-17/KI</t>
  </si>
  <si>
    <t>L&amp;T- 062844-19/KI</t>
  </si>
  <si>
    <t>LT-055797-19/KI</t>
  </si>
  <si>
    <t>LT-058293-18/KI</t>
  </si>
  <si>
    <t>LT-075409-18/KI</t>
  </si>
  <si>
    <t>LT-053150-19/KI</t>
  </si>
  <si>
    <t>LT-092019-18/KI</t>
  </si>
  <si>
    <t>LT-069316-18/KI</t>
  </si>
  <si>
    <t>LT-090138-14/KI</t>
  </si>
  <si>
    <t>LT-005984-19/KI</t>
  </si>
  <si>
    <t>LT-051481-19/KI</t>
  </si>
  <si>
    <t>LT-060912-19/KI</t>
  </si>
  <si>
    <t>2013/2015</t>
  </si>
  <si>
    <t>LT-058318-19/KI</t>
  </si>
  <si>
    <t>055797/19</t>
  </si>
  <si>
    <t>LT-092177-18/KI</t>
  </si>
  <si>
    <t>LT-079487-18/KI</t>
  </si>
  <si>
    <t>LT-58898-15/KI</t>
  </si>
  <si>
    <t>LT-050710-19/RI</t>
  </si>
  <si>
    <t>LT-001276-18/KI</t>
  </si>
  <si>
    <t>LT-070294-18/QU</t>
  </si>
  <si>
    <t>807241/19-BX</t>
  </si>
  <si>
    <t>LT-075062-19/KI</t>
  </si>
  <si>
    <t>Lt-032881/BX</t>
  </si>
  <si>
    <t>LT-004359/19</t>
  </si>
  <si>
    <t>LT-086747-18/KI</t>
  </si>
  <si>
    <t>LT-075956-18/KI</t>
  </si>
  <si>
    <t>LT-055447-18/KI</t>
  </si>
  <si>
    <t>LT-063895-18/BX</t>
  </si>
  <si>
    <t>LT-018230-19/KI</t>
  </si>
  <si>
    <t>LT-069320-19/KI</t>
  </si>
  <si>
    <t>GS-2100080-D</t>
  </si>
  <si>
    <t>040822/2019</t>
  </si>
  <si>
    <t>LT-071791-19/KI</t>
  </si>
  <si>
    <t>LT-064690-19/NY</t>
  </si>
  <si>
    <t>LT-051451-19/RI</t>
  </si>
  <si>
    <t>LT-051979-19/RI</t>
  </si>
  <si>
    <t>LT-051480-19/RI</t>
  </si>
  <si>
    <t>LT-051840-19/RI</t>
  </si>
  <si>
    <t>LT-051320-19/RI</t>
  </si>
  <si>
    <t>LT-052139-19/RI</t>
  </si>
  <si>
    <t>LT-051784-19/RI</t>
  </si>
  <si>
    <t>LT-051946-19/RI</t>
  </si>
  <si>
    <t>LT-052214-17/RI</t>
  </si>
  <si>
    <t>LT-051973-19/RI</t>
  </si>
  <si>
    <t>LT-51015-19/RI</t>
  </si>
  <si>
    <t>LT-051492-19/RI</t>
  </si>
  <si>
    <t>LT-011313-18/RI</t>
  </si>
  <si>
    <t>CV-151576-19/RI</t>
  </si>
  <si>
    <t>LT-051737-19/RI</t>
  </si>
  <si>
    <t>LT-051688-19/RI</t>
  </si>
  <si>
    <t>LT-051823-19/RI</t>
  </si>
  <si>
    <t>53382/18</t>
  </si>
  <si>
    <t>LT-051377-19/RI</t>
  </si>
  <si>
    <t>511618/2019</t>
  </si>
  <si>
    <t>LT-050985-19/RI</t>
  </si>
  <si>
    <t>LT-050512-19/RI</t>
  </si>
  <si>
    <t>LT-051297-19/RI</t>
  </si>
  <si>
    <t>LT-050930-19/RI</t>
  </si>
  <si>
    <t>LT-100755-16/KI</t>
  </si>
  <si>
    <t>LT-056804-19/QU</t>
  </si>
  <si>
    <t>LT-90607-13/KI</t>
  </si>
  <si>
    <t>LT-078573-16/KI</t>
  </si>
  <si>
    <t>LT-054080-19/KI</t>
  </si>
  <si>
    <t>521089/2017</t>
  </si>
  <si>
    <t>LT-77157-19/KI</t>
  </si>
  <si>
    <t>LT-058048-19/KI</t>
  </si>
  <si>
    <t>CV-019938/19</t>
  </si>
  <si>
    <t>none yet</t>
  </si>
  <si>
    <t>711397-2019</t>
  </si>
  <si>
    <t>SC-02631-19/QU</t>
  </si>
  <si>
    <t>NONE YET</t>
  </si>
  <si>
    <t>CV-015118-17/KI</t>
  </si>
  <si>
    <t>713493/2016</t>
  </si>
  <si>
    <t>LT-061022-19/NY</t>
  </si>
  <si>
    <t>LT-063061-19/QU</t>
  </si>
  <si>
    <t>LT-063006-19/QU</t>
  </si>
  <si>
    <t>LT-065617-19/QU</t>
  </si>
  <si>
    <t>LT-065512-19/QU</t>
  </si>
  <si>
    <t>LT-065718-19/QU</t>
  </si>
  <si>
    <t>LT-065009-19/QU</t>
  </si>
  <si>
    <t>LT-052792-19/QU</t>
  </si>
  <si>
    <t>GX-110104-OM</t>
  </si>
  <si>
    <t>GX-110098-OM</t>
  </si>
  <si>
    <t>HM-110041-OM</t>
  </si>
  <si>
    <t>LT-052566-18/NY</t>
  </si>
  <si>
    <t>LT-077528-18/QU</t>
  </si>
  <si>
    <t>LT-063716-19/QU</t>
  </si>
  <si>
    <t>LT-063715-19/QU</t>
  </si>
  <si>
    <t>LT-057210-17/QU</t>
  </si>
  <si>
    <t>LT-016041-19/BX</t>
  </si>
  <si>
    <t>LT-034649-19/BX</t>
  </si>
  <si>
    <t>LT-025352-19/BX</t>
  </si>
  <si>
    <t>LT-031389-19/BX</t>
  </si>
  <si>
    <t>LT-023768-19/BX</t>
  </si>
  <si>
    <t>HQ 610020 B</t>
  </si>
  <si>
    <t>LT-031800-19/BX</t>
  </si>
  <si>
    <t>LT-034283-19/BX</t>
  </si>
  <si>
    <t>LT-033527-19/BX</t>
  </si>
  <si>
    <t>LT-063688-19/KI</t>
  </si>
  <si>
    <t>LT-064408-19/NY</t>
  </si>
  <si>
    <t>LT-061550-19/NY</t>
  </si>
  <si>
    <t>LT-063545-19/NY</t>
  </si>
  <si>
    <t>LT-250601-19/NY</t>
  </si>
  <si>
    <t>LT-251107-19/NY</t>
  </si>
  <si>
    <t>LT-064064-19/NY</t>
  </si>
  <si>
    <t>LT-065328-19/NY</t>
  </si>
  <si>
    <t>None yet</t>
  </si>
  <si>
    <t>LT-065538/18-NY</t>
  </si>
  <si>
    <t>LT-055068-19/NY</t>
  </si>
  <si>
    <t>LT-032272-19/BX</t>
  </si>
  <si>
    <t>LT-037745-19/BX</t>
  </si>
  <si>
    <t>LT-057053-18/NY</t>
  </si>
  <si>
    <t>LT-059214-19/QU</t>
  </si>
  <si>
    <t>LT-077550-18/QU</t>
  </si>
  <si>
    <t>CV-017856-19/KI</t>
  </si>
  <si>
    <t>FPC#0615864</t>
  </si>
  <si>
    <t>LT-000811-19/QU</t>
  </si>
  <si>
    <t>LT-017132-19/BX</t>
  </si>
  <si>
    <t>LT-053793-18/RI</t>
  </si>
  <si>
    <t>LT-051257-19/RI</t>
  </si>
  <si>
    <t>LT-035387-19/BX</t>
  </si>
  <si>
    <t>LT-051743-19/RI</t>
  </si>
  <si>
    <t>LT50922-19/RI</t>
  </si>
  <si>
    <t>LT-050497-19/RI</t>
  </si>
  <si>
    <t>LT-050404-19/RI</t>
  </si>
  <si>
    <t>LT-052197-19/RI</t>
  </si>
  <si>
    <t>LT-010875-18/RI</t>
  </si>
  <si>
    <t>LT-52664-18/RI</t>
  </si>
  <si>
    <t>LT-050476-19/RI</t>
  </si>
  <si>
    <t>LT-052189-18/RI</t>
  </si>
  <si>
    <t>LT-051981-19/RI</t>
  </si>
  <si>
    <t>LT-077777-18/QU</t>
  </si>
  <si>
    <t>LT-001137-19/NY</t>
  </si>
  <si>
    <t>LT-064089-19/NY</t>
  </si>
  <si>
    <t>LT-059876-19/NY</t>
  </si>
  <si>
    <t>LT-057444-19/NY</t>
  </si>
  <si>
    <t>LT-050669-19/RI</t>
  </si>
  <si>
    <t>LT-050035-19/RI</t>
  </si>
  <si>
    <t>LT-62648-16/KI</t>
  </si>
  <si>
    <t>LT-051901-19/RI</t>
  </si>
  <si>
    <t>LT-072687-19/KI</t>
  </si>
  <si>
    <t>LT-051009-19/RI</t>
  </si>
  <si>
    <t>LT-50646-19/RI</t>
  </si>
  <si>
    <t>LT-057620-19/KI</t>
  </si>
  <si>
    <t>LT-073674-19/KI</t>
  </si>
  <si>
    <t>LT-071469-19/KI</t>
  </si>
  <si>
    <t>LT-066271-19/KI</t>
  </si>
  <si>
    <t>LT-056490-19/KI</t>
  </si>
  <si>
    <t>LT-069358-19/KI</t>
  </si>
  <si>
    <t>LT-066112-19/KI</t>
  </si>
  <si>
    <t>LT-081216-18/KI</t>
  </si>
  <si>
    <t>LT-063191-19/KI</t>
  </si>
  <si>
    <t>LT-072237-19/KI</t>
  </si>
  <si>
    <t>LT-075243-19/KI</t>
  </si>
  <si>
    <t>SCRIE/DRIE</t>
  </si>
  <si>
    <t>Non-payment</t>
  </si>
  <si>
    <t>PA Issue: City FEPS/SEPS</t>
  </si>
  <si>
    <t>HP Action</t>
  </si>
  <si>
    <t>Holdover</t>
  </si>
  <si>
    <t>Section 8 other</t>
  </si>
  <si>
    <t>Tenant Rights</t>
  </si>
  <si>
    <t>DHCR Administrative Action</t>
  </si>
  <si>
    <t>PA Issue: Other</t>
  </si>
  <si>
    <t>DHCR Proceeding</t>
  </si>
  <si>
    <t>Other Civil Court</t>
  </si>
  <si>
    <t>Sec. 8 Termination</t>
  </si>
  <si>
    <t>Illegal Lockout</t>
  </si>
  <si>
    <t>Non-Litigation Advocacy</t>
  </si>
  <si>
    <t>Human Rights Complaint</t>
  </si>
  <si>
    <t>Affirmative Litigation Supreme</t>
  </si>
  <si>
    <t>NYCHA Housing Grievance</t>
  </si>
  <si>
    <t>Article 78</t>
  </si>
  <si>
    <t>Other Administrative Proceeding</t>
  </si>
  <si>
    <t>PA Issue: RAU</t>
  </si>
  <si>
    <t>PA Issue: FEPS</t>
  </si>
  <si>
    <t>Section 8 share</t>
  </si>
  <si>
    <t>Ejectment Action</t>
  </si>
  <si>
    <t>Other</t>
  </si>
  <si>
    <t>Appeal-Appellate Term</t>
  </si>
  <si>
    <t>Advice</t>
  </si>
  <si>
    <t>Out-of-Court Advocacy</t>
  </si>
  <si>
    <t>Brief Service</t>
  </si>
  <si>
    <t>Hold For Review</t>
  </si>
  <si>
    <t>Representation - State Court</t>
  </si>
  <si>
    <t>Representation - Admin. Agency</t>
  </si>
  <si>
    <t>Representation - Federal Court</t>
  </si>
  <si>
    <t xml:space="preserve">Advice </t>
  </si>
  <si>
    <t>A - Counsel and Advice</t>
  </si>
  <si>
    <t>B - Limited Action (Brief Service)</t>
  </si>
  <si>
    <t>G - Negotiated Settlement with Litigation</t>
  </si>
  <si>
    <t>H - Administrative Agency Decision</t>
  </si>
  <si>
    <t>F - Negotiated Settlement w/out Litigation</t>
  </si>
  <si>
    <t>09/24/5019</t>
  </si>
  <si>
    <t>08/31/2019</t>
  </si>
  <si>
    <t>07/23/2023</t>
  </si>
  <si>
    <t>09/01/2019</t>
  </si>
  <si>
    <t>08/21/2910</t>
  </si>
  <si>
    <t>09/30/2019</t>
  </si>
  <si>
    <t>10/01/2019</t>
  </si>
  <si>
    <t>12/05/2019</t>
  </si>
  <si>
    <t>08/03/2019</t>
  </si>
  <si>
    <t>07/28/2019</t>
  </si>
  <si>
    <t>12/28/2019</t>
  </si>
  <si>
    <t>09/02/2019</t>
  </si>
  <si>
    <t>12/18/2019</t>
  </si>
  <si>
    <t>3018 Tenant Rights Coalition (TRC)</t>
  </si>
  <si>
    <t>3011 TRC FJC Initiative</t>
  </si>
  <si>
    <t>Prefer Not To Answer</t>
  </si>
  <si>
    <t>5556 Robin Hood-Foreclosure and Housing</t>
  </si>
  <si>
    <t>3311 Anti-Eviction and SRO Legal Services (formerly "HPD")</t>
  </si>
  <si>
    <t>3020 CLS-Civil Legal Services</t>
  </si>
  <si>
    <t>3312 Housing Preservation Initiative (HPI)</t>
  </si>
  <si>
    <t>3311 Anti-Eviction and SRO Legal Services (formerly "HPD"), 5556 Robin Hood-Foreclosure and Housing</t>
  </si>
  <si>
    <t>3306 Anti-Eviction and SRO Legal Services (formerly known as “HPD” Contracts)</t>
  </si>
  <si>
    <t>3308 Anti-Eviction and SRO Legal Services (formerly known as “HPD” Contracts)</t>
  </si>
  <si>
    <t>63 Private Landlord/Tenant</t>
  </si>
  <si>
    <t>69 Other Housing</t>
  </si>
  <si>
    <t>71 TANF</t>
  </si>
  <si>
    <t>61 Federally Subsidized Housing</t>
  </si>
  <si>
    <t>66 Housing Discrimination</t>
  </si>
  <si>
    <t>01 Bankruptcy/Debtor Relief</t>
  </si>
  <si>
    <t>79 Other Income Maintenence</t>
  </si>
  <si>
    <t>85 Civil Rights</t>
  </si>
  <si>
    <t>64 Public Housing</t>
  </si>
  <si>
    <t>02 Collect/Repo/Def/Garnsh</t>
  </si>
  <si>
    <t>67 Mortgage Foreclosures (Not Predatory Lending/Practices)</t>
  </si>
  <si>
    <t>No Stipulation; No Judgment</t>
  </si>
  <si>
    <t>Post-Stipulation, No Judgment</t>
  </si>
  <si>
    <t>Post-Judgment, Tenant in Possession-Judgment Due to Other</t>
  </si>
  <si>
    <t>Post-Judgment, Tenant Out of Possession</t>
  </si>
  <si>
    <t>On for Trial</t>
  </si>
  <si>
    <t>Post-Judgment, Tenant in Possession-Judgment Due to Default</t>
  </si>
  <si>
    <t>No Stipulation; No Judgment, Post-Stipulation, No Judgment</t>
  </si>
  <si>
    <t>Queens Legal Services</t>
  </si>
  <si>
    <t>Manhattan Legal Services</t>
  </si>
  <si>
    <t>Bronx Legal Services</t>
  </si>
  <si>
    <t>Brooklyn Legal Services</t>
  </si>
  <si>
    <t>Staten Island Legal Services</t>
  </si>
  <si>
    <t>ADP Hotline</t>
  </si>
  <si>
    <t>In-House</t>
  </si>
  <si>
    <t>3-1-1</t>
  </si>
  <si>
    <t>Returning Client</t>
  </si>
  <si>
    <t>Self-referred</t>
  </si>
  <si>
    <t>HRA</t>
  </si>
  <si>
    <t>Friends/Family</t>
  </si>
  <si>
    <t>Community Organization</t>
  </si>
  <si>
    <t>Word of mouth</t>
  </si>
  <si>
    <t>Tenant Support Unit</t>
  </si>
  <si>
    <t>FJC Housing Intake</t>
  </si>
  <si>
    <t>Outreach</t>
  </si>
  <si>
    <t>Elected Official</t>
  </si>
  <si>
    <t>Court Referral-NON HRA</t>
  </si>
  <si>
    <t>Other City Agency</t>
  </si>
  <si>
    <t>HRA ELS Part F Brooklyn</t>
  </si>
  <si>
    <t>Court</t>
  </si>
  <si>
    <t>Home base</t>
  </si>
  <si>
    <t>6003-Delayed eviction providing time to seek alternative housing</t>
  </si>
  <si>
    <t>6014-Obtained advice and counsel on a Housing matter</t>
  </si>
  <si>
    <t>6015-Obtained non-litgation advocacy services on a Housing  matter</t>
  </si>
  <si>
    <t>6002-Prevented eviction from private housing</t>
  </si>
  <si>
    <t>7001-Obtained, preserved or increased public assistance, TANF or other welfare benefit/right</t>
  </si>
  <si>
    <t>6017-Obtained other benefit on a Housing matter</t>
  </si>
  <si>
    <t>6021-Provided full representation in a Housing matter, but no legal benefit achieved for the client</t>
  </si>
  <si>
    <t>6007-Avoided, or obtained redress for charges by landlord</t>
  </si>
  <si>
    <t>6009-Obtained repairs, Improved housing conditions or otherwise enforced rights to decent, habitable housing</t>
  </si>
  <si>
    <t>6001-Prevented eviction from public housing</t>
  </si>
  <si>
    <t>ZZ-Client Withdrew—For ZZ Adm Closed Reason Closed Cases Only</t>
  </si>
  <si>
    <t>1013-Obtained advice and counsel  on Consumer matter</t>
  </si>
  <si>
    <t>7012-Obtained advice and counsel  on an Income Maintenance matter</t>
  </si>
  <si>
    <t>08/10/1960</t>
  </si>
  <si>
    <t>08/14/1955</t>
  </si>
  <si>
    <t>12/25/1963</t>
  </si>
  <si>
    <t>12/09/1960</t>
  </si>
  <si>
    <t>04/28/1949</t>
  </si>
  <si>
    <t>06/17/1953</t>
  </si>
  <si>
    <t>09/09/1962</t>
  </si>
  <si>
    <t>02/08/1939</t>
  </si>
  <si>
    <t>10/02/1995</t>
  </si>
  <si>
    <t>07/27/1966</t>
  </si>
  <si>
    <t>03/25/1971</t>
  </si>
  <si>
    <t>07/01/1994</t>
  </si>
  <si>
    <t>04/15/1945</t>
  </si>
  <si>
    <t>06/27/1948</t>
  </si>
  <si>
    <t>10/30/1937</t>
  </si>
  <si>
    <t>05/07/1967</t>
  </si>
  <si>
    <t>05/14/1952</t>
  </si>
  <si>
    <t>10/06/1961</t>
  </si>
  <si>
    <t>02/27/1983</t>
  </si>
  <si>
    <t>03/12/1948</t>
  </si>
  <si>
    <t>02/15/1950</t>
  </si>
  <si>
    <t>01/28/1960</t>
  </si>
  <si>
    <t>10/23/1958</t>
  </si>
  <si>
    <t>11/23/1967</t>
  </si>
  <si>
    <t>08/12/1937</t>
  </si>
  <si>
    <t>06/09/1958</t>
  </si>
  <si>
    <t>01/05/1966</t>
  </si>
  <si>
    <t>07/09/1972</t>
  </si>
  <si>
    <t>05/15/1970</t>
  </si>
  <si>
    <t>01/01/1986</t>
  </si>
  <si>
    <t>02/08/1958</t>
  </si>
  <si>
    <t>09/29/1985</t>
  </si>
  <si>
    <t>05/22/1965</t>
  </si>
  <si>
    <t>02/01/1954</t>
  </si>
  <si>
    <t>03/07/1977</t>
  </si>
  <si>
    <t>09/07/1955</t>
  </si>
  <si>
    <t>12/13/1956</t>
  </si>
  <si>
    <t>01/01/1972</t>
  </si>
  <si>
    <t>07/01/1964</t>
  </si>
  <si>
    <t>09/15/1961</t>
  </si>
  <si>
    <t>07/19/1964</t>
  </si>
  <si>
    <t>04/08/1942</t>
  </si>
  <si>
    <t>08/20/1943</t>
  </si>
  <si>
    <t>03/17/1957</t>
  </si>
  <si>
    <t>12/28/1984</t>
  </si>
  <si>
    <t>11/13/1957</t>
  </si>
  <si>
    <t>04/22/1950</t>
  </si>
  <si>
    <t>01/26/1956</t>
  </si>
  <si>
    <t>02/21/1974</t>
  </si>
  <si>
    <t>03/22/1959</t>
  </si>
  <si>
    <t>09/08/1996</t>
  </si>
  <si>
    <t>05/06/1976</t>
  </si>
  <si>
    <t>02/16/1975</t>
  </si>
  <si>
    <t>03/08/1949</t>
  </si>
  <si>
    <t>01/08/1955</t>
  </si>
  <si>
    <t>05/21/1964</t>
  </si>
  <si>
    <t>03/05/1972</t>
  </si>
  <si>
    <t>04/30/1968</t>
  </si>
  <si>
    <t>04/06/1973</t>
  </si>
  <si>
    <t>03/28/1989</t>
  </si>
  <si>
    <t>01/14/1971</t>
  </si>
  <si>
    <t>02/10/1937</t>
  </si>
  <si>
    <t>11/26/1970</t>
  </si>
  <si>
    <t>09/22/1937</t>
  </si>
  <si>
    <t>04/10/1958</t>
  </si>
  <si>
    <t>02/10/1987</t>
  </si>
  <si>
    <t>01/26/1944</t>
  </si>
  <si>
    <t>01/17/1950</t>
  </si>
  <si>
    <t>08/10/1957</t>
  </si>
  <si>
    <t>09/27/1957</t>
  </si>
  <si>
    <t>06/06/1965</t>
  </si>
  <si>
    <t>12/03/1960</t>
  </si>
  <si>
    <t>01/19/1936</t>
  </si>
  <si>
    <t>03/02/1957</t>
  </si>
  <si>
    <t>07/13/1956</t>
  </si>
  <si>
    <t>06/04/1984</t>
  </si>
  <si>
    <t>02/22/1981</t>
  </si>
  <si>
    <t>03/20/1973</t>
  </si>
  <si>
    <t>07/08/1972</t>
  </si>
  <si>
    <t>01/19/1954</t>
  </si>
  <si>
    <t>06/28/1966</t>
  </si>
  <si>
    <t>08/28/1976</t>
  </si>
  <si>
    <t>03/21/1969</t>
  </si>
  <si>
    <t>07/20/1968</t>
  </si>
  <si>
    <t>11/28/1967</t>
  </si>
  <si>
    <t>04/11/1951</t>
  </si>
  <si>
    <t>07/23/1984</t>
  </si>
  <si>
    <t>01/11/1991</t>
  </si>
  <si>
    <t>12/23/1956</t>
  </si>
  <si>
    <t>10/01/1978</t>
  </si>
  <si>
    <t>05/22/1966</t>
  </si>
  <si>
    <t>06/10/1922</t>
  </si>
  <si>
    <t>11/07/1960</t>
  </si>
  <si>
    <t>10/16/1967</t>
  </si>
  <si>
    <t>05/03/1979</t>
  </si>
  <si>
    <t>09/02/1948</t>
  </si>
  <si>
    <t>05/15/1989</t>
  </si>
  <si>
    <t>05/07/1943</t>
  </si>
  <si>
    <t>02/25/1977</t>
  </si>
  <si>
    <t>01/23/1962</t>
  </si>
  <si>
    <t>04/23/1985</t>
  </si>
  <si>
    <t>12/21/1982</t>
  </si>
  <si>
    <t>02/17/1986</t>
  </si>
  <si>
    <t>02/10/1944</t>
  </si>
  <si>
    <t>04/12/1972</t>
  </si>
  <si>
    <t>08/11/1939</t>
  </si>
  <si>
    <t>11/10/1969</t>
  </si>
  <si>
    <t>06/24/1957</t>
  </si>
  <si>
    <t>01/16/1960</t>
  </si>
  <si>
    <t>01/04/1970</t>
  </si>
  <si>
    <t>04/26/1976</t>
  </si>
  <si>
    <t>03/25/1973</t>
  </si>
  <si>
    <t>05/16/1982</t>
  </si>
  <si>
    <t>01/01/1938</t>
  </si>
  <si>
    <t>07/17/1974</t>
  </si>
  <si>
    <t>04/19/1977</t>
  </si>
  <si>
    <t>05/02/1959</t>
  </si>
  <si>
    <t>05/24/1959</t>
  </si>
  <si>
    <t>11/23/1977</t>
  </si>
  <si>
    <t>10/05/1978</t>
  </si>
  <si>
    <t>07/04/1945</t>
  </si>
  <si>
    <t>04/25/1967</t>
  </si>
  <si>
    <t>01/01/1976</t>
  </si>
  <si>
    <t>06/25/1970</t>
  </si>
  <si>
    <t>05/03/1980</t>
  </si>
  <si>
    <t>12/27/1977</t>
  </si>
  <si>
    <t>04/30/1941</t>
  </si>
  <si>
    <t>07/10/1984</t>
  </si>
  <si>
    <t>04/11/1961</t>
  </si>
  <si>
    <t>09/29/1960</t>
  </si>
  <si>
    <t>07/16/1978</t>
  </si>
  <si>
    <t>04/19/1996</t>
  </si>
  <si>
    <t>09/29/1962</t>
  </si>
  <si>
    <t>07/01/1949</t>
  </si>
  <si>
    <t>01/01/1971</t>
  </si>
  <si>
    <t>03/26/1978</t>
  </si>
  <si>
    <t>11/11/1970</t>
  </si>
  <si>
    <t>05/15/1965</t>
  </si>
  <si>
    <t>04/27/1961</t>
  </si>
  <si>
    <t>07/24/1949</t>
  </si>
  <si>
    <t>01/20/1959</t>
  </si>
  <si>
    <t>12/25/1962</t>
  </si>
  <si>
    <t>04/02/1967</t>
  </si>
  <si>
    <t>12/27/1991</t>
  </si>
  <si>
    <t>09/26/1992</t>
  </si>
  <si>
    <t>04/02/1970</t>
  </si>
  <si>
    <t>04/19/1953</t>
  </si>
  <si>
    <t>04/14/1945</t>
  </si>
  <si>
    <t>12/20/1948</t>
  </si>
  <si>
    <t>06/08/1960</t>
  </si>
  <si>
    <t>06/21/1961</t>
  </si>
  <si>
    <t>07/21/1984</t>
  </si>
  <si>
    <t>07/10/1968</t>
  </si>
  <si>
    <t>09/29/1968</t>
  </si>
  <si>
    <t>12/29/1962</t>
  </si>
  <si>
    <t>08/05/1956</t>
  </si>
  <si>
    <t>08/26/1945</t>
  </si>
  <si>
    <t>10/29/1943</t>
  </si>
  <si>
    <t>11/12/1956</t>
  </si>
  <si>
    <t>08/09/1975</t>
  </si>
  <si>
    <t>03/06/1970</t>
  </si>
  <si>
    <t>06/11/1971</t>
  </si>
  <si>
    <t>08/19/1960</t>
  </si>
  <si>
    <t>05/09/1978</t>
  </si>
  <si>
    <t>09/02/1991</t>
  </si>
  <si>
    <t>03/02/1937</t>
  </si>
  <si>
    <t>05/12/1976</t>
  </si>
  <si>
    <t>03/08/1993</t>
  </si>
  <si>
    <t>09/09/1966</t>
  </si>
  <si>
    <t>03/25/1958</t>
  </si>
  <si>
    <t>09/14/1965</t>
  </si>
  <si>
    <t>07/18/1972</t>
  </si>
  <si>
    <t>05/18/1971</t>
  </si>
  <si>
    <t>11/25/1968</t>
  </si>
  <si>
    <t>11/07/1956</t>
  </si>
  <si>
    <t>05/07/1946</t>
  </si>
  <si>
    <t>01/07/1967</t>
  </si>
  <si>
    <t>10/15/1957</t>
  </si>
  <si>
    <t>08/29/1974</t>
  </si>
  <si>
    <t>03/06/1961</t>
  </si>
  <si>
    <t>08/13/1973</t>
  </si>
  <si>
    <t>05/17/1964</t>
  </si>
  <si>
    <t>12/30/1945</t>
  </si>
  <si>
    <t>11/29/1950</t>
  </si>
  <si>
    <t>05/31/1951</t>
  </si>
  <si>
    <t>12/17/1970</t>
  </si>
  <si>
    <t>04/05/1971</t>
  </si>
  <si>
    <t>07/07/1948</t>
  </si>
  <si>
    <t>08/02/1977</t>
  </si>
  <si>
    <t>08/02/1978</t>
  </si>
  <si>
    <t>03/12/1978</t>
  </si>
  <si>
    <t>09/06/1968</t>
  </si>
  <si>
    <t>02/04/1956</t>
  </si>
  <si>
    <t>04/27/1990</t>
  </si>
  <si>
    <t>03/12/1971</t>
  </si>
  <si>
    <t>07/10/1960</t>
  </si>
  <si>
    <t>08/31/1976</t>
  </si>
  <si>
    <t>08/06/1952</t>
  </si>
  <si>
    <t>06/11/1956</t>
  </si>
  <si>
    <t>11/12/1975</t>
  </si>
  <si>
    <t>04/29/1977</t>
  </si>
  <si>
    <t>10/01/1957</t>
  </si>
  <si>
    <t>05/09/1961</t>
  </si>
  <si>
    <t>10/22/1987</t>
  </si>
  <si>
    <t>09/22/1973</t>
  </si>
  <si>
    <t>08/26/1972</t>
  </si>
  <si>
    <t>12/14/1954</t>
  </si>
  <si>
    <t>05/29/1988</t>
  </si>
  <si>
    <t>03/16/1986</t>
  </si>
  <si>
    <t>08/31/1983</t>
  </si>
  <si>
    <t>05/23/1980</t>
  </si>
  <si>
    <t>12/24/1961</t>
  </si>
  <si>
    <t>09/04/1944</t>
  </si>
  <si>
    <t>03/21/1980</t>
  </si>
  <si>
    <t>07/08/1962</t>
  </si>
  <si>
    <t>03/09/1988</t>
  </si>
  <si>
    <t>04/06/1943</t>
  </si>
  <si>
    <t>01/09/1946</t>
  </si>
  <si>
    <t>06/05/1965</t>
  </si>
  <si>
    <t>03/21/1989</t>
  </si>
  <si>
    <t>08/27/1957</t>
  </si>
  <si>
    <t>07/03/1960</t>
  </si>
  <si>
    <t>03/19/1989</t>
  </si>
  <si>
    <t>05/09/1970</t>
  </si>
  <si>
    <t>12/16/1968</t>
  </si>
  <si>
    <t>04/21/1986</t>
  </si>
  <si>
    <t>05/21/1984</t>
  </si>
  <si>
    <t>11/10/1974</t>
  </si>
  <si>
    <t>08/20/1948</t>
  </si>
  <si>
    <t>06/06/1971</t>
  </si>
  <si>
    <t>02/23/1952</t>
  </si>
  <si>
    <t>01/01/1964</t>
  </si>
  <si>
    <t>04/29/1974</t>
  </si>
  <si>
    <t>10/05/1993</t>
  </si>
  <si>
    <t>03/01/1993</t>
  </si>
  <si>
    <t>10/15/1983</t>
  </si>
  <si>
    <t>06/25/1956</t>
  </si>
  <si>
    <t>06/25/1984</t>
  </si>
  <si>
    <t>04/04/1967</t>
  </si>
  <si>
    <t>08/13/1968</t>
  </si>
  <si>
    <t>07/05/1953</t>
  </si>
  <si>
    <t>02/28/1978</t>
  </si>
  <si>
    <t>09/15/1973</t>
  </si>
  <si>
    <t>02/01/1965</t>
  </si>
  <si>
    <t>06/04/1956</t>
  </si>
  <si>
    <t>07/12/1949</t>
  </si>
  <si>
    <t>11/01/1954</t>
  </si>
  <si>
    <t>04/15/1983</t>
  </si>
  <si>
    <t>04/02/1966</t>
  </si>
  <si>
    <t>08/25/1962</t>
  </si>
  <si>
    <t>09/11/1959</t>
  </si>
  <si>
    <t>09/25/1946</t>
  </si>
  <si>
    <t>12/20/1960</t>
  </si>
  <si>
    <t>06/30/1963</t>
  </si>
  <si>
    <t>10/01/1986</t>
  </si>
  <si>
    <t>01/07/1982</t>
  </si>
  <si>
    <t>01/15/1952</t>
  </si>
  <si>
    <t>05/27/1989</t>
  </si>
  <si>
    <t>08/24/1973</t>
  </si>
  <si>
    <t>08/15/1981</t>
  </si>
  <si>
    <t>12/01/1978</t>
  </si>
  <si>
    <t>12/09/1981</t>
  </si>
  <si>
    <t>01/01/1954</t>
  </si>
  <si>
    <t>06/12/1945</t>
  </si>
  <si>
    <t>11/06/1977</t>
  </si>
  <si>
    <t>10/10/1974</t>
  </si>
  <si>
    <t>05/05/1983</t>
  </si>
  <si>
    <t>06/26/1988</t>
  </si>
  <si>
    <t>04/06/1970</t>
  </si>
  <si>
    <t>01/10/1989</t>
  </si>
  <si>
    <t>02/08/1967</t>
  </si>
  <si>
    <t>06/01/1967</t>
  </si>
  <si>
    <t>06/10/1970</t>
  </si>
  <si>
    <t>06/29/1979</t>
  </si>
  <si>
    <t>05/23/1944</t>
  </si>
  <si>
    <t>02/06/1944</t>
  </si>
  <si>
    <t>07/17/1962</t>
  </si>
  <si>
    <t>04/06/1988</t>
  </si>
  <si>
    <t>11/15/1954</t>
  </si>
  <si>
    <t>07/14/1984</t>
  </si>
  <si>
    <t>09/17/1975</t>
  </si>
  <si>
    <t>01/05/1979</t>
  </si>
  <si>
    <t>02/02/1970</t>
  </si>
  <si>
    <t>01/07/1979</t>
  </si>
  <si>
    <t>09/18/1940</t>
  </si>
  <si>
    <t>02/01/1972</t>
  </si>
  <si>
    <t>08/03/1958</t>
  </si>
  <si>
    <t>10/20/1952</t>
  </si>
  <si>
    <t>11/29/1957</t>
  </si>
  <si>
    <t>07/06/1955</t>
  </si>
  <si>
    <t>10/20/1962</t>
  </si>
  <si>
    <t>02/27/1989</t>
  </si>
  <si>
    <t>04/06/1959</t>
  </si>
  <si>
    <t>11/01/1968</t>
  </si>
  <si>
    <t>04/19/1987</t>
  </si>
  <si>
    <t>06/03/1987</t>
  </si>
  <si>
    <t>11/18/1989</t>
  </si>
  <si>
    <t>03/22/1972</t>
  </si>
  <si>
    <t>11/10/1981</t>
  </si>
  <si>
    <t>04/04/1954</t>
  </si>
  <si>
    <t>10/11/1955</t>
  </si>
  <si>
    <t>10/27/1974</t>
  </si>
  <si>
    <t>09/21/1976</t>
  </si>
  <si>
    <t>06/25/1940</t>
  </si>
  <si>
    <t>07/08/1989</t>
  </si>
  <si>
    <t>12/19/1975</t>
  </si>
  <si>
    <t>02/15/1978</t>
  </si>
  <si>
    <t>11/26/1987</t>
  </si>
  <si>
    <t>07/21/1990</t>
  </si>
  <si>
    <t>12/25/1970</t>
  </si>
  <si>
    <t>04/24/1950</t>
  </si>
  <si>
    <t>01/22/1993</t>
  </si>
  <si>
    <t>11/03/1966</t>
  </si>
  <si>
    <t>12/24/1954</t>
  </si>
  <si>
    <t>10/02/1956</t>
  </si>
  <si>
    <t>12/18/1963</t>
  </si>
  <si>
    <t>10/26/1957</t>
  </si>
  <si>
    <t>03/01/1972</t>
  </si>
  <si>
    <t>07/16/1977</t>
  </si>
  <si>
    <t>08/09/1955</t>
  </si>
  <si>
    <t>04/08/1962</t>
  </si>
  <si>
    <t>07/22/1986</t>
  </si>
  <si>
    <t>09/19/1959</t>
  </si>
  <si>
    <t>05/16/1957</t>
  </si>
  <si>
    <t>11/08/1976</t>
  </si>
  <si>
    <t>06/08/1961</t>
  </si>
  <si>
    <t>05/26/1960</t>
  </si>
  <si>
    <t>10/08/1981</t>
  </si>
  <si>
    <t>03/06/1990</t>
  </si>
  <si>
    <t>09/02/1971</t>
  </si>
  <si>
    <t>07/13/1945</t>
  </si>
  <si>
    <t>05/16/1951</t>
  </si>
  <si>
    <t>11/03/1968</t>
  </si>
  <si>
    <t>06/11/1980</t>
  </si>
  <si>
    <t>11/13/1979</t>
  </si>
  <si>
    <t>03/04/1977</t>
  </si>
  <si>
    <t>03/08/1981</t>
  </si>
  <si>
    <t>05/06/1989</t>
  </si>
  <si>
    <t>08/27/1970</t>
  </si>
  <si>
    <t>01/09/1983</t>
  </si>
  <si>
    <t>12/01/1987</t>
  </si>
  <si>
    <t>03/01/1967</t>
  </si>
  <si>
    <t>10/21/1965</t>
  </si>
  <si>
    <t>01/20/1958</t>
  </si>
  <si>
    <t>08/20/1999</t>
  </si>
  <si>
    <t>07/08/1958</t>
  </si>
  <si>
    <t>09/08/1980</t>
  </si>
  <si>
    <t>04/06/1958</t>
  </si>
  <si>
    <t>06/03/1968</t>
  </si>
  <si>
    <t>04/01/1958</t>
  </si>
  <si>
    <t>05/11/1959</t>
  </si>
  <si>
    <t>07/28/1969</t>
  </si>
  <si>
    <t>06/12/1988</t>
  </si>
  <si>
    <t>01/14/1980</t>
  </si>
  <si>
    <t>03/19/1992</t>
  </si>
  <si>
    <t>09/01/1982</t>
  </si>
  <si>
    <t>05/23/1962</t>
  </si>
  <si>
    <t>01/17/1957</t>
  </si>
  <si>
    <t>10/19/1977</t>
  </si>
  <si>
    <t>06/18/1961</t>
  </si>
  <si>
    <t>05/13/1977</t>
  </si>
  <si>
    <t>03/21/1957</t>
  </si>
  <si>
    <t>02/10/1964</t>
  </si>
  <si>
    <t>12/31/1976</t>
  </si>
  <si>
    <t>06/30/1959</t>
  </si>
  <si>
    <t>06/03/1963</t>
  </si>
  <si>
    <t>06/04/1967</t>
  </si>
  <si>
    <t>03/22/1978</t>
  </si>
  <si>
    <t>02/05/1965</t>
  </si>
  <si>
    <t>05/27/1953</t>
  </si>
  <si>
    <t>12/29/1989</t>
  </si>
  <si>
    <t>11/26/1976</t>
  </si>
  <si>
    <t>08/19/1949</t>
  </si>
  <si>
    <t>12/08/1966</t>
  </si>
  <si>
    <t>03/26/1956</t>
  </si>
  <si>
    <t>12/31/1967</t>
  </si>
  <si>
    <t>02/20/1958</t>
  </si>
  <si>
    <t>03/04/1958</t>
  </si>
  <si>
    <t>07/13/1959</t>
  </si>
  <si>
    <t>06/09/1965</t>
  </si>
  <si>
    <t>10/11/1958</t>
  </si>
  <si>
    <t>03/31/1985</t>
  </si>
  <si>
    <t>10/08/1956</t>
  </si>
  <si>
    <t>12/01/1958</t>
  </si>
  <si>
    <t>02/25/1981</t>
  </si>
  <si>
    <t>12/23/1961</t>
  </si>
  <si>
    <t>10/26/1972</t>
  </si>
  <si>
    <t>05/29/1958</t>
  </si>
  <si>
    <t>03/03/1965</t>
  </si>
  <si>
    <t>09/22/1949</t>
  </si>
  <si>
    <t>08/17/1974</t>
  </si>
  <si>
    <t>10/09/1945</t>
  </si>
  <si>
    <t>05/10/1956</t>
  </si>
  <si>
    <t>01/13/1959</t>
  </si>
  <si>
    <t>04/07/1970</t>
  </si>
  <si>
    <t>09/12/1987</t>
  </si>
  <si>
    <t>09/17/1989</t>
  </si>
  <si>
    <t>08/16/1964</t>
  </si>
  <si>
    <t>08/10/1951</t>
  </si>
  <si>
    <t>11/08/1946</t>
  </si>
  <si>
    <t>02/29/1960</t>
  </si>
  <si>
    <t>04/28/1959</t>
  </si>
  <si>
    <t>11/08/1967</t>
  </si>
  <si>
    <t>12/28/1951</t>
  </si>
  <si>
    <t>12/13/1971</t>
  </si>
  <si>
    <t>02/04/1983</t>
  </si>
  <si>
    <t>11/01/1951</t>
  </si>
  <si>
    <t>03/04/1951</t>
  </si>
  <si>
    <t>02/13/1971</t>
  </si>
  <si>
    <t>07/31/1961</t>
  </si>
  <si>
    <t>02/06/1965</t>
  </si>
  <si>
    <t>06/18/1981</t>
  </si>
  <si>
    <t>06/21/1963</t>
  </si>
  <si>
    <t>04/14/1975</t>
  </si>
  <si>
    <t>06/06/1968</t>
  </si>
  <si>
    <t>01/29/1968</t>
  </si>
  <si>
    <t>02/07/1997</t>
  </si>
  <si>
    <t>01/22/1965</t>
  </si>
  <si>
    <t>01/05/1995</t>
  </si>
  <si>
    <t>04/22/1968</t>
  </si>
  <si>
    <t>01/19/1965</t>
  </si>
  <si>
    <t>05/14/1982</t>
  </si>
  <si>
    <t>09/19/1967</t>
  </si>
  <si>
    <t>08/03/1982</t>
  </si>
  <si>
    <t>06/23/1978</t>
  </si>
  <si>
    <t>06/27/1966</t>
  </si>
  <si>
    <t>08/19/1986</t>
  </si>
  <si>
    <t>06/08/1964</t>
  </si>
  <si>
    <t>11/02/1985</t>
  </si>
  <si>
    <t>12/13/1984</t>
  </si>
  <si>
    <t>10/03/1985</t>
  </si>
  <si>
    <t>06/08/1977</t>
  </si>
  <si>
    <t>04/17/1978</t>
  </si>
  <si>
    <t>02/18/1990</t>
  </si>
  <si>
    <t>10/02/1979</t>
  </si>
  <si>
    <t>12/15/1955</t>
  </si>
  <si>
    <t>11/30/1976</t>
  </si>
  <si>
    <t>07/06/1977</t>
  </si>
  <si>
    <t>04/15/1987</t>
  </si>
  <si>
    <t>11/21/1962</t>
  </si>
  <si>
    <t>04/12/1963</t>
  </si>
  <si>
    <t>10/16/1979</t>
  </si>
  <si>
    <t>06/02/1982</t>
  </si>
  <si>
    <t>08/22/1961</t>
  </si>
  <si>
    <t>05/14/1986</t>
  </si>
  <si>
    <t>09/29/1971</t>
  </si>
  <si>
    <t>04/19/1985</t>
  </si>
  <si>
    <t>05/27/1976</t>
  </si>
  <si>
    <t>01/08/1981</t>
  </si>
  <si>
    <t>02/05/1982</t>
  </si>
  <si>
    <t>03/19/1960</t>
  </si>
  <si>
    <t>09/30/1973</t>
  </si>
  <si>
    <t>11/04/1969</t>
  </si>
  <si>
    <t>06/26/1978</t>
  </si>
  <si>
    <t>09/14/1956</t>
  </si>
  <si>
    <t>08/23/1965</t>
  </si>
  <si>
    <t>07/09/1986</t>
  </si>
  <si>
    <t>12/14/1989</t>
  </si>
  <si>
    <t>03/04/1968</t>
  </si>
  <si>
    <t>12/09/1969</t>
  </si>
  <si>
    <t>11/08/1972</t>
  </si>
  <si>
    <t>08/23/1968</t>
  </si>
  <si>
    <t>09/18/1975</t>
  </si>
  <si>
    <t>12/17/1984</t>
  </si>
  <si>
    <t>06/14/1968</t>
  </si>
  <si>
    <t>01/27/1952</t>
  </si>
  <si>
    <t>11/05/1962</t>
  </si>
  <si>
    <t>06/19/1952</t>
  </si>
  <si>
    <t>09/17/1981</t>
  </si>
  <si>
    <t>09/12/1981</t>
  </si>
  <si>
    <t>02/16/1992</t>
  </si>
  <si>
    <t>09/22/1969</t>
  </si>
  <si>
    <t>05/15/1961</t>
  </si>
  <si>
    <t>06/23/1974</t>
  </si>
  <si>
    <t>08/08/1955</t>
  </si>
  <si>
    <t>10/11/1956</t>
  </si>
  <si>
    <t>09/23/1959</t>
  </si>
  <si>
    <t>11/15/1975</t>
  </si>
  <si>
    <t>04/20/1983</t>
  </si>
  <si>
    <t>11/01/1982</t>
  </si>
  <si>
    <t>03/17/1950</t>
  </si>
  <si>
    <t>01/25/1963</t>
  </si>
  <si>
    <t>11/23/1942</t>
  </si>
  <si>
    <t>09/08/1977</t>
  </si>
  <si>
    <t>02/23/1967</t>
  </si>
  <si>
    <t>02/11/1990</t>
  </si>
  <si>
    <t>10/01/1962</t>
  </si>
  <si>
    <t>07/20/1953</t>
  </si>
  <si>
    <t>08/13/1965</t>
  </si>
  <si>
    <t>05/15/1944</t>
  </si>
  <si>
    <t>10/30/1954</t>
  </si>
  <si>
    <t>10/30/1978</t>
  </si>
  <si>
    <t>03/02/1941</t>
  </si>
  <si>
    <t>07/20/1986</t>
  </si>
  <si>
    <t>02/14/1987</t>
  </si>
  <si>
    <t>10/18/1984</t>
  </si>
  <si>
    <t>11/10/1970</t>
  </si>
  <si>
    <t>02/24/1993</t>
  </si>
  <si>
    <t>11/21/1992</t>
  </si>
  <si>
    <t>01/21/1991</t>
  </si>
  <si>
    <t>08/20/1994</t>
  </si>
  <si>
    <t>09/22/1980</t>
  </si>
  <si>
    <t>01/09/1988</t>
  </si>
  <si>
    <t>12/30/1971</t>
  </si>
  <si>
    <t>11/15/1964</t>
  </si>
  <si>
    <t>03/21/1954</t>
  </si>
  <si>
    <t>02/07/1958</t>
  </si>
  <si>
    <t>02/05/1985</t>
  </si>
  <si>
    <t>02/12/1973</t>
  </si>
  <si>
    <t>05/23/1947</t>
  </si>
  <si>
    <t>09/24/1984</t>
  </si>
  <si>
    <t>12/26/1938</t>
  </si>
  <si>
    <t>07/04/1980</t>
  </si>
  <si>
    <t>12/25/1979</t>
  </si>
  <si>
    <t>05/07/1959</t>
  </si>
  <si>
    <t>06/08/1944</t>
  </si>
  <si>
    <t>09/09/1987</t>
  </si>
  <si>
    <t>12/19/1958</t>
  </si>
  <si>
    <t>05/10/1995</t>
  </si>
  <si>
    <t>04/26/1989</t>
  </si>
  <si>
    <t>12/22/1943</t>
  </si>
  <si>
    <t>03/02/1974</t>
  </si>
  <si>
    <t>08/21/1967</t>
  </si>
  <si>
    <t>10/03/1982</t>
  </si>
  <si>
    <t>02/12/1955</t>
  </si>
  <si>
    <t>08/02/1980</t>
  </si>
  <si>
    <t>11/12/1982</t>
  </si>
  <si>
    <t>03/24/1967</t>
  </si>
  <si>
    <t>10/26/1954</t>
  </si>
  <si>
    <t>01/25/1955</t>
  </si>
  <si>
    <t>08/23/1964</t>
  </si>
  <si>
    <t>02/28/1953</t>
  </si>
  <si>
    <t>01/15/1950</t>
  </si>
  <si>
    <t>01/15/1983</t>
  </si>
  <si>
    <t>12/15/1977</t>
  </si>
  <si>
    <t>11/27/1958</t>
  </si>
  <si>
    <t>12/22/1967</t>
  </si>
  <si>
    <t>08/15/1959</t>
  </si>
  <si>
    <t>12/31/1981</t>
  </si>
  <si>
    <t>08/17/1956</t>
  </si>
  <si>
    <t>01/05/1946</t>
  </si>
  <si>
    <t>02/15/1957</t>
  </si>
  <si>
    <t>01/23/1956</t>
  </si>
  <si>
    <t>06/05/1953</t>
  </si>
  <si>
    <t>07/11/1989</t>
  </si>
  <si>
    <t>12/25/1950</t>
  </si>
  <si>
    <t>02/07/1961</t>
  </si>
  <si>
    <t>02/17/1949</t>
  </si>
  <si>
    <t>03/02/1942</t>
  </si>
  <si>
    <t>10/28/1965</t>
  </si>
  <si>
    <t>09/19/1980</t>
  </si>
  <si>
    <t>10/09/1987</t>
  </si>
  <si>
    <t>01/05/1963</t>
  </si>
  <si>
    <t>06/06/1978</t>
  </si>
  <si>
    <t>11/06/1980</t>
  </si>
  <si>
    <t>03/15/1977</t>
  </si>
  <si>
    <t>12/04/1952</t>
  </si>
  <si>
    <t>02/09/1976</t>
  </si>
  <si>
    <t>03/04/1938</t>
  </si>
  <si>
    <t>04/10/1951</t>
  </si>
  <si>
    <t>01/24/1974</t>
  </si>
  <si>
    <t>10/20/1968</t>
  </si>
  <si>
    <t>02/20/1984</t>
  </si>
  <si>
    <t>11/09/1977</t>
  </si>
  <si>
    <t>02/08/1992</t>
  </si>
  <si>
    <t>04/02/1971</t>
  </si>
  <si>
    <t>04/08/1988</t>
  </si>
  <si>
    <t>03/07/1946</t>
  </si>
  <si>
    <t>12/29/1993</t>
  </si>
  <si>
    <t>01/02/1960</t>
  </si>
  <si>
    <t>04/15/1977</t>
  </si>
  <si>
    <t>10/06/1974</t>
  </si>
  <si>
    <t>09/04/1959</t>
  </si>
  <si>
    <t>12/09/1950</t>
  </si>
  <si>
    <t>02/12/1986</t>
  </si>
  <si>
    <t>08/01/1991</t>
  </si>
  <si>
    <t>08/22/1989</t>
  </si>
  <si>
    <t>06/11/1967</t>
  </si>
  <si>
    <t>09/02/1969</t>
  </si>
  <si>
    <t>12/10/1995</t>
  </si>
  <si>
    <t>09/23/1975</t>
  </si>
  <si>
    <t>08/05/1964</t>
  </si>
  <si>
    <t>10/12/1987</t>
  </si>
  <si>
    <t>01/15/1954</t>
  </si>
  <si>
    <t>04/22/1985</t>
  </si>
  <si>
    <t>07/30/1956</t>
  </si>
  <si>
    <t>03/25/1978</t>
  </si>
  <si>
    <t>01/12/1961</t>
  </si>
  <si>
    <t>01/29/1956</t>
  </si>
  <si>
    <t>10/11/1978</t>
  </si>
  <si>
    <t>12/10/1987</t>
  </si>
  <si>
    <t>07/27/1967</t>
  </si>
  <si>
    <t>11/08/1974</t>
  </si>
  <si>
    <t>09/13/1983</t>
  </si>
  <si>
    <t>09/14/1969</t>
  </si>
  <si>
    <t>03/10/1971</t>
  </si>
  <si>
    <t>09/08/1962</t>
  </si>
  <si>
    <t>10/11/1969</t>
  </si>
  <si>
    <t>10/15/1950</t>
  </si>
  <si>
    <t>06/19/1975</t>
  </si>
  <si>
    <t>03/22/1993</t>
  </si>
  <si>
    <t>05/09/1993</t>
  </si>
  <si>
    <t>08/13/1975</t>
  </si>
  <si>
    <t>06/23/1984</t>
  </si>
  <si>
    <t>05/03/1968</t>
  </si>
  <si>
    <t>07/13/1983</t>
  </si>
  <si>
    <t>02/15/1962</t>
  </si>
  <si>
    <t>08/31/1973</t>
  </si>
  <si>
    <t>04/19/1995</t>
  </si>
  <si>
    <t>07/08/1967</t>
  </si>
  <si>
    <t>07/27/1964</t>
  </si>
  <si>
    <t>11/29/1963</t>
  </si>
  <si>
    <t>07/24/1973</t>
  </si>
  <si>
    <t>09/02/1961</t>
  </si>
  <si>
    <t>04/14/1996</t>
  </si>
  <si>
    <t>06/22/1963</t>
  </si>
  <si>
    <t>03/24/1966</t>
  </si>
  <si>
    <t>12/03/1963</t>
  </si>
  <si>
    <t>01/24/1994</t>
  </si>
  <si>
    <t>08/24/1944</t>
  </si>
  <si>
    <t>11/18/1982</t>
  </si>
  <si>
    <t>03/16/1983</t>
  </si>
  <si>
    <t>12/28/1980</t>
  </si>
  <si>
    <t>02/24/1995</t>
  </si>
  <si>
    <t>02/18/1937</t>
  </si>
  <si>
    <t>03/17/1961</t>
  </si>
  <si>
    <t>07/29/1977</t>
  </si>
  <si>
    <t>05/12/1965</t>
  </si>
  <si>
    <t>03/07/1981</t>
  </si>
  <si>
    <t>05/05/1986</t>
  </si>
  <si>
    <t>06/23/1987</t>
  </si>
  <si>
    <t>08/06/1966</t>
  </si>
  <si>
    <t>11/16/1931</t>
  </si>
  <si>
    <t>06/09/1968</t>
  </si>
  <si>
    <t>01/19/1988</t>
  </si>
  <si>
    <t>12/13/1964</t>
  </si>
  <si>
    <t>01/28/1968</t>
  </si>
  <si>
    <t>04/17/1963</t>
  </si>
  <si>
    <t>10/06/1986</t>
  </si>
  <si>
    <t>04/14/1976</t>
  </si>
  <si>
    <t>01/01/1945</t>
  </si>
  <si>
    <t>01/06/1989</t>
  </si>
  <si>
    <t>03/17/1995</t>
  </si>
  <si>
    <t>09/17/1977</t>
  </si>
  <si>
    <t>04/18/1959</t>
  </si>
  <si>
    <t>01/13/1985</t>
  </si>
  <si>
    <t>08/28/1966</t>
  </si>
  <si>
    <t>01/10/1963</t>
  </si>
  <si>
    <t>06/09/1976</t>
  </si>
  <si>
    <t>09/15/1955</t>
  </si>
  <si>
    <t>04/30/1975</t>
  </si>
  <si>
    <t>04/26/1963</t>
  </si>
  <si>
    <t>02/05/1952</t>
  </si>
  <si>
    <t>07/14/1969</t>
  </si>
  <si>
    <t>04/05/1977</t>
  </si>
  <si>
    <t>03/08/1979</t>
  </si>
  <si>
    <t>01/01/1973</t>
  </si>
  <si>
    <t>03/04/1981</t>
  </si>
  <si>
    <t>02/27/1997</t>
  </si>
  <si>
    <t>08/21/1950</t>
  </si>
  <si>
    <t>10/29/1961</t>
  </si>
  <si>
    <t>05/05/1975</t>
  </si>
  <si>
    <t>09/21/1978</t>
  </si>
  <si>
    <t>05/07/1978</t>
  </si>
  <si>
    <t>09/22/1963</t>
  </si>
  <si>
    <t>09/04/1986</t>
  </si>
  <si>
    <t>03/20/1963</t>
  </si>
  <si>
    <t>01/20/1951</t>
  </si>
  <si>
    <t>06/03/1941</t>
  </si>
  <si>
    <t>05/18/1957</t>
  </si>
  <si>
    <t>04/24/1946</t>
  </si>
  <si>
    <t>08/23/1948</t>
  </si>
  <si>
    <t>03/14/1955</t>
  </si>
  <si>
    <t>10/31/1934</t>
  </si>
  <si>
    <t>08/01/1988</t>
  </si>
  <si>
    <t>05/29/1991</t>
  </si>
  <si>
    <t>02/12/1987</t>
  </si>
  <si>
    <t>03/31/1951</t>
  </si>
  <si>
    <t>09/20/1989</t>
  </si>
  <si>
    <t>09/20/1959</t>
  </si>
  <si>
    <t>06/02/1964</t>
  </si>
  <si>
    <t>08/10/1995</t>
  </si>
  <si>
    <t>02/20/1956</t>
  </si>
  <si>
    <t>07/20/1981</t>
  </si>
  <si>
    <t>09/06/1952</t>
  </si>
  <si>
    <t>02/12/1965</t>
  </si>
  <si>
    <t>08/20/1992</t>
  </si>
  <si>
    <t>03/30/1937</t>
  </si>
  <si>
    <t>09/20/1957</t>
  </si>
  <si>
    <t>10/08/1983</t>
  </si>
  <si>
    <t>03/14/1957</t>
  </si>
  <si>
    <t>02/13/1966</t>
  </si>
  <si>
    <t>01/14/1963</t>
  </si>
  <si>
    <t>11/22/1932</t>
  </si>
  <si>
    <t>09/19/1949</t>
  </si>
  <si>
    <t>06/10/1976</t>
  </si>
  <si>
    <t>07/17/1975</t>
  </si>
  <si>
    <t>05/17/1990</t>
  </si>
  <si>
    <t>09/22/1962</t>
  </si>
  <si>
    <t>07/31/1969</t>
  </si>
  <si>
    <t>03/08/1962</t>
  </si>
  <si>
    <t>02/20/1977</t>
  </si>
  <si>
    <t>05/28/1933</t>
  </si>
  <si>
    <t>02/03/1977</t>
  </si>
  <si>
    <t>07/09/1962</t>
  </si>
  <si>
    <t>10/11/1954</t>
  </si>
  <si>
    <t>12/13/1949</t>
  </si>
  <si>
    <t>12/20/1946</t>
  </si>
  <si>
    <t>08/11/1974</t>
  </si>
  <si>
    <t>01/02/1941</t>
  </si>
  <si>
    <t>07/24/1963</t>
  </si>
  <si>
    <t>10/30/1929</t>
  </si>
  <si>
    <t>05/21/1970</t>
  </si>
  <si>
    <t>07/30/1962</t>
  </si>
  <si>
    <t>06/04/1949</t>
  </si>
  <si>
    <t>02/28/1955</t>
  </si>
  <si>
    <t>10/03/1983</t>
  </si>
  <si>
    <t>06/19/1955</t>
  </si>
  <si>
    <t>10/28/1993</t>
  </si>
  <si>
    <t>04/11/1962</t>
  </si>
  <si>
    <t>04/13/1934</t>
  </si>
  <si>
    <t>09/19/1958</t>
  </si>
  <si>
    <t>08/13/1983</t>
  </si>
  <si>
    <t>04/25/1975</t>
  </si>
  <si>
    <t>12/22/1982</t>
  </si>
  <si>
    <t>02/28/1945</t>
  </si>
  <si>
    <t>05/20/1967</t>
  </si>
  <si>
    <t>02/04/1980</t>
  </si>
  <si>
    <t>08/10/1942</t>
  </si>
  <si>
    <t>07/01/1979</t>
  </si>
  <si>
    <t>02/20/1990</t>
  </si>
  <si>
    <t>07/14/1966</t>
  </si>
  <si>
    <t>12/04/1973</t>
  </si>
  <si>
    <t>06/24/1954</t>
  </si>
  <si>
    <t>06/26/1968</t>
  </si>
  <si>
    <t>05/13/1961</t>
  </si>
  <si>
    <t>09/03/1961</t>
  </si>
  <si>
    <t>08/10/1962</t>
  </si>
  <si>
    <t>01/03/1972</t>
  </si>
  <si>
    <t>09/04/1954</t>
  </si>
  <si>
    <t>10/02/1955</t>
  </si>
  <si>
    <t>08/01/1943</t>
  </si>
  <si>
    <t>04/16/1967</t>
  </si>
  <si>
    <t>03/30/1960</t>
  </si>
  <si>
    <t>08/01/1975</t>
  </si>
  <si>
    <t>05/25/1958</t>
  </si>
  <si>
    <t>09/24/1937</t>
  </si>
  <si>
    <t>09/13/1962</t>
  </si>
  <si>
    <t>06/29/1986</t>
  </si>
  <si>
    <t>12/31/1955</t>
  </si>
  <si>
    <t>12/26/1964</t>
  </si>
  <si>
    <t>10/01/1982</t>
  </si>
  <si>
    <t>05/27/1988</t>
  </si>
  <si>
    <t>09/07/1944</t>
  </si>
  <si>
    <t>07/03/1940</t>
  </si>
  <si>
    <t>12/01/1944</t>
  </si>
  <si>
    <t>09/07/1947</t>
  </si>
  <si>
    <t>06/10/1943</t>
  </si>
  <si>
    <t>02/03/1948</t>
  </si>
  <si>
    <t>01/08/1941</t>
  </si>
  <si>
    <t>12/06/1946</t>
  </si>
  <si>
    <t>06/03/1943</t>
  </si>
  <si>
    <t>09/03/1983</t>
  </si>
  <si>
    <t>02/25/1989</t>
  </si>
  <si>
    <t>10/02/1967</t>
  </si>
  <si>
    <t>09/27/1969</t>
  </si>
  <si>
    <t>06/24/1951</t>
  </si>
  <si>
    <t>12/22/1990</t>
  </si>
  <si>
    <t>02/02/1968</t>
  </si>
  <si>
    <t>01/29/1975</t>
  </si>
  <si>
    <t>02/22/1980</t>
  </si>
  <si>
    <t>09/01/1940</t>
  </si>
  <si>
    <t>05/22/1963</t>
  </si>
  <si>
    <t>09/25/1966</t>
  </si>
  <si>
    <t>02/07/1956</t>
  </si>
  <si>
    <t>07/01/1974</t>
  </si>
  <si>
    <t>12/31/1982</t>
  </si>
  <si>
    <t>04/02/1956</t>
  </si>
  <si>
    <t>09/06/1993</t>
  </si>
  <si>
    <t>12/14/1981</t>
  </si>
  <si>
    <t>01/20/1999</t>
  </si>
  <si>
    <t>08/15/1958</t>
  </si>
  <si>
    <t>03/04/1989</t>
  </si>
  <si>
    <t>03/11/1979</t>
  </si>
  <si>
    <t>12/17/1971</t>
  </si>
  <si>
    <t>09/16/1968</t>
  </si>
  <si>
    <t>04/18/1968</t>
  </si>
  <si>
    <t>02/21/1938</t>
  </si>
  <si>
    <t>05/17/1995</t>
  </si>
  <si>
    <t>01/12/1981</t>
  </si>
  <si>
    <t>01/10/1976</t>
  </si>
  <si>
    <t>05/09/1990</t>
  </si>
  <si>
    <t>06/27/1960</t>
  </si>
  <si>
    <t>05/01/1942</t>
  </si>
  <si>
    <t>05/26/1961</t>
  </si>
  <si>
    <t>12/30/1940</t>
  </si>
  <si>
    <t>01/09/1978</t>
  </si>
  <si>
    <t>07/12/1964</t>
  </si>
  <si>
    <t>09/25/1981</t>
  </si>
  <si>
    <t>05/25/1968</t>
  </si>
  <si>
    <t>08/07/1977</t>
  </si>
  <si>
    <t>03/21/1958</t>
  </si>
  <si>
    <t>10/20/1961</t>
  </si>
  <si>
    <t>01/01/1978</t>
  </si>
  <si>
    <t>01/27/1974</t>
  </si>
  <si>
    <t>10/07/1973</t>
  </si>
  <si>
    <t>12/02/1965</t>
  </si>
  <si>
    <t>12/27/1978</t>
  </si>
  <si>
    <t>03/10/1969</t>
  </si>
  <si>
    <t>10/26/1978</t>
  </si>
  <si>
    <t>01/21/1948</t>
  </si>
  <si>
    <t>10/29/1971</t>
  </si>
  <si>
    <t>05/30/1969</t>
  </si>
  <si>
    <t>04/23/1968</t>
  </si>
  <si>
    <t>04/15/1950</t>
  </si>
  <si>
    <t>11/02/1976</t>
  </si>
  <si>
    <t>03/11/1984</t>
  </si>
  <si>
    <t>01/05/1978</t>
  </si>
  <si>
    <t>01/20/1955</t>
  </si>
  <si>
    <t>02/01/1955</t>
  </si>
  <si>
    <t>12/15/1960</t>
  </si>
  <si>
    <t>07/22/1948</t>
  </si>
  <si>
    <t>07/17/1959</t>
  </si>
  <si>
    <t>09/05/1962</t>
  </si>
  <si>
    <t>01/19/1967</t>
  </si>
  <si>
    <t>02/03/1956</t>
  </si>
  <si>
    <t>09/17/1952</t>
  </si>
  <si>
    <t>05/10/1933</t>
  </si>
  <si>
    <t>03/16/1967</t>
  </si>
  <si>
    <t>10/04/1987</t>
  </si>
  <si>
    <t>01/20/1984</t>
  </si>
  <si>
    <t>11/13/1948</t>
  </si>
  <si>
    <t>06/10/1957</t>
  </si>
  <si>
    <t>10/27/1950</t>
  </si>
  <si>
    <t>08/15/1963</t>
  </si>
  <si>
    <t>06/24/1995</t>
  </si>
  <si>
    <t>04/13/1946</t>
  </si>
  <si>
    <t>04/14/1967</t>
  </si>
  <si>
    <t>02/28/1961</t>
  </si>
  <si>
    <t>12/22/1929</t>
  </si>
  <si>
    <t>11/14/1957</t>
  </si>
  <si>
    <t>03/22/1963</t>
  </si>
  <si>
    <t>04/06/1982</t>
  </si>
  <si>
    <t>10/22/1949</t>
  </si>
  <si>
    <t>06/29/1958</t>
  </si>
  <si>
    <t>01/12/1975</t>
  </si>
  <si>
    <t>11/10/1984</t>
  </si>
  <si>
    <t>01/02/1939</t>
  </si>
  <si>
    <t>04/12/1974</t>
  </si>
  <si>
    <t>06/21/1986</t>
  </si>
  <si>
    <t>08/08/1946</t>
  </si>
  <si>
    <t>11/13/1951</t>
  </si>
  <si>
    <t>08/11/1968</t>
  </si>
  <si>
    <t>03/25/1984</t>
  </si>
  <si>
    <t>08/03/1969</t>
  </si>
  <si>
    <t>01/25/1956</t>
  </si>
  <si>
    <t>12/27/1946</t>
  </si>
  <si>
    <t>06/03/1975</t>
  </si>
  <si>
    <t>08/30/1968</t>
  </si>
  <si>
    <t>09/18/1990</t>
  </si>
  <si>
    <t>01/01/1936</t>
  </si>
  <si>
    <t>05/12/1991</t>
  </si>
  <si>
    <t>01/19/1975</t>
  </si>
  <si>
    <t>09/04/1970</t>
  </si>
  <si>
    <t>11/02/1969</t>
  </si>
  <si>
    <t>04/05/1972</t>
  </si>
  <si>
    <t>09/25/1956</t>
  </si>
  <si>
    <t>02/11/1951</t>
  </si>
  <si>
    <t>06/19/1968</t>
  </si>
  <si>
    <t>12/11/1970</t>
  </si>
  <si>
    <t>10/22/1984</t>
  </si>
  <si>
    <t>06/13/1942</t>
  </si>
  <si>
    <t>10/19/1965</t>
  </si>
  <si>
    <t>03/05/1952</t>
  </si>
  <si>
    <t>08/18/1967</t>
  </si>
  <si>
    <t>03/15/1955</t>
  </si>
  <si>
    <t>11/17/1936</t>
  </si>
  <si>
    <t>10/17/1961</t>
  </si>
  <si>
    <t>02/01/1946</t>
  </si>
  <si>
    <t>04/30/1979</t>
  </si>
  <si>
    <t>04/30/1953</t>
  </si>
  <si>
    <t>11/11/1956</t>
  </si>
  <si>
    <t>09/27/1959</t>
  </si>
  <si>
    <t>10/24/1964</t>
  </si>
  <si>
    <t>05/08/1959</t>
  </si>
  <si>
    <t>04/04/1963</t>
  </si>
  <si>
    <t>01/05/1977</t>
  </si>
  <si>
    <t>12/12/1972</t>
  </si>
  <si>
    <t>07/23/1966</t>
  </si>
  <si>
    <t>12/28/1985</t>
  </si>
  <si>
    <t>03/30/1956</t>
  </si>
  <si>
    <t>10/30/1962</t>
  </si>
  <si>
    <t>04/11/1959</t>
  </si>
  <si>
    <t>05/22/1978</t>
  </si>
  <si>
    <t>07/06/1947</t>
  </si>
  <si>
    <t>06/15/1967</t>
  </si>
  <si>
    <t>05/27/1958</t>
  </si>
  <si>
    <t>04/06/1952</t>
  </si>
  <si>
    <t>12/13/1946</t>
  </si>
  <si>
    <t>08/18/1947</t>
  </si>
  <si>
    <t>06/28/1971</t>
  </si>
  <si>
    <t>05/24/1971</t>
  </si>
  <si>
    <t>02/07/1954</t>
  </si>
  <si>
    <t>12/08/1950</t>
  </si>
  <si>
    <t>02/25/1998</t>
  </si>
  <si>
    <t>01/11/1953</t>
  </si>
  <si>
    <t>12/26/1966</t>
  </si>
  <si>
    <t>03/23/1978</t>
  </si>
  <si>
    <t>12/16/1970</t>
  </si>
  <si>
    <t>12/20/1979</t>
  </si>
  <si>
    <t>02/26/1992</t>
  </si>
  <si>
    <t>06/07/1951</t>
  </si>
  <si>
    <t>12/11/1969</t>
  </si>
  <si>
    <t>06/05/1992</t>
  </si>
  <si>
    <t>01/02/1972</t>
  </si>
  <si>
    <t>11/14/1953</t>
  </si>
  <si>
    <t>05/01/1951</t>
  </si>
  <si>
    <t>07/10/2001</t>
  </si>
  <si>
    <t>08/04/1960</t>
  </si>
  <si>
    <t>04/06/1971</t>
  </si>
  <si>
    <t>07/20/1970</t>
  </si>
  <si>
    <t>06/19/1978</t>
  </si>
  <si>
    <t>07/19/1981</t>
  </si>
  <si>
    <t>02/22/1973</t>
  </si>
  <si>
    <t>12/11/1955</t>
  </si>
  <si>
    <t>12/10/1954</t>
  </si>
  <si>
    <t>03/19/1956</t>
  </si>
  <si>
    <t>01/10/1953</t>
  </si>
  <si>
    <t>02/11/1962</t>
  </si>
  <si>
    <t>07/30/1968</t>
  </si>
  <si>
    <t>12/28/1968</t>
  </si>
  <si>
    <t>12/26/1967</t>
  </si>
  <si>
    <t>07/20/1963</t>
  </si>
  <si>
    <t>05/15/1968</t>
  </si>
  <si>
    <t>08/19/1988</t>
  </si>
  <si>
    <t>10/11/1959</t>
  </si>
  <si>
    <t>06/16/1969</t>
  </si>
  <si>
    <t>08/05/1972</t>
  </si>
  <si>
    <t>02/12/1982</t>
  </si>
  <si>
    <t>01/07/1957</t>
  </si>
  <si>
    <t>09/11/1991</t>
  </si>
  <si>
    <t>09/12/1991</t>
  </si>
  <si>
    <t>01/23/1970</t>
  </si>
  <si>
    <t>04/16/1970</t>
  </si>
  <si>
    <t>05/05/1953</t>
  </si>
  <si>
    <t>09/15/1948</t>
  </si>
  <si>
    <t>07/18/1950</t>
  </si>
  <si>
    <t>05/08/1971</t>
  </si>
  <si>
    <t>09/25/1971</t>
  </si>
  <si>
    <t>02/28/1962</t>
  </si>
  <si>
    <t>08/17/1990</t>
  </si>
  <si>
    <t>03/30/1980</t>
  </si>
  <si>
    <t>06/25/1980</t>
  </si>
  <si>
    <t>09/15/1984</t>
  </si>
  <si>
    <t>08/26/1969</t>
  </si>
  <si>
    <t>05/27/1977</t>
  </si>
  <si>
    <t>07/22/1966</t>
  </si>
  <si>
    <t>02/03/1958</t>
  </si>
  <si>
    <t>03/25/1957</t>
  </si>
  <si>
    <t>07/25/1968</t>
  </si>
  <si>
    <t>09/04/1966</t>
  </si>
  <si>
    <t>07/08/1970</t>
  </si>
  <si>
    <t>03/09/1979</t>
  </si>
  <si>
    <t>12/03/1979</t>
  </si>
  <si>
    <t>06/10/1956</t>
  </si>
  <si>
    <t>02/17/1963</t>
  </si>
  <si>
    <t>06/20/1981</t>
  </si>
  <si>
    <t>05/30/1929</t>
  </si>
  <si>
    <t>04/24/1989</t>
  </si>
  <si>
    <t>07/03/1958</t>
  </si>
  <si>
    <t>02/26/1981</t>
  </si>
  <si>
    <t>10/14/1960</t>
  </si>
  <si>
    <t>03/15/1948</t>
  </si>
  <si>
    <t>08/19/1971</t>
  </si>
  <si>
    <t>01/23/1986</t>
  </si>
  <si>
    <t>08/23/1976</t>
  </si>
  <si>
    <t>05/01/1992</t>
  </si>
  <si>
    <t>05/22/1979</t>
  </si>
  <si>
    <t>09/05/1934</t>
  </si>
  <si>
    <t>06/16/1941</t>
  </si>
  <si>
    <t>07/29/1963</t>
  </si>
  <si>
    <t>08/15/1952</t>
  </si>
  <si>
    <t>03/14/1945</t>
  </si>
  <si>
    <t>05/24/1964</t>
  </si>
  <si>
    <t>09/20/1963</t>
  </si>
  <si>
    <t>02/06/1941</t>
  </si>
  <si>
    <t>01/31/1968</t>
  </si>
  <si>
    <t>03/20/1947</t>
  </si>
  <si>
    <t>01/06/1979</t>
  </si>
  <si>
    <t>11/08/1993</t>
  </si>
  <si>
    <t>06/29/1991</t>
  </si>
  <si>
    <t>09/15/1969</t>
  </si>
  <si>
    <t>11/16/1960</t>
  </si>
  <si>
    <t>12/09/1989</t>
  </si>
  <si>
    <t>02/17/1991</t>
  </si>
  <si>
    <t>05/15/1955</t>
  </si>
  <si>
    <t>01/22/1987</t>
  </si>
  <si>
    <t>06/12/1952</t>
  </si>
  <si>
    <t>03/21/1964</t>
  </si>
  <si>
    <t>09/28/1971</t>
  </si>
  <si>
    <t>08/06/1984</t>
  </si>
  <si>
    <t>04/08/1975</t>
  </si>
  <si>
    <t>09/10/1981</t>
  </si>
  <si>
    <t>11/11/1962</t>
  </si>
  <si>
    <t>07/09/1979</t>
  </si>
  <si>
    <t>05/25/1936</t>
  </si>
  <si>
    <t>07/24/1957</t>
  </si>
  <si>
    <t>05/31/1962</t>
  </si>
  <si>
    <t>05/03/1956</t>
  </si>
  <si>
    <t>05/30/1980</t>
  </si>
  <si>
    <t>08/10/1981</t>
  </si>
  <si>
    <t>10/25/1944</t>
  </si>
  <si>
    <t>06/12/1972</t>
  </si>
  <si>
    <t>11/10/1988</t>
  </si>
  <si>
    <t>06/19/1981</t>
  </si>
  <si>
    <t>02/12/1975</t>
  </si>
  <si>
    <t>02/10/1972</t>
  </si>
  <si>
    <t>03/12/1977</t>
  </si>
  <si>
    <t>10/01/1950</t>
  </si>
  <si>
    <t>11/16/1981</t>
  </si>
  <si>
    <t>02/23/1959</t>
  </si>
  <si>
    <t>11/30/1930</t>
  </si>
  <si>
    <t>08/19/1969</t>
  </si>
  <si>
    <t>10/16/1991</t>
  </si>
  <si>
    <t>01/12/1988</t>
  </si>
  <si>
    <t>11/30/1979</t>
  </si>
  <si>
    <t>12/31/1970</t>
  </si>
  <si>
    <t>11/21/1977</t>
  </si>
  <si>
    <t>10/03/1969</t>
  </si>
  <si>
    <t>08/18/1993</t>
  </si>
  <si>
    <t>06/09/1984</t>
  </si>
  <si>
    <t>09/19/1957</t>
  </si>
  <si>
    <t>05/04/1963</t>
  </si>
  <si>
    <t>08/21/1990</t>
  </si>
  <si>
    <t>09/05/1972</t>
  </si>
  <si>
    <t>10/28/1975</t>
  </si>
  <si>
    <t>11/15/1969</t>
  </si>
  <si>
    <t>010750702C</t>
  </si>
  <si>
    <t>Not available</t>
  </si>
  <si>
    <t>037286479D</t>
  </si>
  <si>
    <t>000-00-0000</t>
  </si>
  <si>
    <t>009912518J</t>
  </si>
  <si>
    <t>010337152C</t>
  </si>
  <si>
    <t>2822854-C</t>
  </si>
  <si>
    <t>36932590H</t>
  </si>
  <si>
    <t>012975213F</t>
  </si>
  <si>
    <t>013278371D</t>
  </si>
  <si>
    <t>023267533A</t>
  </si>
  <si>
    <t>13278371D</t>
  </si>
  <si>
    <t>009933940A</t>
  </si>
  <si>
    <t>005253079H</t>
  </si>
  <si>
    <t>034316424A</t>
  </si>
  <si>
    <t>006976669J</t>
  </si>
  <si>
    <t>037048355E</t>
  </si>
  <si>
    <t>Unavailable</t>
  </si>
  <si>
    <t>not available</t>
  </si>
  <si>
    <t>008414814H</t>
  </si>
  <si>
    <t>2171609HCL</t>
  </si>
  <si>
    <t>YDA3239E</t>
  </si>
  <si>
    <t>Y020364E</t>
  </si>
  <si>
    <t>1448589 A</t>
  </si>
  <si>
    <t>014236837C</t>
  </si>
  <si>
    <t>12318083I</t>
  </si>
  <si>
    <t>4647469-1</t>
  </si>
  <si>
    <t>00037006799D</t>
  </si>
  <si>
    <t>13033987C</t>
  </si>
  <si>
    <t>014412671B</t>
  </si>
  <si>
    <t>006427687G</t>
  </si>
  <si>
    <t>036982304C</t>
  </si>
  <si>
    <t>037358662H</t>
  </si>
  <si>
    <t>00011517556E</t>
  </si>
  <si>
    <t>2915811A</t>
  </si>
  <si>
    <t>00036824950E</t>
  </si>
  <si>
    <t>06/30/19</t>
  </si>
  <si>
    <t>005423328D</t>
  </si>
  <si>
    <t>018288893D</t>
  </si>
  <si>
    <t>014629800F</t>
  </si>
  <si>
    <t>018333465F</t>
  </si>
  <si>
    <t>002490638A</t>
  </si>
  <si>
    <t>006110973C</t>
  </si>
  <si>
    <t>00014709603G</t>
  </si>
  <si>
    <t>014709603G</t>
  </si>
  <si>
    <t>37713934A</t>
  </si>
  <si>
    <t>018155124D</t>
  </si>
  <si>
    <t>00009048875A</t>
  </si>
  <si>
    <t>037432131D</t>
  </si>
  <si>
    <t>9833470-1</t>
  </si>
  <si>
    <t>010018822G</t>
  </si>
  <si>
    <t>015114542C</t>
  </si>
  <si>
    <t>006265154C</t>
  </si>
  <si>
    <t>035358990G</t>
  </si>
  <si>
    <t>036754541F</t>
  </si>
  <si>
    <t>035624995D</t>
  </si>
  <si>
    <t>038095875B</t>
  </si>
  <si>
    <t>002548716G</t>
  </si>
  <si>
    <t>018865918J</t>
  </si>
  <si>
    <t>00033547058J</t>
  </si>
  <si>
    <t>0033031882F</t>
  </si>
  <si>
    <t>01107751H</t>
  </si>
  <si>
    <t>006100617H</t>
  </si>
  <si>
    <t>unavailable</t>
  </si>
  <si>
    <t>1777492 I</t>
  </si>
  <si>
    <t>not avail</t>
  </si>
  <si>
    <t>8121195217264</t>
  </si>
  <si>
    <t>004361445C</t>
  </si>
  <si>
    <t>245902C</t>
  </si>
  <si>
    <t>00015062587J</t>
  </si>
  <si>
    <t>036812101 I</t>
  </si>
  <si>
    <t>33358956O</t>
  </si>
  <si>
    <t>011917778A</t>
  </si>
  <si>
    <t>4791837 A</t>
  </si>
  <si>
    <t>00037540753D</t>
  </si>
  <si>
    <t>00030632229 I</t>
  </si>
  <si>
    <t>003995994F</t>
  </si>
  <si>
    <t>000345730G</t>
  </si>
  <si>
    <t>zz71239p</t>
  </si>
  <si>
    <t>003040946A</t>
  </si>
  <si>
    <t>2035808B</t>
  </si>
  <si>
    <t>00006715648J</t>
  </si>
  <si>
    <t>No available</t>
  </si>
  <si>
    <t>S308506</t>
  </si>
  <si>
    <t>003761746B</t>
  </si>
  <si>
    <t>017596088J</t>
  </si>
  <si>
    <t>1828728E</t>
  </si>
  <si>
    <t>04210731L</t>
  </si>
  <si>
    <t>ZE69278W</t>
  </si>
  <si>
    <t>000-000-000</t>
  </si>
  <si>
    <t>NONE</t>
  </si>
  <si>
    <t>016328034A</t>
  </si>
  <si>
    <t>037084027E</t>
  </si>
  <si>
    <t>034949626F</t>
  </si>
  <si>
    <t>014803813G</t>
  </si>
  <si>
    <t>005566824I</t>
  </si>
  <si>
    <t>033147318B</t>
  </si>
  <si>
    <t>00000339447F</t>
  </si>
  <si>
    <t>ZW14289G</t>
  </si>
  <si>
    <t>37695205H</t>
  </si>
  <si>
    <t>008405381I</t>
  </si>
  <si>
    <t>004184233H</t>
  </si>
  <si>
    <t>037695307B</t>
  </si>
  <si>
    <t>03645232E</t>
  </si>
  <si>
    <t>037240487B</t>
  </si>
  <si>
    <t>Will provide</t>
  </si>
  <si>
    <t>4119937D</t>
  </si>
  <si>
    <t>YZ81039K</t>
  </si>
  <si>
    <t>0374077774B</t>
  </si>
  <si>
    <t>006694699H</t>
  </si>
  <si>
    <t>00015274875C</t>
  </si>
  <si>
    <t>zk82756v</t>
  </si>
  <si>
    <t>37572302A</t>
  </si>
  <si>
    <t>37627759G</t>
  </si>
  <si>
    <t>004483522B</t>
  </si>
  <si>
    <t>000745939J</t>
  </si>
  <si>
    <t>034725982C</t>
  </si>
  <si>
    <t>110-58-5332</t>
  </si>
  <si>
    <t>059-54-9523</t>
  </si>
  <si>
    <t>000-00-1825</t>
  </si>
  <si>
    <t>080-66-6759</t>
  </si>
  <si>
    <t>099-80-8189</t>
  </si>
  <si>
    <t>115-52-9638</t>
  </si>
  <si>
    <t>109-66-5774</t>
  </si>
  <si>
    <t>117-82-4105</t>
  </si>
  <si>
    <t>110-84-2407</t>
  </si>
  <si>
    <t>149-86-5224</t>
  </si>
  <si>
    <t>486-78-1679</t>
  </si>
  <si>
    <t>050-84-9419</t>
  </si>
  <si>
    <t>102-62-7314</t>
  </si>
  <si>
    <t>081-40-2205</t>
  </si>
  <si>
    <t>090-52-5150</t>
  </si>
  <si>
    <t>000-00-4473</t>
  </si>
  <si>
    <t>576-31-9499</t>
  </si>
  <si>
    <t>067-64-3361</t>
  </si>
  <si>
    <t>108-40-6603</t>
  </si>
  <si>
    <t>398-88-4174</t>
  </si>
  <si>
    <t>129-50-1474</t>
  </si>
  <si>
    <t>120-54-2166</t>
  </si>
  <si>
    <t>057-34-1734</t>
  </si>
  <si>
    <t>096-58-6839</t>
  </si>
  <si>
    <t>004-72-8629</t>
  </si>
  <si>
    <t>061-02-8917</t>
  </si>
  <si>
    <t>126-13-7947</t>
  </si>
  <si>
    <t>000-00-6286</t>
  </si>
  <si>
    <t>093-74-8889</t>
  </si>
  <si>
    <t>078-74-7343</t>
  </si>
  <si>
    <t>074-46-1890</t>
  </si>
  <si>
    <t>140-48-8902</t>
  </si>
  <si>
    <t>101-50-3331</t>
  </si>
  <si>
    <t>112-58-0464</t>
  </si>
  <si>
    <t>084-56-8573</t>
  </si>
  <si>
    <t>582-27-2529</t>
  </si>
  <si>
    <t>052-46-5357</t>
  </si>
  <si>
    <t>134-32-0118</t>
  </si>
  <si>
    <t>084-50-9809</t>
  </si>
  <si>
    <t>091-42-9046</t>
  </si>
  <si>
    <t>087-68-2342</t>
  </si>
  <si>
    <t>111-52-6259</t>
  </si>
  <si>
    <t>070-86-6463</t>
  </si>
  <si>
    <t>116-62-3061</t>
  </si>
  <si>
    <t>549-02-9948</t>
  </si>
  <si>
    <t>081-56-7111</t>
  </si>
  <si>
    <t>090-56-8808</t>
  </si>
  <si>
    <t>134-96-3516</t>
  </si>
  <si>
    <t>130-58-8477</t>
  </si>
  <si>
    <t>052-86-1152</t>
  </si>
  <si>
    <t>100-68-0083</t>
  </si>
  <si>
    <t>070-46-5684</t>
  </si>
  <si>
    <t>109-88-3339</t>
  </si>
  <si>
    <t>583-20-9056</t>
  </si>
  <si>
    <t>085-50-2719</t>
  </si>
  <si>
    <t>100-76-6561</t>
  </si>
  <si>
    <t>114-78-5084</t>
  </si>
  <si>
    <t>124-82-2769</t>
  </si>
  <si>
    <t>127-42-5546</t>
  </si>
  <si>
    <t>058-50-5191</t>
  </si>
  <si>
    <t>070-02-3583</t>
  </si>
  <si>
    <t>127-84-1342</t>
  </si>
  <si>
    <t>056-88-6442</t>
  </si>
  <si>
    <t>061-68-7477</t>
  </si>
  <si>
    <t>129-78-0632</t>
  </si>
  <si>
    <t>126-64-0397</t>
  </si>
  <si>
    <t>071-60-6615</t>
  </si>
  <si>
    <t>786-42-0731</t>
  </si>
  <si>
    <t>279-52-0987</t>
  </si>
  <si>
    <t>070-64-7917</t>
  </si>
  <si>
    <t>098-80-7771</t>
  </si>
  <si>
    <t>000-00-6209</t>
  </si>
  <si>
    <t>323-68-2704</t>
  </si>
  <si>
    <t>072-62-1705</t>
  </si>
  <si>
    <t>092-74-0966</t>
  </si>
  <si>
    <t>096-70-0917</t>
  </si>
  <si>
    <t>101-78-8377</t>
  </si>
  <si>
    <t>066-58-9522</t>
  </si>
  <si>
    <t>147-89-3242</t>
  </si>
  <si>
    <t>068-74-5867</t>
  </si>
  <si>
    <t>134-54-6262</t>
  </si>
  <si>
    <t>102-62-2887</t>
  </si>
  <si>
    <t>118-66-3926</t>
  </si>
  <si>
    <t>126-84-2839</t>
  </si>
  <si>
    <t>000-00-4538</t>
  </si>
  <si>
    <t>065-76-2563</t>
  </si>
  <si>
    <t>070-34-8487</t>
  </si>
  <si>
    <t>062-96-0051</t>
  </si>
  <si>
    <t>158-52-0769</t>
  </si>
  <si>
    <t>107-76-5984</t>
  </si>
  <si>
    <t>113-70-8725</t>
  </si>
  <si>
    <t>581-88-8112</t>
  </si>
  <si>
    <t>107-88-1548</t>
  </si>
  <si>
    <t>392-86-4173</t>
  </si>
  <si>
    <t>061-86-3888</t>
  </si>
  <si>
    <t>096-54-4276</t>
  </si>
  <si>
    <t>597-54-8587</t>
  </si>
  <si>
    <t>596-20-7994</t>
  </si>
  <si>
    <t>227-75-5421</t>
  </si>
  <si>
    <t>123-88-2249</t>
  </si>
  <si>
    <t>060-60-7500</t>
  </si>
  <si>
    <t>000-00-2145</t>
  </si>
  <si>
    <t>085-72-1739</t>
  </si>
  <si>
    <t>106-68-9482</t>
  </si>
  <si>
    <t>214-17-0949</t>
  </si>
  <si>
    <t>104-52-0126</t>
  </si>
  <si>
    <t>040-04-2795</t>
  </si>
  <si>
    <t>076-86-9957</t>
  </si>
  <si>
    <t>025-64-6550</t>
  </si>
  <si>
    <t>584-47-4471</t>
  </si>
  <si>
    <t>085-86-8623</t>
  </si>
  <si>
    <t>052-78-6062</t>
  </si>
  <si>
    <t>134-60-8164</t>
  </si>
  <si>
    <t>118-44-4418</t>
  </si>
  <si>
    <t>032-93-4571</t>
  </si>
  <si>
    <t>068-56-7521</t>
  </si>
  <si>
    <t>080-72-3394</t>
  </si>
  <si>
    <t>735-38-5204</t>
  </si>
  <si>
    <t>094-56-5789</t>
  </si>
  <si>
    <t>202-82-8882</t>
  </si>
  <si>
    <t>120-92-8593</t>
  </si>
  <si>
    <t>086-62-0111</t>
  </si>
  <si>
    <t>097-56-2596</t>
  </si>
  <si>
    <t>110-56-3223</t>
  </si>
  <si>
    <t>248-21-2589</t>
  </si>
  <si>
    <t>066-66-3687</t>
  </si>
  <si>
    <t>729-24-8714</t>
  </si>
  <si>
    <t>082-80-6042</t>
  </si>
  <si>
    <t>115-80-5068</t>
  </si>
  <si>
    <t>592-33-4514</t>
  </si>
  <si>
    <t>119-52-5006</t>
  </si>
  <si>
    <t>052-70-0892</t>
  </si>
  <si>
    <t>073-62-7777</t>
  </si>
  <si>
    <t>591-01-4055</t>
  </si>
  <si>
    <t>249-81-5160</t>
  </si>
  <si>
    <t>000-00-8022</t>
  </si>
  <si>
    <t>000-00-5025</t>
  </si>
  <si>
    <t>156-72-1990</t>
  </si>
  <si>
    <t>043-52-2819</t>
  </si>
  <si>
    <t>103-62-0516</t>
  </si>
  <si>
    <t>084-60-8407</t>
  </si>
  <si>
    <t>096-96-8484</t>
  </si>
  <si>
    <t>112-54-7743</t>
  </si>
  <si>
    <t>068-88-6285</t>
  </si>
  <si>
    <t>037-93-4546</t>
  </si>
  <si>
    <t>154-72-0727</t>
  </si>
  <si>
    <t>000-00-5374</t>
  </si>
  <si>
    <t>243-75-7400</t>
  </si>
  <si>
    <t>123-56-8341</t>
  </si>
  <si>
    <t>000-00-0301</t>
  </si>
  <si>
    <t>098-94-3587</t>
  </si>
  <si>
    <t>083-68-6866</t>
  </si>
  <si>
    <t>132-88-0017</t>
  </si>
  <si>
    <t>116-72-8003</t>
  </si>
  <si>
    <t>055-60-0118</t>
  </si>
  <si>
    <t>065-64-2804</t>
  </si>
  <si>
    <t>064-58-5051</t>
  </si>
  <si>
    <t>000-00-7163</t>
  </si>
  <si>
    <t>055-58-5672</t>
  </si>
  <si>
    <t>089-64-5802</t>
  </si>
  <si>
    <t>054-90-7670</t>
  </si>
  <si>
    <t>081-42-9034</t>
  </si>
  <si>
    <t>249-55-6301</t>
  </si>
  <si>
    <t>064-48-5540</t>
  </si>
  <si>
    <t>081-90-0466</t>
  </si>
  <si>
    <t>127-96-7620</t>
  </si>
  <si>
    <t>106-80-1752</t>
  </si>
  <si>
    <t>071-60-6177</t>
  </si>
  <si>
    <t>104-56-2006</t>
  </si>
  <si>
    <t>126-76-6025</t>
  </si>
  <si>
    <t>000-00-3670</t>
  </si>
  <si>
    <t>108-54-3993</t>
  </si>
  <si>
    <t>072-60-5573</t>
  </si>
  <si>
    <t>081-44-6643</t>
  </si>
  <si>
    <t>096-84-8980</t>
  </si>
  <si>
    <t>147-13-1967</t>
  </si>
  <si>
    <t>129-84-5574</t>
  </si>
  <si>
    <t>118-54-2101</t>
  </si>
  <si>
    <t>060-58-9508</t>
  </si>
  <si>
    <t>627-20-2678</t>
  </si>
  <si>
    <t>581-75-9889</t>
  </si>
  <si>
    <t>080-70-3580</t>
  </si>
  <si>
    <t>862-69-8155</t>
  </si>
  <si>
    <t>186-70-5725</t>
  </si>
  <si>
    <t>000-00-1612</t>
  </si>
  <si>
    <t>000-00-7833</t>
  </si>
  <si>
    <t>051-56-8784</t>
  </si>
  <si>
    <t>163-42-5038</t>
  </si>
  <si>
    <t>408-69-3048</t>
  </si>
  <si>
    <t>000-00-4848</t>
  </si>
  <si>
    <t>078-74-6038</t>
  </si>
  <si>
    <t>236-66-5231</t>
  </si>
  <si>
    <t>000-00-7281</t>
  </si>
  <si>
    <t>059-76-5877</t>
  </si>
  <si>
    <t>733-05-3043</t>
  </si>
  <si>
    <t>066-76-5444</t>
  </si>
  <si>
    <t>000-00-7454</t>
  </si>
  <si>
    <t>056-62-2617</t>
  </si>
  <si>
    <t>127-90-4104</t>
  </si>
  <si>
    <t>058-72-0224</t>
  </si>
  <si>
    <t>065-70-5629</t>
  </si>
  <si>
    <t>081-02-7578</t>
  </si>
  <si>
    <t>187-70-7024</t>
  </si>
  <si>
    <t>056-50-8110</t>
  </si>
  <si>
    <t>000-00-4219</t>
  </si>
  <si>
    <t>105-82-3029</t>
  </si>
  <si>
    <t>130-76-9259</t>
  </si>
  <si>
    <t>100-54-7668</t>
  </si>
  <si>
    <t>105-96-4969</t>
  </si>
  <si>
    <t>126-55-4980</t>
  </si>
  <si>
    <t>081-56-0955</t>
  </si>
  <si>
    <t>439-37-4001</t>
  </si>
  <si>
    <t>000-00-5760</t>
  </si>
  <si>
    <t>096-56-7589</t>
  </si>
  <si>
    <t>112-98-8334</t>
  </si>
  <si>
    <t>000-00-1223</t>
  </si>
  <si>
    <t>100-70-4925</t>
  </si>
  <si>
    <t>072-86-8950</t>
  </si>
  <si>
    <t>118-52-0961</t>
  </si>
  <si>
    <t>377-04-0695</t>
  </si>
  <si>
    <t>255-21-1421</t>
  </si>
  <si>
    <t>141-68-6532</t>
  </si>
  <si>
    <t>101-50-5332</t>
  </si>
  <si>
    <t>112-36-5156</t>
  </si>
  <si>
    <t>083-76-7025</t>
  </si>
  <si>
    <t>053-92-3642</t>
  </si>
  <si>
    <t>093-82-9730</t>
  </si>
  <si>
    <t>114-80-9830</t>
  </si>
  <si>
    <t>103-42-8843</t>
  </si>
  <si>
    <t>073-76-0735</t>
  </si>
  <si>
    <t>051-60-7216</t>
  </si>
  <si>
    <t>107-66-1627</t>
  </si>
  <si>
    <t>111-66-6471</t>
  </si>
  <si>
    <t>050-36-5867</t>
  </si>
  <si>
    <t>063-92-1504</t>
  </si>
  <si>
    <t>134-58-9602</t>
  </si>
  <si>
    <t>057-86-3392</t>
  </si>
  <si>
    <t>041-84-6055</t>
  </si>
  <si>
    <t>145-76-8212</t>
  </si>
  <si>
    <t>000-00-0303</t>
  </si>
  <si>
    <t>076-58-8477</t>
  </si>
  <si>
    <t>082-60-0855</t>
  </si>
  <si>
    <t>396-84-0330</t>
  </si>
  <si>
    <t>078-36-1539</t>
  </si>
  <si>
    <t>414-25-0034</t>
  </si>
  <si>
    <t>075-74-5840</t>
  </si>
  <si>
    <t>159-70-0169</t>
  </si>
  <si>
    <t>122-64-6511</t>
  </si>
  <si>
    <t>000-00-0349</t>
  </si>
  <si>
    <t>076-58-7424</t>
  </si>
  <si>
    <t>076-72-1367</t>
  </si>
  <si>
    <t>076-34-7710</t>
  </si>
  <si>
    <t>105-50-0812</t>
  </si>
  <si>
    <t>088-42-1417</t>
  </si>
  <si>
    <t>119-70-6629</t>
  </si>
  <si>
    <t>125-44-0319</t>
  </si>
  <si>
    <t>000-00-3449</t>
  </si>
  <si>
    <t>098-76-5308</t>
  </si>
  <si>
    <t>089-62-2962</t>
  </si>
  <si>
    <t>058-62-1216</t>
  </si>
  <si>
    <t>017-70-7033</t>
  </si>
  <si>
    <t>000-00-1788</t>
  </si>
  <si>
    <t>000-00-1216</t>
  </si>
  <si>
    <t>127-60-0446</t>
  </si>
  <si>
    <t>532-94-6576</t>
  </si>
  <si>
    <t>067-46-5820</t>
  </si>
  <si>
    <t>075-86-2185</t>
  </si>
  <si>
    <t>089-32-1335</t>
  </si>
  <si>
    <t>093-58-8081</t>
  </si>
  <si>
    <t>605-03-9992</t>
  </si>
  <si>
    <t>053-78-2518</t>
  </si>
  <si>
    <t>064-58-4390</t>
  </si>
  <si>
    <t>067-72-0783</t>
  </si>
  <si>
    <t>069-56-4280</t>
  </si>
  <si>
    <t>054-48-0009</t>
  </si>
  <si>
    <t>025-46-5873</t>
  </si>
  <si>
    <t>069-46-7647</t>
  </si>
  <si>
    <t>000-00-9201</t>
  </si>
  <si>
    <t>126-48-0614</t>
  </si>
  <si>
    <t>104-40-9953</t>
  </si>
  <si>
    <t>595-43-4951</t>
  </si>
  <si>
    <t>247-52-3269</t>
  </si>
  <si>
    <t>066-50-6743</t>
  </si>
  <si>
    <t>000-00-7844</t>
  </si>
  <si>
    <t>121-72-9088</t>
  </si>
  <si>
    <t>052-54-5396</t>
  </si>
  <si>
    <t>058-66-2147</t>
  </si>
  <si>
    <t>117-62-0932</t>
  </si>
  <si>
    <t>000-00-1883</t>
  </si>
  <si>
    <t>080-52-9201</t>
  </si>
  <si>
    <t>060-66-4045</t>
  </si>
  <si>
    <t>094-02-8306</t>
  </si>
  <si>
    <t>097-56-8616</t>
  </si>
  <si>
    <t>093-36-9641</t>
  </si>
  <si>
    <t>115-66-0820</t>
  </si>
  <si>
    <t>377-88-6199</t>
  </si>
  <si>
    <t>072-78-4627</t>
  </si>
  <si>
    <t>101-02-7535</t>
  </si>
  <si>
    <t>172-78-5359</t>
  </si>
  <si>
    <t>062-30-4838</t>
  </si>
  <si>
    <t>009-72-8315</t>
  </si>
  <si>
    <t>107-94-9162</t>
  </si>
  <si>
    <t>045-76-5501</t>
  </si>
  <si>
    <t>061-76-8326</t>
  </si>
  <si>
    <t>582-47-4732</t>
  </si>
  <si>
    <t>066-84-2062</t>
  </si>
  <si>
    <t>103-50-8117</t>
  </si>
  <si>
    <t>112-88-6860</t>
  </si>
  <si>
    <t>146-60-3145</t>
  </si>
  <si>
    <t>252-47-5682</t>
  </si>
  <si>
    <t>085-50-3388</t>
  </si>
  <si>
    <t>322-58-3423</t>
  </si>
  <si>
    <t>083-50-1244</t>
  </si>
  <si>
    <t>114-52-3925</t>
  </si>
  <si>
    <t>059-70-1586</t>
  </si>
  <si>
    <t>096-98-2188</t>
  </si>
  <si>
    <t>113-64-6007</t>
  </si>
  <si>
    <t>086-80-8212</t>
  </si>
  <si>
    <t>055-86-0322</t>
  </si>
  <si>
    <t>582-21-1860</t>
  </si>
  <si>
    <t>060-60-5459</t>
  </si>
  <si>
    <t>115-62-3314</t>
  </si>
  <si>
    <t>084-84-8419</t>
  </si>
  <si>
    <t>060-62-8138</t>
  </si>
  <si>
    <t>128-48-5763</t>
  </si>
  <si>
    <t>114-66-8029</t>
  </si>
  <si>
    <t>544-02-9948</t>
  </si>
  <si>
    <t>105-60-5069</t>
  </si>
  <si>
    <t>078-74-8545</t>
  </si>
  <si>
    <t>053-68-6319</t>
  </si>
  <si>
    <t>093-58-6703</t>
  </si>
  <si>
    <t>000-00-1064</t>
  </si>
  <si>
    <t>095-84-4694</t>
  </si>
  <si>
    <t>129-50-5338</t>
  </si>
  <si>
    <t>068-80-4361</t>
  </si>
  <si>
    <t>083-60-3258</t>
  </si>
  <si>
    <t>081-80-6178</t>
  </si>
  <si>
    <t>102-60-5194</t>
  </si>
  <si>
    <t>057-50-7484</t>
  </si>
  <si>
    <t>670-51-1002</t>
  </si>
  <si>
    <t>078-70-5975</t>
  </si>
  <si>
    <t>095-64-3185</t>
  </si>
  <si>
    <t>080-74-0099</t>
  </si>
  <si>
    <t>858-94-6918</t>
  </si>
  <si>
    <t>117-86-6544</t>
  </si>
  <si>
    <t>366-96-3121</t>
  </si>
  <si>
    <t>103-74-8303</t>
  </si>
  <si>
    <t>052-54-2516</t>
  </si>
  <si>
    <t>065-72-6768</t>
  </si>
  <si>
    <t>126-68-5017</t>
  </si>
  <si>
    <t>098-64-8015</t>
  </si>
  <si>
    <t>123-88-5390</t>
  </si>
  <si>
    <t>084-86-7598</t>
  </si>
  <si>
    <t>054-70-7207</t>
  </si>
  <si>
    <t>586-16-1097</t>
  </si>
  <si>
    <t>104-78-4029</t>
  </si>
  <si>
    <t>085-58-3440</t>
  </si>
  <si>
    <t>127-72-3469</t>
  </si>
  <si>
    <t>421-33-7942</t>
  </si>
  <si>
    <t>072-54-7402</t>
  </si>
  <si>
    <t>133-58-6816</t>
  </si>
  <si>
    <t>195-86-5442</t>
  </si>
  <si>
    <t>045-04-0378</t>
  </si>
  <si>
    <t>099-58-7158</t>
  </si>
  <si>
    <t>126-50-9074</t>
  </si>
  <si>
    <t>583-54-9823</t>
  </si>
  <si>
    <t>105-30-4113</t>
  </si>
  <si>
    <t>227-72-1230</t>
  </si>
  <si>
    <t>578-72-1205</t>
  </si>
  <si>
    <t>209-40-2166</t>
  </si>
  <si>
    <t>141-78-4009</t>
  </si>
  <si>
    <t>583-47-7551</t>
  </si>
  <si>
    <t>118-56-1550</t>
  </si>
  <si>
    <t>131-68-1204</t>
  </si>
  <si>
    <t>097-60-3286</t>
  </si>
  <si>
    <t>129-90-2688</t>
  </si>
  <si>
    <t>051-82-3570</t>
  </si>
  <si>
    <t>086-72-8728</t>
  </si>
  <si>
    <t>087-86-4402</t>
  </si>
  <si>
    <t>102-96-8739</t>
  </si>
  <si>
    <t>128-92-8905</t>
  </si>
  <si>
    <t>070-58-9027</t>
  </si>
  <si>
    <t>058-58-7195</t>
  </si>
  <si>
    <t>134-70-7159</t>
  </si>
  <si>
    <t>050-70-5504</t>
  </si>
  <si>
    <t>097-66-2653</t>
  </si>
  <si>
    <t>000-00-7776</t>
  </si>
  <si>
    <t>580-15-1377</t>
  </si>
  <si>
    <t>300-56-3275</t>
  </si>
  <si>
    <t>120-74-5250</t>
  </si>
  <si>
    <t>148-60-1760</t>
  </si>
  <si>
    <t>085-70-0759</t>
  </si>
  <si>
    <t>061-74-3568</t>
  </si>
  <si>
    <t>091-70-5239</t>
  </si>
  <si>
    <t>582-53-0401</t>
  </si>
  <si>
    <t>162-64-2046</t>
  </si>
  <si>
    <t>131-76-7675</t>
  </si>
  <si>
    <t>085-64-7147</t>
  </si>
  <si>
    <t>099-72-6148</t>
  </si>
  <si>
    <t>893-94-1879</t>
  </si>
  <si>
    <t>094-62-6919</t>
  </si>
  <si>
    <t>089-72-2213</t>
  </si>
  <si>
    <t>082-52-7119</t>
  </si>
  <si>
    <t>088-46-7644</t>
  </si>
  <si>
    <t>069-64-3494</t>
  </si>
  <si>
    <t>000-00-6323</t>
  </si>
  <si>
    <t>758-37-0163</t>
  </si>
  <si>
    <t>485-95-1075</t>
  </si>
  <si>
    <t>088-72-2873</t>
  </si>
  <si>
    <t>072-74-4734</t>
  </si>
  <si>
    <t>057-56-7231</t>
  </si>
  <si>
    <t>187-87-6083</t>
  </si>
  <si>
    <t>087-92-8800</t>
  </si>
  <si>
    <t>140-86-9516</t>
  </si>
  <si>
    <t>057-50-8883</t>
  </si>
  <si>
    <t>093-84-9934</t>
  </si>
  <si>
    <t>121-70-1371</t>
  </si>
  <si>
    <t>064-72-9983</t>
  </si>
  <si>
    <t>098-88-9680</t>
  </si>
  <si>
    <t>081-68-8799</t>
  </si>
  <si>
    <t>134-60-9442</t>
  </si>
  <si>
    <t>053-96-7708</t>
  </si>
  <si>
    <t>105-60-2841</t>
  </si>
  <si>
    <t>088-98-0666</t>
  </si>
  <si>
    <t>216-90-2648</t>
  </si>
  <si>
    <t>584-54-2387</t>
  </si>
  <si>
    <t>090-58-7104</t>
  </si>
  <si>
    <t>099-44-0354</t>
  </si>
  <si>
    <t>143-97-7751</t>
  </si>
  <si>
    <t>064-68-6086</t>
  </si>
  <si>
    <t>255-83-0669</t>
  </si>
  <si>
    <t>208-58-9688</t>
  </si>
  <si>
    <t>117-56-9577</t>
  </si>
  <si>
    <t>729-18-7560</t>
  </si>
  <si>
    <t>068-48-5106</t>
  </si>
  <si>
    <t>128-92-0344</t>
  </si>
  <si>
    <t>583-78-2300</t>
  </si>
  <si>
    <t>053-84-8766</t>
  </si>
  <si>
    <t>049-74-5433</t>
  </si>
  <si>
    <t>134-52-0306</t>
  </si>
  <si>
    <t>069-58-7163</t>
  </si>
  <si>
    <t>000-00-8902</t>
  </si>
  <si>
    <t>116-56-9672</t>
  </si>
  <si>
    <t>214-87-7100</t>
  </si>
  <si>
    <t>127-68-2900</t>
  </si>
  <si>
    <t>125-64-7009</t>
  </si>
  <si>
    <t>052-82-2957</t>
  </si>
  <si>
    <t>111-66-3225</t>
  </si>
  <si>
    <t>110-82-2652</t>
  </si>
  <si>
    <t>359-78-7522</t>
  </si>
  <si>
    <t>197-32-6777</t>
  </si>
  <si>
    <t>124-78-7454</t>
  </si>
  <si>
    <t>068-90-1392</t>
  </si>
  <si>
    <t>123-68-8724</t>
  </si>
  <si>
    <t>865-86-7838</t>
  </si>
  <si>
    <t>580-37-7897</t>
  </si>
  <si>
    <t>419-37-8798</t>
  </si>
  <si>
    <t>129-82-6632</t>
  </si>
  <si>
    <t>093-70-5767</t>
  </si>
  <si>
    <t>121-98-2773</t>
  </si>
  <si>
    <t>104-58-8017</t>
  </si>
  <si>
    <t>058-44-7384</t>
  </si>
  <si>
    <t>125-46-3667</t>
  </si>
  <si>
    <t>658-29-4649</t>
  </si>
  <si>
    <t>589-23-4399</t>
  </si>
  <si>
    <t>122-36-9434</t>
  </si>
  <si>
    <t>593-03-3171</t>
  </si>
  <si>
    <t>125-34-1139</t>
  </si>
  <si>
    <t>089-64-6514</t>
  </si>
  <si>
    <t>584-73-2683</t>
  </si>
  <si>
    <t>008-39-7973</t>
  </si>
  <si>
    <t>127-52-2311</t>
  </si>
  <si>
    <t>118-82-5273</t>
  </si>
  <si>
    <t>492-11-8787</t>
  </si>
  <si>
    <t>126-62-9928</t>
  </si>
  <si>
    <t>069-76-7824</t>
  </si>
  <si>
    <t>762-13-1563</t>
  </si>
  <si>
    <t>120-66-6913</t>
  </si>
  <si>
    <t>075-66-6280</t>
  </si>
  <si>
    <t>000-00-7480</t>
  </si>
  <si>
    <t>082-62-9723</t>
  </si>
  <si>
    <t>000-00-6655</t>
  </si>
  <si>
    <t>583-96-5909</t>
  </si>
  <si>
    <t>080-42-9929</t>
  </si>
  <si>
    <t>055-68-8951</t>
  </si>
  <si>
    <t>078-48-7120</t>
  </si>
  <si>
    <t>063-50-2805</t>
  </si>
  <si>
    <t>115-58-1471</t>
  </si>
  <si>
    <t>128-80-4902</t>
  </si>
  <si>
    <t>000-00-9704</t>
  </si>
  <si>
    <t>092-68-0925</t>
  </si>
  <si>
    <t>053-72-9437</t>
  </si>
  <si>
    <t>133-76-0381</t>
  </si>
  <si>
    <t>583-74-7375</t>
  </si>
  <si>
    <t>118-44-0723</t>
  </si>
  <si>
    <t>055-02-3688</t>
  </si>
  <si>
    <t>119-54-7613</t>
  </si>
  <si>
    <t>062-90-1227</t>
  </si>
  <si>
    <t>095-64-8624</t>
  </si>
  <si>
    <t>116-44-8410</t>
  </si>
  <si>
    <t>111-86-8786</t>
  </si>
  <si>
    <t>127-88-0878</t>
  </si>
  <si>
    <t>106-76-4351</t>
  </si>
  <si>
    <t>067-70-8458</t>
  </si>
  <si>
    <t>056-68-5649</t>
  </si>
  <si>
    <t>731-01-6741</t>
  </si>
  <si>
    <t>103-18-1422</t>
  </si>
  <si>
    <t>127-60-0651</t>
  </si>
  <si>
    <t>129-58-2381</t>
  </si>
  <si>
    <t>071-62-5087</t>
  </si>
  <si>
    <t>000-00-6890</t>
  </si>
  <si>
    <t>089-70-4744</t>
  </si>
  <si>
    <t>079-80-4071</t>
  </si>
  <si>
    <t>130-58-1665</t>
  </si>
  <si>
    <t>491-59-3860</t>
  </si>
  <si>
    <t>171-36-5593</t>
  </si>
  <si>
    <t>000-00-6581</t>
  </si>
  <si>
    <t>745-13-9509</t>
  </si>
  <si>
    <t>000-00-2160</t>
  </si>
  <si>
    <t>088-42-4781</t>
  </si>
  <si>
    <t>000-00-5432</t>
  </si>
  <si>
    <t>000-00-9493</t>
  </si>
  <si>
    <t>051-80-1930</t>
  </si>
  <si>
    <t>119-84-0064</t>
  </si>
  <si>
    <t>057-60-6611</t>
  </si>
  <si>
    <t>194-65-4864</t>
  </si>
  <si>
    <t>098-88-0607</t>
  </si>
  <si>
    <t>106-74-4135</t>
  </si>
  <si>
    <t>327-48-0482</t>
  </si>
  <si>
    <t>579-19-5115</t>
  </si>
  <si>
    <t>099-48-9821</t>
  </si>
  <si>
    <t>128-72-1508</t>
  </si>
  <si>
    <t>000-00-9697</t>
  </si>
  <si>
    <t>126-46-7114</t>
  </si>
  <si>
    <t>111-62-8639</t>
  </si>
  <si>
    <t>055-74-3181</t>
  </si>
  <si>
    <t>000-00-2360</t>
  </si>
  <si>
    <t>060-58-0998</t>
  </si>
  <si>
    <t>131-68-2755</t>
  </si>
  <si>
    <t>152-68-4308</t>
  </si>
  <si>
    <t>129-60-0035</t>
  </si>
  <si>
    <t>567-71-7821</t>
  </si>
  <si>
    <t>099-42-8739</t>
  </si>
  <si>
    <t>069-90-7973</t>
  </si>
  <si>
    <t>000-00-4307</t>
  </si>
  <si>
    <t>085-58-9145</t>
  </si>
  <si>
    <t>107-68-4705</t>
  </si>
  <si>
    <t>099-72-5450</t>
  </si>
  <si>
    <t>061-98-9525</t>
  </si>
  <si>
    <t>067-70-6245</t>
  </si>
  <si>
    <t>111-72-5519</t>
  </si>
  <si>
    <t>090-84-9289</t>
  </si>
  <si>
    <t>156-49-6673</t>
  </si>
  <si>
    <t>068-58-6529</t>
  </si>
  <si>
    <t>057-60-4094</t>
  </si>
  <si>
    <t>000-00-5113</t>
  </si>
  <si>
    <t>089-52-0390</t>
  </si>
  <si>
    <t>132-92-0502</t>
  </si>
  <si>
    <t>099-62-2260</t>
  </si>
  <si>
    <t>059-58-9364</t>
  </si>
  <si>
    <t>091-64-5796</t>
  </si>
  <si>
    <t>000-00-5205</t>
  </si>
  <si>
    <t>055-64-9501</t>
  </si>
  <si>
    <t>438-49-9018</t>
  </si>
  <si>
    <t>580-27-5785</t>
  </si>
  <si>
    <t>000-00-7429</t>
  </si>
  <si>
    <t>092-84-3259</t>
  </si>
  <si>
    <t>079-30-6207</t>
  </si>
  <si>
    <t>420-96-6005</t>
  </si>
  <si>
    <t>119-76-9003</t>
  </si>
  <si>
    <t>244-25-2337</t>
  </si>
  <si>
    <t>260-39-2242</t>
  </si>
  <si>
    <t>114-70-4705</t>
  </si>
  <si>
    <t>112-74-9224</t>
  </si>
  <si>
    <t>076-56-6887</t>
  </si>
  <si>
    <t>000-00-1684</t>
  </si>
  <si>
    <t>000-00-9077</t>
  </si>
  <si>
    <t>433-73-3540</t>
  </si>
  <si>
    <t>151-94-5287</t>
  </si>
  <si>
    <t>000-00-1190</t>
  </si>
  <si>
    <t>086-62-9196</t>
  </si>
  <si>
    <t>122-70-6748</t>
  </si>
  <si>
    <t>129-58-7495</t>
  </si>
  <si>
    <t>082-78-4359</t>
  </si>
  <si>
    <t>101-84-3087</t>
  </si>
  <si>
    <t>580-08-6020</t>
  </si>
  <si>
    <t>087-54-1362</t>
  </si>
  <si>
    <t>080-70-7528</t>
  </si>
  <si>
    <t>050-70-4957</t>
  </si>
  <si>
    <t>117-56-5975</t>
  </si>
  <si>
    <t>122-56-0080</t>
  </si>
  <si>
    <t>065-62-0359</t>
  </si>
  <si>
    <t>091-80-0654</t>
  </si>
  <si>
    <t>107-62-2775</t>
  </si>
  <si>
    <t>196-54-5104</t>
  </si>
  <si>
    <t>756-90-2601</t>
  </si>
  <si>
    <t>581-61-7794</t>
  </si>
  <si>
    <t>091-86-3756</t>
  </si>
  <si>
    <t>123-94-5000</t>
  </si>
  <si>
    <t>071-66-2037</t>
  </si>
  <si>
    <t>109-96-8791</t>
  </si>
  <si>
    <t>055-54-9671</t>
  </si>
  <si>
    <t>065-96-1561</t>
  </si>
  <si>
    <t>097-02-4879</t>
  </si>
  <si>
    <t>130-98-8445</t>
  </si>
  <si>
    <t>372-84-5289</t>
  </si>
  <si>
    <t>097-70-5274</t>
  </si>
  <si>
    <t>126-70-9635</t>
  </si>
  <si>
    <t>073-70-5097</t>
  </si>
  <si>
    <t>088-42-6232</t>
  </si>
  <si>
    <t>118-46-9004</t>
  </si>
  <si>
    <t>113-70-4557</t>
  </si>
  <si>
    <t>115-90-2839</t>
  </si>
  <si>
    <t>096-84-7683</t>
  </si>
  <si>
    <t>085-72-7021</t>
  </si>
  <si>
    <t>128-26-5162</t>
  </si>
  <si>
    <t>022-74-5857</t>
  </si>
  <si>
    <t>115-78-4315</t>
  </si>
  <si>
    <t>465-87-1325</t>
  </si>
  <si>
    <t>000-00-0144</t>
  </si>
  <si>
    <t>233-02-0051</t>
  </si>
  <si>
    <t>072-52-9933</t>
  </si>
  <si>
    <t>860-67-5157</t>
  </si>
  <si>
    <t>205-44-4216</t>
  </si>
  <si>
    <t>109-68-6315</t>
  </si>
  <si>
    <t>166-46-1092</t>
  </si>
  <si>
    <t>094-56-8464</t>
  </si>
  <si>
    <t>103-34-4797</t>
  </si>
  <si>
    <t>100-50-3076</t>
  </si>
  <si>
    <t>128-48-9058</t>
  </si>
  <si>
    <t>000-00-1191</t>
  </si>
  <si>
    <t>083-40-9234</t>
  </si>
  <si>
    <t>115-60-4516</t>
  </si>
  <si>
    <t>596-46-7441</t>
  </si>
  <si>
    <t>102-60-4810</t>
  </si>
  <si>
    <t>066-50-7724</t>
  </si>
  <si>
    <t>065-78-6715</t>
  </si>
  <si>
    <t>049-64-8253</t>
  </si>
  <si>
    <t>059-58-8647</t>
  </si>
  <si>
    <t>093-70-5727</t>
  </si>
  <si>
    <t>581-46-3019</t>
  </si>
  <si>
    <t>114-96-7528</t>
  </si>
  <si>
    <t>130-48-7994</t>
  </si>
  <si>
    <t>070-60-1058</t>
  </si>
  <si>
    <t>132-80-0224</t>
  </si>
  <si>
    <t>057-58-8387</t>
  </si>
  <si>
    <t>237-76-0635</t>
  </si>
  <si>
    <t>301-80-3584</t>
  </si>
  <si>
    <t>082-46-7060</t>
  </si>
  <si>
    <t>115-50-4779</t>
  </si>
  <si>
    <t>090-82-9550</t>
  </si>
  <si>
    <t>066-86-5824</t>
  </si>
  <si>
    <t>107-24-8067</t>
  </si>
  <si>
    <t>055-76-9600</t>
  </si>
  <si>
    <t>090-68-1494</t>
  </si>
  <si>
    <t>123-56-6527</t>
  </si>
  <si>
    <t>072-66-2408</t>
  </si>
  <si>
    <t>730-14-5584</t>
  </si>
  <si>
    <t>128-84-3364</t>
  </si>
  <si>
    <t>121-82-2818</t>
  </si>
  <si>
    <t>124-92-1988</t>
  </si>
  <si>
    <t>115-36-7644</t>
  </si>
  <si>
    <t>070-88-7611</t>
  </si>
  <si>
    <t>102-52-7374</t>
  </si>
  <si>
    <t>082-56-6937</t>
  </si>
  <si>
    <t>081-56-5874</t>
  </si>
  <si>
    <t>079-50-0331</t>
  </si>
  <si>
    <t>088-40-4774</t>
  </si>
  <si>
    <t>029-64-3712</t>
  </si>
  <si>
    <t>097-56-3138</t>
  </si>
  <si>
    <t>059-58-9571</t>
  </si>
  <si>
    <t>127-60-7211</t>
  </si>
  <si>
    <t>428-66-0813</t>
  </si>
  <si>
    <t>083-86-5750</t>
  </si>
  <si>
    <t>115-70-0759</t>
  </si>
  <si>
    <t>100-54-7876</t>
  </si>
  <si>
    <t>050-58-7243</t>
  </si>
  <si>
    <t>089-70-0842</t>
  </si>
  <si>
    <t>124-74-5429</t>
  </si>
  <si>
    <t>125-34-3188</t>
  </si>
  <si>
    <t>061-32-8680</t>
  </si>
  <si>
    <t>066-34-0320</t>
  </si>
  <si>
    <t>101-38-3154</t>
  </si>
  <si>
    <t>093-34-8982</t>
  </si>
  <si>
    <t>050-40-3168</t>
  </si>
  <si>
    <t>055-34-4046</t>
  </si>
  <si>
    <t>084-36-8017</t>
  </si>
  <si>
    <t>061-34-8157</t>
  </si>
  <si>
    <t>069-68-4613</t>
  </si>
  <si>
    <t>478-21-9172</t>
  </si>
  <si>
    <t>102-98-2065</t>
  </si>
  <si>
    <t>118-66-9945</t>
  </si>
  <si>
    <t>071-40-6716</t>
  </si>
  <si>
    <t>100-78-4734</t>
  </si>
  <si>
    <t>094-58-3516</t>
  </si>
  <si>
    <t>101-87-9429</t>
  </si>
  <si>
    <t>067-64-8634</t>
  </si>
  <si>
    <t>104-32-0617</t>
  </si>
  <si>
    <t>000-00-9952</t>
  </si>
  <si>
    <t>079-58-8816</t>
  </si>
  <si>
    <t>125-50-5459</t>
  </si>
  <si>
    <t>126-56-3883</t>
  </si>
  <si>
    <t>000-00-9129</t>
  </si>
  <si>
    <t>070-42-5556</t>
  </si>
  <si>
    <t>090-82-4511</t>
  </si>
  <si>
    <t>611-26-9717</t>
  </si>
  <si>
    <t>087-88-1015</t>
  </si>
  <si>
    <t>062-54-6005</t>
  </si>
  <si>
    <t>116-80-6742</t>
  </si>
  <si>
    <t>104-62-2860</t>
  </si>
  <si>
    <t>114-68-3698</t>
  </si>
  <si>
    <t>000-00-8990</t>
  </si>
  <si>
    <t>164-78-6578</t>
  </si>
  <si>
    <t>061-50-8985</t>
  </si>
  <si>
    <t>099-84-9502</t>
  </si>
  <si>
    <t>110-64-2921</t>
  </si>
  <si>
    <t>733-01-4254</t>
  </si>
  <si>
    <t>110-78-3969</t>
  </si>
  <si>
    <t>099-52-9805</t>
  </si>
  <si>
    <t>099-44-7045</t>
  </si>
  <si>
    <t>000-00-7216</t>
  </si>
  <si>
    <t>247-74-2787</t>
  </si>
  <si>
    <t>075-64-1188</t>
  </si>
  <si>
    <t>000-00-4500</t>
  </si>
  <si>
    <t>603-30-0598</t>
  </si>
  <si>
    <t>118-60-3216</t>
  </si>
  <si>
    <t>128-48-5081</t>
  </si>
  <si>
    <t>103-70-6917</t>
  </si>
  <si>
    <t>132-60-7715</t>
  </si>
  <si>
    <t>562-39-4465</t>
  </si>
  <si>
    <t>057-92-6427</t>
  </si>
  <si>
    <t>103-60-1837</t>
  </si>
  <si>
    <t>106-90-2668</t>
  </si>
  <si>
    <t>069-58-3444</t>
  </si>
  <si>
    <t>096-68-0205</t>
  </si>
  <si>
    <t>000-00-5164</t>
  </si>
  <si>
    <t>074-86-1212</t>
  </si>
  <si>
    <t>072-48-3608</t>
  </si>
  <si>
    <t>133-48-6040</t>
  </si>
  <si>
    <t>091-90-2357</t>
  </si>
  <si>
    <t>070-78-1970</t>
  </si>
  <si>
    <t>083-86-5042</t>
  </si>
  <si>
    <t>192-59-0527</t>
  </si>
  <si>
    <t>058-64-2069</t>
  </si>
  <si>
    <t>730-09-1091</t>
  </si>
  <si>
    <t>874-65-8478</t>
  </si>
  <si>
    <t>132-36-2113</t>
  </si>
  <si>
    <t>128-48-8728</t>
  </si>
  <si>
    <t>133-90-9528</t>
  </si>
  <si>
    <t>609-24-9962</t>
  </si>
  <si>
    <t>109-46-4981</t>
  </si>
  <si>
    <t>094-86-1714</t>
  </si>
  <si>
    <t>000-00-4742</t>
  </si>
  <si>
    <t>901-64-8979</t>
  </si>
  <si>
    <t>586-66-7487</t>
  </si>
  <si>
    <t>065-68-2661</t>
  </si>
  <si>
    <t>103-44-9046</t>
  </si>
  <si>
    <t>083-64-4372</t>
  </si>
  <si>
    <t>096-66-5787</t>
  </si>
  <si>
    <t>069-72-8929</t>
  </si>
  <si>
    <t>145-13-2292</t>
  </si>
  <si>
    <t>106-48-9252</t>
  </si>
  <si>
    <t>000-00-4565</t>
  </si>
  <si>
    <t>141-98-1839</t>
  </si>
  <si>
    <t>174-95-0848</t>
  </si>
  <si>
    <t>072-48-3478</t>
  </si>
  <si>
    <t>055-40-0059</t>
  </si>
  <si>
    <t>240-19-9335</t>
  </si>
  <si>
    <t>097-54-9364</t>
  </si>
  <si>
    <t>732-58-8729</t>
  </si>
  <si>
    <t>105-50-3704</t>
  </si>
  <si>
    <t>057-80-7038</t>
  </si>
  <si>
    <t>164-54-6271</t>
  </si>
  <si>
    <t>069-58-0202</t>
  </si>
  <si>
    <t>581-67-1674</t>
  </si>
  <si>
    <t>058-60-7220</t>
  </si>
  <si>
    <t>070-46-7621</t>
  </si>
  <si>
    <t>594-18-4400</t>
  </si>
  <si>
    <t>058-54-7648</t>
  </si>
  <si>
    <t>126-68-1171</t>
  </si>
  <si>
    <t>073-52-0275</t>
  </si>
  <si>
    <t>598-16-7837</t>
  </si>
  <si>
    <t>065-40-7700</t>
  </si>
  <si>
    <t>072-58-6750</t>
  </si>
  <si>
    <t>128-48-3275</t>
  </si>
  <si>
    <t>581-64-4634</t>
  </si>
  <si>
    <t>072-54-9330</t>
  </si>
  <si>
    <t>074-36-6882</t>
  </si>
  <si>
    <t>111-64-6730</t>
  </si>
  <si>
    <t>250-04-4650</t>
  </si>
  <si>
    <t>055-50-8675</t>
  </si>
  <si>
    <t>104-92-3063</t>
  </si>
  <si>
    <t>000-00-4409</t>
  </si>
  <si>
    <t>000-00-6839</t>
  </si>
  <si>
    <t>082-56-4010</t>
  </si>
  <si>
    <t>000-00-7664</t>
  </si>
  <si>
    <t>433-51-6186</t>
  </si>
  <si>
    <t>582-45-7111</t>
  </si>
  <si>
    <t>098-70-7106</t>
  </si>
  <si>
    <t>126-48-0476</t>
  </si>
  <si>
    <t>089-50-6280</t>
  </si>
  <si>
    <t>115-62-3946</t>
  </si>
  <si>
    <t>050-38-5481</t>
  </si>
  <si>
    <t>126-98-0485</t>
  </si>
  <si>
    <t>298-46-7618</t>
  </si>
  <si>
    <t>116-36-4468</t>
  </si>
  <si>
    <t>131-58-5938</t>
  </si>
  <si>
    <t>580-04-1530</t>
  </si>
  <si>
    <t>104-40-2638</t>
  </si>
  <si>
    <t>059-88-6969</t>
  </si>
  <si>
    <t>100-54-1483</t>
  </si>
  <si>
    <t>099-52-7433</t>
  </si>
  <si>
    <t>131-90-7923</t>
  </si>
  <si>
    <t>190-76-0003</t>
  </si>
  <si>
    <t>090-96-1861</t>
  </si>
  <si>
    <t>111-98-9165</t>
  </si>
  <si>
    <t>085-62-3332</t>
  </si>
  <si>
    <t>000-00-8016</t>
  </si>
  <si>
    <t>083-66-4543</t>
  </si>
  <si>
    <t>072-84-0060</t>
  </si>
  <si>
    <t>106-94-4387</t>
  </si>
  <si>
    <t>073-56-9766</t>
  </si>
  <si>
    <t>057-02-6827</t>
  </si>
  <si>
    <t>783-34-4723</t>
  </si>
  <si>
    <t>080-62-7068</t>
  </si>
  <si>
    <t>067-36-7796</t>
  </si>
  <si>
    <t>129-64-6255</t>
  </si>
  <si>
    <t>087-48-0506</t>
  </si>
  <si>
    <t>131-44-7635</t>
  </si>
  <si>
    <t>096-70-5859</t>
  </si>
  <si>
    <t>132-84-8976</t>
  </si>
  <si>
    <t>079-70-2682</t>
  </si>
  <si>
    <t>098-58-3477</t>
  </si>
  <si>
    <t>126-66-0969</t>
  </si>
  <si>
    <t>073-02-1406</t>
  </si>
  <si>
    <t>061-54-3065</t>
  </si>
  <si>
    <t>116-56-2444</t>
  </si>
  <si>
    <t>860-72-2239</t>
  </si>
  <si>
    <t>781-32-1331</t>
  </si>
  <si>
    <t>085-48-7962</t>
  </si>
  <si>
    <t>064-82-5579</t>
  </si>
  <si>
    <t>132-78-1745</t>
  </si>
  <si>
    <t>111-58-7508</t>
  </si>
  <si>
    <t>120-56-0808</t>
  </si>
  <si>
    <t>082-40-2954</t>
  </si>
  <si>
    <t>082-40-1736</t>
  </si>
  <si>
    <t>057-68-3215</t>
  </si>
  <si>
    <t>421-41-5472</t>
  </si>
  <si>
    <t>099-56-8292</t>
  </si>
  <si>
    <t>083-78-9685</t>
  </si>
  <si>
    <t>104-64-5899</t>
  </si>
  <si>
    <t>072-98-3866</t>
  </si>
  <si>
    <t>119-68-7333</t>
  </si>
  <si>
    <t>091-56-1402</t>
  </si>
  <si>
    <t>106-62-0993</t>
  </si>
  <si>
    <t>119-60-1764</t>
  </si>
  <si>
    <t>117-74-4949</t>
  </si>
  <si>
    <t>086-48-2152</t>
  </si>
  <si>
    <t>082-66-4599</t>
  </si>
  <si>
    <t>175-46-5894</t>
  </si>
  <si>
    <t>127-64-1503</t>
  </si>
  <si>
    <t>068-66-4264</t>
  </si>
  <si>
    <t>094-64-9085</t>
  </si>
  <si>
    <t>110-46-8522</t>
  </si>
  <si>
    <t>000-00-1987</t>
  </si>
  <si>
    <t>646-83-6634</t>
  </si>
  <si>
    <t>054-26-4400</t>
  </si>
  <si>
    <t>091-42-0419</t>
  </si>
  <si>
    <t>999-99-9999</t>
  </si>
  <si>
    <t>068-88-0329</t>
  </si>
  <si>
    <t>113-64-5213</t>
  </si>
  <si>
    <t>087-62-8117</t>
  </si>
  <si>
    <t>593-13-5574</t>
  </si>
  <si>
    <t>000-00-9899</t>
  </si>
  <si>
    <t>000-00-2391</t>
  </si>
  <si>
    <t>056-60-8341</t>
  </si>
  <si>
    <t>083-80-8833</t>
  </si>
  <si>
    <t>000-00-1703</t>
  </si>
  <si>
    <t>050-28-0673</t>
  </si>
  <si>
    <t>077-70-4462</t>
  </si>
  <si>
    <t>076-64-4349</t>
  </si>
  <si>
    <t>070-46-7829</t>
  </si>
  <si>
    <t>105-34-4504</t>
  </si>
  <si>
    <t>100-80-5792</t>
  </si>
  <si>
    <t>064-56-8677</t>
  </si>
  <si>
    <t>127-84-5060</t>
  </si>
  <si>
    <t>131-70-9663</t>
  </si>
  <si>
    <t>121-62-9499</t>
  </si>
  <si>
    <t>134-62-9568</t>
  </si>
  <si>
    <t>603-70-6655</t>
  </si>
  <si>
    <t>198-72-0111</t>
  </si>
  <si>
    <t>117-62-7802</t>
  </si>
  <si>
    <t>673-76-1425</t>
  </si>
  <si>
    <t>246-65-7650</t>
  </si>
  <si>
    <t>519-39-2805</t>
  </si>
  <si>
    <t>056-40-1468</t>
  </si>
  <si>
    <t>373-64-5954</t>
  </si>
  <si>
    <t>097-80-2092</t>
  </si>
  <si>
    <t>195-64-4180</t>
  </si>
  <si>
    <t>053-90-4428</t>
  </si>
  <si>
    <t>064-58-7548</t>
  </si>
  <si>
    <t>065-64-9016</t>
  </si>
  <si>
    <t>092-40-7625</t>
  </si>
  <si>
    <t>134-28-7924</t>
  </si>
  <si>
    <t>069-72-5393</t>
  </si>
  <si>
    <t>133-76-2262</t>
  </si>
  <si>
    <t>128-50-3227</t>
  </si>
  <si>
    <t>068-68-6129</t>
  </si>
  <si>
    <t>146-35-7950</t>
  </si>
  <si>
    <t>074-78-2751</t>
  </si>
  <si>
    <t>057-68-2109</t>
  </si>
  <si>
    <t>000-00-3578</t>
  </si>
  <si>
    <t>000-00-9645</t>
  </si>
  <si>
    <t>115-75-7937</t>
  </si>
  <si>
    <t>584-22-5295</t>
  </si>
  <si>
    <t>059-66-4834</t>
  </si>
  <si>
    <t>125-52-6597</t>
  </si>
  <si>
    <t>085-52-2717</t>
  </si>
  <si>
    <t>000-00-2744</t>
  </si>
  <si>
    <t>593-64-9081</t>
  </si>
  <si>
    <t>262-93-0699</t>
  </si>
  <si>
    <t>000-00-9649</t>
  </si>
  <si>
    <t>590-26-6788</t>
  </si>
  <si>
    <t>238-47-0292</t>
  </si>
  <si>
    <t>076-82-7319</t>
  </si>
  <si>
    <t>105-68-4147</t>
  </si>
  <si>
    <t>000-00-8489</t>
  </si>
  <si>
    <t>064-48-9922</t>
  </si>
  <si>
    <t>054-58-3312</t>
  </si>
  <si>
    <t>084-78-2051</t>
  </si>
  <si>
    <t>088-94-2041</t>
  </si>
  <si>
    <t>112-92-4236</t>
  </si>
  <si>
    <t>Unregulated – Co-Op</t>
  </si>
  <si>
    <t>Rent Controlled</t>
  </si>
  <si>
    <t>Project-based Sec. 8</t>
  </si>
  <si>
    <t>Rent Stabilized</t>
  </si>
  <si>
    <t>Unregulated</t>
  </si>
  <si>
    <t>Mitchell-Lama</t>
  </si>
  <si>
    <t>Other Subsidized Housing</t>
  </si>
  <si>
    <t>HDFC</t>
  </si>
  <si>
    <t>Unregulated – Sublet</t>
  </si>
  <si>
    <t>Low Income Tax Credit</t>
  </si>
  <si>
    <t>Supportive Housing</t>
  </si>
  <si>
    <t>Unregulated – Other</t>
  </si>
  <si>
    <t>Public Housing</t>
  </si>
  <si>
    <t>Public Housing/NYCHA</t>
  </si>
  <si>
    <t>Tenant-interim-lease</t>
  </si>
  <si>
    <t>FEPS</t>
  </si>
  <si>
    <t>DRIE/SCRIE</t>
  </si>
  <si>
    <t>Section 8</t>
  </si>
  <si>
    <t>City FEPS</t>
  </si>
  <si>
    <t>LINC</t>
  </si>
  <si>
    <t>HUD VASH</t>
  </si>
  <si>
    <t>HASA</t>
  </si>
  <si>
    <t>SEPS</t>
  </si>
  <si>
    <t>SOTA</t>
  </si>
  <si>
    <t>Pathways Home</t>
  </si>
  <si>
    <t>11/28/2016</t>
  </si>
  <si>
    <t>08/04/2017</t>
  </si>
  <si>
    <t>04/12/2017</t>
  </si>
  <si>
    <t>05/03/2017</t>
  </si>
  <si>
    <t>Income Waiver</t>
  </si>
  <si>
    <t>FJC Waiver</t>
  </si>
  <si>
    <t>Zip Code Waiver</t>
  </si>
  <si>
    <t>CAT3: Cases Involving Rent-Regulated Housing Or Housing Subsidies Vouchers</t>
  </si>
  <si>
    <t>English</t>
  </si>
  <si>
    <t>Spanish</t>
  </si>
  <si>
    <t>Russian</t>
  </si>
  <si>
    <t>Arabic</t>
  </si>
  <si>
    <t>Creole</t>
  </si>
  <si>
    <t>French Creole</t>
  </si>
  <si>
    <t>Japanese</t>
  </si>
  <si>
    <t>French</t>
  </si>
  <si>
    <t xml:space="preserve">Chinese </t>
  </si>
  <si>
    <t>Chinese/Cantonese</t>
  </si>
  <si>
    <t>Korean</t>
  </si>
  <si>
    <t>Bengali</t>
  </si>
  <si>
    <t>Cantonese</t>
  </si>
  <si>
    <t>Mandarin</t>
  </si>
  <si>
    <t>Polish</t>
  </si>
  <si>
    <t>Amer. Sign Lang.</t>
  </si>
  <si>
    <t>Chinese/Mandarin</t>
  </si>
  <si>
    <t>Portuguese</t>
  </si>
  <si>
    <t>Dutch</t>
  </si>
  <si>
    <t>Serbocroatian</t>
  </si>
  <si>
    <t>missing forms</t>
  </si>
  <si>
    <t>HRA verification in lieu of DHCI</t>
  </si>
  <si>
    <t>Missing forms and index #</t>
  </si>
  <si>
    <t>Missing HRA form</t>
  </si>
  <si>
    <t>releases in 19-1900448</t>
  </si>
  <si>
    <t>see 19-1900440 for release and DHCI</t>
  </si>
  <si>
    <t>Income waiver needed for participant in building wide initiative</t>
  </si>
  <si>
    <t>Needs income waiver for building wide/group work</t>
  </si>
  <si>
    <t>City FHEPS Case #:10154731</t>
  </si>
  <si>
    <t>Missing forms</t>
  </si>
  <si>
    <t>missing DHCI &amp; HRA forms</t>
  </si>
  <si>
    <t>not clear what if anything happened with the s8 issue. cl has new nonpay - needs new file</t>
  </si>
  <si>
    <t>need income waiver</t>
  </si>
  <si>
    <t>4/18 - need consent &amp; DHCI uploaded</t>
  </si>
  <si>
    <t>Missing DHCI &amp; HRA Forms</t>
  </si>
  <si>
    <t>4/18 - HPLP if case is filed; TRC if not. Need consent &amp; DHCI</t>
  </si>
  <si>
    <t>DHCI marked yes b/c HRA verified AC/SNAP 3/23/2018</t>
  </si>
  <si>
    <t>client did not sign the consent to release</t>
  </si>
  <si>
    <t>Missing DHCI &amp; HRA Documents</t>
  </si>
  <si>
    <t>Need income waiver for group action client</t>
  </si>
  <si>
    <t>unable to obtain retainer despite best efforts</t>
  </si>
  <si>
    <t>Unable to get compliance docs from tenant</t>
  </si>
  <si>
    <t>Compliance forms are in 19-1896778</t>
  </si>
  <si>
    <t>DO-Docs signed and uploaded</t>
  </si>
  <si>
    <t>Out-of-date forms in 17-1852369</t>
  </si>
  <si>
    <t>HRA Consent uploaded</t>
  </si>
  <si>
    <t>Provided full rep in same case, this case should be closed as ZZ</t>
  </si>
  <si>
    <t>need income waiver for participant in building wide initiative</t>
  </si>
  <si>
    <t>duplicate not worth reporting at this point?</t>
  </si>
  <si>
    <t>phone advice so far</t>
  </si>
  <si>
    <t>Releases are in the attestation folder</t>
  </si>
  <si>
    <t>Contacting client to get income form ; didn;t need it in elder unit</t>
  </si>
  <si>
    <t>no forms yet</t>
  </si>
  <si>
    <t>Will require income waiver</t>
  </si>
  <si>
    <t>Atlantic Towers Group initiative client - needs income waiver</t>
  </si>
  <si>
    <t>PA Check AB</t>
  </si>
  <si>
    <t>Releases in (17-0831758)</t>
  </si>
  <si>
    <t>Contacting client for forms</t>
  </si>
  <si>
    <t>Compliance docs located in Master file #19-1895077</t>
  </si>
  <si>
    <t>This file is part of Housing Court case 19-1904189</t>
  </si>
  <si>
    <t>PA Advocacy for Index No. LT-059006-19/KI.</t>
  </si>
  <si>
    <t>Companion file to #19-1907227</t>
  </si>
  <si>
    <t>This file is companion to Eviction case # 19-1899803</t>
  </si>
  <si>
    <t>Client withdrew/did not attend scheduled HP clinic. No one met with him in person. No docs signed</t>
  </si>
  <si>
    <t>No Releases or Other Compliance docs</t>
  </si>
  <si>
    <t>Client withdrew/did not keep his scheduled HP clinic appt. No one met with him in person and no docs signed.</t>
  </si>
  <si>
    <t>Client didn't show to scheduled HP clinic. No one met with her and no docs obtained, however per notes advice was provided by access line.</t>
  </si>
  <si>
    <t>Client withdrew/did not show up for scheduled HP clinic. No one met with in person and no docs signed</t>
  </si>
  <si>
    <t>client received brief advice from access line. She didn't keep her appt, no one met with her in person and no docs were signed.</t>
  </si>
  <si>
    <t>Atlantic Plaza Towers facial recognition advocacy</t>
  </si>
  <si>
    <t>DHCI requirement waived re building wide initiative in opposition to Facial Recognition</t>
  </si>
  <si>
    <t>Opposition to Facial Recogntion. Wavier for APT Facial Recognition. No DHCI Required.</t>
  </si>
  <si>
    <t>Opposition to facial recognition. Wavier for APT facial recogniton. No DHCI required.</t>
  </si>
  <si>
    <t>Opposition to facial recogntiton. Wavier for APT Facial Recognition. No DHCI required.</t>
  </si>
  <si>
    <t>Opposition to facial recognition. Wavier for APT Facial Recognition. No DHCI required.</t>
  </si>
  <si>
    <t>Income waiver needed</t>
  </si>
  <si>
    <t>needs to be ZZ closed; prior FY</t>
  </si>
  <si>
    <t>Matter resolved btwn LL &amp; client. No one met with him and no docs obtained</t>
  </si>
  <si>
    <t>Client withdrew. Noone met with him but notes suggest hotline gave HP advice. Do docs obtained</t>
  </si>
  <si>
    <t>Need income waiver for client who is part of a building wide initiative</t>
  </si>
  <si>
    <t>DHCI FORM NOT SIGNED</t>
  </si>
  <si>
    <t>Reasobable accom case; needs waiver</t>
  </si>
  <si>
    <t>Missing Forms</t>
  </si>
  <si>
    <t>overincome but will be part of group loft law case once bill is passed</t>
  </si>
  <si>
    <t>Attestation located in Intake Pkg</t>
  </si>
  <si>
    <t>SCRIE</t>
  </si>
  <si>
    <t>Filed for an Emergency Order to Show Cause</t>
  </si>
  <si>
    <t>Filed/Argued/Supplemented Dispositive or other Substantive Motion</t>
  </si>
  <si>
    <t>Counsel Assisted in Filing or Refiling of Answer</t>
  </si>
  <si>
    <t>Counsel Assisted in Filing or Refiling of Answer, Filed/Argued/Supplemented Dispositive or other Substantive Motion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</si>
  <si>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</si>
  <si>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</si>
  <si>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Commenced Trial, Counsel Assisted in Filing or Refiling of Answer, Filed for an Emergency Order to Show Cause</t>
  </si>
  <si>
    <t>Restored Access to Personal Property</t>
  </si>
  <si>
    <t>Case Discontinued/Dismissed/Landlord Fails to Prosecute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</si>
  <si>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</si>
  <si>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</si>
  <si>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Obtain Ongoing Rent Subsidy</t>
  </si>
  <si>
    <t>Case Resolved without Judgment of Eviction Against Client, Secured 6 Months or Longer in Residence, Secured Rent Abatement</t>
  </si>
  <si>
    <t>Case Resolved without Judgment of Eviction Against Client, Secured 6 Months or Longer in Residence</t>
  </si>
  <si>
    <t>Secured 6 Months or Longer in Residence, Secured Rent Abatement</t>
  </si>
  <si>
    <t>Case Discontinued/Dismissed/Landlord Fails to Prosecute, Case Resolved without Judgment of Eviction Against Client, Obtained Renewal of Lease</t>
  </si>
  <si>
    <t>Case Discontinued/Dismissed/Landlord Fails to Prosecute, Case Resolved without Judgment of Eviction Against Client, Other</t>
  </si>
  <si>
    <t>Client Allowed to Remain in Residence</t>
  </si>
  <si>
    <t>Client Required to be Displaced from Residence</t>
  </si>
  <si>
    <t>Attorney Withdrew</t>
  </si>
  <si>
    <t>2019-09-24</t>
  </si>
  <si>
    <t>2019-07-19</t>
  </si>
  <si>
    <t>2019-07-16</t>
  </si>
  <si>
    <t>2019-07-22</t>
  </si>
  <si>
    <t>2019-09-01</t>
  </si>
  <si>
    <t>2019-08-20</t>
  </si>
  <si>
    <t>2019-07-25</t>
  </si>
  <si>
    <t>2019-09-03</t>
  </si>
  <si>
    <t>2019-07-31</t>
  </si>
  <si>
    <t>2019-08-06</t>
  </si>
  <si>
    <t>2019-09-18</t>
  </si>
  <si>
    <t>2019-08-28</t>
  </si>
  <si>
    <t>2019-05-01</t>
  </si>
  <si>
    <t>2019-07-09</t>
  </si>
  <si>
    <t>2019-06-30</t>
  </si>
  <si>
    <t>2019-08-08</t>
  </si>
  <si>
    <t>2019-06-03</t>
  </si>
  <si>
    <t>2019-09-23</t>
  </si>
  <si>
    <t>2019-08-29</t>
  </si>
  <si>
    <t>2019-08-16</t>
  </si>
  <si>
    <t>2019-07-17</t>
  </si>
  <si>
    <t>2019-02-20</t>
  </si>
  <si>
    <t>2019-08-13</t>
  </si>
  <si>
    <t>2018-02-05</t>
  </si>
  <si>
    <t>2019-09-04</t>
  </si>
  <si>
    <t>05/23/2019</t>
  </si>
  <si>
    <t>10/19/2018</t>
  </si>
  <si>
    <t>01/24/2019</t>
  </si>
  <si>
    <t>12/29/2016</t>
  </si>
  <si>
    <t>12/30/2016</t>
  </si>
  <si>
    <t>05/03/2019</t>
  </si>
  <si>
    <t>07/30/2018</t>
  </si>
  <si>
    <t>03/08/2019</t>
  </si>
  <si>
    <t>10/25/2018</t>
  </si>
  <si>
    <t>12/12/2018</t>
  </si>
  <si>
    <t>09/11/2018</t>
  </si>
  <si>
    <t>07/21/2019</t>
  </si>
  <si>
    <t>12/28/2018</t>
  </si>
  <si>
    <t>12/11/2018</t>
  </si>
  <si>
    <t>07/09/2018</t>
  </si>
  <si>
    <t>08/15/2018</t>
  </si>
  <si>
    <t>01/22/2019</t>
  </si>
  <si>
    <t>06/22/2018</t>
  </si>
  <si>
    <t>01/08/2018</t>
  </si>
  <si>
    <t>12/31/2018</t>
  </si>
  <si>
    <t>06/19/2018</t>
  </si>
  <si>
    <t>04/16/2018</t>
  </si>
  <si>
    <t>09/06/2018</t>
  </si>
  <si>
    <t>11/02/2018</t>
  </si>
  <si>
    <t>02/07/2017</t>
  </si>
  <si>
    <t>03/04/2019</t>
  </si>
  <si>
    <t>09/22/2017</t>
  </si>
  <si>
    <t>04/19/2019</t>
  </si>
  <si>
    <t>09/12/2018</t>
  </si>
  <si>
    <t>07/05/2018</t>
  </si>
  <si>
    <t>03/26/2018</t>
  </si>
  <si>
    <t>06/19/2019</t>
  </si>
  <si>
    <t>Ortega, Luis</t>
  </si>
  <si>
    <t>Vergeli, Evelyn</t>
  </si>
  <si>
    <t>Villanueva, Anthony</t>
  </si>
  <si>
    <t>Santiago, Denya</t>
  </si>
  <si>
    <t>Guzman, Michael</t>
  </si>
  <si>
    <t>Djourab, Atteib</t>
  </si>
  <si>
    <t>Dong, Sean</t>
  </si>
  <si>
    <t>Khanam, Aysha</t>
  </si>
  <si>
    <t>Pierre, Haenley</t>
  </si>
  <si>
    <t>Morales-Robinson, Ana</t>
  </si>
  <si>
    <t>Pozo, Caridad</t>
  </si>
  <si>
    <t>Martinez, Renee</t>
  </si>
  <si>
    <t>Wong, Angela</t>
  </si>
  <si>
    <t>Medina, Marta</t>
  </si>
  <si>
    <t>Guerra, Yolanda</t>
  </si>
  <si>
    <t>Amponsah, Oheneba</t>
  </si>
  <si>
    <t>Guzman Velazquez, Leida</t>
  </si>
  <si>
    <t>Arboleda, Paula</t>
  </si>
  <si>
    <t>Prado, Steven</t>
  </si>
  <si>
    <t>Sampert, Monica</t>
  </si>
  <si>
    <t>Torres, Elizabeth</t>
  </si>
  <si>
    <t>Fuentes, Maria</t>
  </si>
  <si>
    <t>Pujols, Isabel</t>
  </si>
  <si>
    <t>Wilson-Wieland, Cherille</t>
  </si>
  <si>
    <t>Baldova, Maria</t>
  </si>
  <si>
    <t>Lebro-Lopez, Wanda</t>
  </si>
  <si>
    <t>Lane, Diane</t>
  </si>
  <si>
    <t>Oquendo, Joann</t>
  </si>
  <si>
    <t>Then, Laura</t>
  </si>
  <si>
    <t>Benitez, Vicenta</t>
  </si>
  <si>
    <t>Escobar, Sarah</t>
  </si>
  <si>
    <t>Moss, Julieta</t>
  </si>
  <si>
    <t>Duman, Shirley</t>
  </si>
  <si>
    <t>Castillo, Evette</t>
  </si>
  <si>
    <t>Schwartz, Ester</t>
  </si>
  <si>
    <t>Velasquez, Diana</t>
  </si>
  <si>
    <t>Frias De Sosa, Yajaira</t>
  </si>
  <si>
    <t>Zabizhin, Albert</t>
  </si>
  <si>
    <t>Stump, Rafaela</t>
  </si>
  <si>
    <t>Lopez, Gabriel</t>
  </si>
  <si>
    <t>Lee, Thomas</t>
  </si>
  <si>
    <t>Nachman, Fraidy</t>
  </si>
  <si>
    <t>St. Marie, Monique</t>
  </si>
  <si>
    <t>Richardson, Ryan</t>
  </si>
  <si>
    <t>Hernandez, Elizabeth</t>
  </si>
  <si>
    <t>Bohnett, Elizabeth</t>
  </si>
  <si>
    <t>Hernandez, Marisol</t>
  </si>
  <si>
    <t>Baltimore, Beth</t>
  </si>
  <si>
    <t>Nadeau-Rifkind, Al</t>
  </si>
  <si>
    <t>Sanabria, Myrna</t>
  </si>
  <si>
    <t>Deolarte, Stephanie</t>
  </si>
  <si>
    <t>Espinal, Wendy</t>
  </si>
  <si>
    <t>Garcia, Delci</t>
  </si>
  <si>
    <t>Goldberg, Heather</t>
  </si>
  <si>
    <t>Fillingame, David</t>
  </si>
  <si>
    <t>Shang, Andrea</t>
  </si>
  <si>
    <t>McDonald, Susan</t>
  </si>
  <si>
    <t>Garcia, Alexandra</t>
  </si>
  <si>
    <t>Hernandez, Jonathan</t>
  </si>
  <si>
    <t>Rodriguez, Ana</t>
  </si>
  <si>
    <t>Savinon, Clara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</si>
</sst>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176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HYPERLINK("https://lsnyc.legalserver.org/matter/dynamic-profile/view/1904293","19-1904293")</f>
        <v>0</v>
      </c>
      <c r="B2" t="s">
        <v>50</v>
      </c>
      <c r="C2" t="s">
        <v>191</v>
      </c>
      <c r="D2" t="s">
        <v>193</v>
      </c>
      <c r="F2" t="s">
        <v>439</v>
      </c>
      <c r="G2" t="s">
        <v>1185</v>
      </c>
      <c r="H2" t="s">
        <v>1961</v>
      </c>
      <c r="I2" t="s">
        <v>2813</v>
      </c>
      <c r="J2" t="s">
        <v>3145</v>
      </c>
      <c r="K2">
        <v>11692</v>
      </c>
      <c r="L2" t="s">
        <v>3184</v>
      </c>
      <c r="M2" t="s">
        <v>3188</v>
      </c>
      <c r="N2" t="s">
        <v>3186</v>
      </c>
      <c r="O2" t="s">
        <v>3191</v>
      </c>
      <c r="P2" t="s">
        <v>3257</v>
      </c>
      <c r="Q2" t="s">
        <v>3634</v>
      </c>
      <c r="T2" t="s">
        <v>3660</v>
      </c>
      <c r="U2" t="s">
        <v>3184</v>
      </c>
      <c r="W2" t="s">
        <v>3670</v>
      </c>
      <c r="X2" t="s">
        <v>3681</v>
      </c>
      <c r="Y2">
        <v>1850</v>
      </c>
      <c r="Z2" t="s">
        <v>3688</v>
      </c>
      <c r="AA2" t="s">
        <v>3693</v>
      </c>
      <c r="AC2" t="s">
        <v>3724</v>
      </c>
      <c r="AD2" t="s">
        <v>3188</v>
      </c>
      <c r="AE2" t="s">
        <v>4878</v>
      </c>
      <c r="AF2">
        <v>2</v>
      </c>
      <c r="AG2" t="s">
        <v>5810</v>
      </c>
      <c r="AH2" t="s">
        <v>3188</v>
      </c>
      <c r="AI2">
        <v>-1</v>
      </c>
      <c r="AJ2">
        <v>1</v>
      </c>
      <c r="AK2">
        <v>0</v>
      </c>
      <c r="AL2">
        <v>86.47</v>
      </c>
      <c r="AO2" t="s">
        <v>5843</v>
      </c>
      <c r="AP2">
        <v>10800</v>
      </c>
      <c r="AS2" t="s">
        <v>3632</v>
      </c>
      <c r="AU2" t="s">
        <v>5949</v>
      </c>
      <c r="AV2">
        <v>2.85</v>
      </c>
      <c r="AW2" t="s">
        <v>199</v>
      </c>
      <c r="AX2" t="s">
        <v>6006</v>
      </c>
    </row>
    <row r="3" spans="1:50">
      <c r="A3" s="1">
        <f>HYPERLINK("https://lsnyc.legalserver.org/matter/dynamic-profile/view/1903859","19-1903859")</f>
        <v>0</v>
      </c>
      <c r="B3" t="s">
        <v>51</v>
      </c>
      <c r="C3" t="s">
        <v>191</v>
      </c>
      <c r="D3" t="s">
        <v>194</v>
      </c>
      <c r="F3" t="s">
        <v>440</v>
      </c>
      <c r="G3" t="s">
        <v>1186</v>
      </c>
      <c r="H3" t="s">
        <v>1962</v>
      </c>
      <c r="I3">
        <v>10</v>
      </c>
      <c r="J3" t="s">
        <v>3146</v>
      </c>
      <c r="K3">
        <v>10025</v>
      </c>
      <c r="L3" t="s">
        <v>3185</v>
      </c>
      <c r="M3" t="s">
        <v>3189</v>
      </c>
      <c r="N3" t="s">
        <v>3186</v>
      </c>
      <c r="P3" t="s">
        <v>3609</v>
      </c>
      <c r="Q3" t="s">
        <v>3635</v>
      </c>
      <c r="S3" t="s">
        <v>194</v>
      </c>
      <c r="T3" t="s">
        <v>3660</v>
      </c>
      <c r="U3" t="s">
        <v>3184</v>
      </c>
      <c r="W3" t="s">
        <v>3670</v>
      </c>
      <c r="X3" t="s">
        <v>3681</v>
      </c>
      <c r="Y3">
        <v>679.8200000000001</v>
      </c>
      <c r="Z3" t="s">
        <v>3689</v>
      </c>
      <c r="AA3" t="s">
        <v>3694</v>
      </c>
      <c r="AC3" t="s">
        <v>3725</v>
      </c>
      <c r="AE3" t="s">
        <v>4879</v>
      </c>
      <c r="AF3">
        <v>16</v>
      </c>
      <c r="AG3" t="s">
        <v>5811</v>
      </c>
      <c r="AH3" t="s">
        <v>3188</v>
      </c>
      <c r="AI3">
        <v>40</v>
      </c>
      <c r="AJ3">
        <v>1</v>
      </c>
      <c r="AK3">
        <v>0</v>
      </c>
      <c r="AL3">
        <v>160.92</v>
      </c>
      <c r="AO3" t="s">
        <v>5844</v>
      </c>
      <c r="AP3">
        <v>20098.56</v>
      </c>
      <c r="AV3">
        <v>3</v>
      </c>
      <c r="AW3" t="s">
        <v>194</v>
      </c>
      <c r="AX3" t="s">
        <v>6007</v>
      </c>
    </row>
    <row r="4" spans="1:50">
      <c r="A4" s="1">
        <f>HYPERLINK("https://lsnyc.legalserver.org/matter/dynamic-profile/view/1908092","19-1908092")</f>
        <v>0</v>
      </c>
      <c r="B4" t="s">
        <v>52</v>
      </c>
      <c r="C4" t="s">
        <v>192</v>
      </c>
      <c r="D4" t="s">
        <v>195</v>
      </c>
      <c r="E4" t="s">
        <v>221</v>
      </c>
      <c r="F4" t="s">
        <v>441</v>
      </c>
      <c r="G4" t="s">
        <v>1187</v>
      </c>
      <c r="H4" t="s">
        <v>1963</v>
      </c>
      <c r="I4" t="s">
        <v>2814</v>
      </c>
      <c r="J4" t="s">
        <v>3147</v>
      </c>
      <c r="K4">
        <v>10453</v>
      </c>
      <c r="L4" t="s">
        <v>3186</v>
      </c>
      <c r="N4" t="s">
        <v>3186</v>
      </c>
      <c r="O4" t="s">
        <v>3192</v>
      </c>
      <c r="P4" t="s">
        <v>3610</v>
      </c>
      <c r="Q4" t="s">
        <v>3634</v>
      </c>
      <c r="R4" t="s">
        <v>3642</v>
      </c>
      <c r="T4" t="s">
        <v>3660</v>
      </c>
      <c r="W4" t="s">
        <v>3670</v>
      </c>
      <c r="Y4">
        <v>944</v>
      </c>
      <c r="Z4" t="s">
        <v>3690</v>
      </c>
      <c r="AA4" t="s">
        <v>3695</v>
      </c>
      <c r="AB4" t="s">
        <v>3711</v>
      </c>
      <c r="AC4" t="s">
        <v>3726</v>
      </c>
      <c r="AE4" t="s">
        <v>4880</v>
      </c>
      <c r="AF4">
        <v>40</v>
      </c>
      <c r="AG4" t="s">
        <v>5812</v>
      </c>
      <c r="AI4">
        <v>17</v>
      </c>
      <c r="AJ4">
        <v>1</v>
      </c>
      <c r="AK4">
        <v>0</v>
      </c>
      <c r="AL4">
        <v>23.06</v>
      </c>
      <c r="AO4" t="s">
        <v>5844</v>
      </c>
      <c r="AP4">
        <v>2880</v>
      </c>
      <c r="AV4">
        <v>4.6</v>
      </c>
      <c r="AW4" t="s">
        <v>221</v>
      </c>
      <c r="AX4" t="s">
        <v>6008</v>
      </c>
    </row>
    <row r="5" spans="1:50">
      <c r="A5" s="1">
        <f>HYPERLINK("https://lsnyc.legalserver.org/matter/dynamic-profile/view/1909408","19-1909408")</f>
        <v>0</v>
      </c>
      <c r="B5" t="s">
        <v>53</v>
      </c>
      <c r="C5" t="s">
        <v>191</v>
      </c>
      <c r="D5" t="s">
        <v>196</v>
      </c>
      <c r="F5" t="s">
        <v>442</v>
      </c>
      <c r="G5" t="s">
        <v>1188</v>
      </c>
      <c r="H5" t="s">
        <v>1964</v>
      </c>
      <c r="I5" t="s">
        <v>2815</v>
      </c>
      <c r="J5" t="s">
        <v>3146</v>
      </c>
      <c r="K5">
        <v>10032</v>
      </c>
      <c r="L5" t="s">
        <v>3185</v>
      </c>
      <c r="M5" t="s">
        <v>3189</v>
      </c>
      <c r="N5" t="s">
        <v>3186</v>
      </c>
      <c r="P5" t="s">
        <v>3611</v>
      </c>
      <c r="Q5" t="s">
        <v>3636</v>
      </c>
      <c r="S5" t="s">
        <v>196</v>
      </c>
      <c r="T5" t="s">
        <v>3660</v>
      </c>
      <c r="U5" t="s">
        <v>3184</v>
      </c>
      <c r="W5" t="s">
        <v>3670</v>
      </c>
      <c r="Y5">
        <v>858.16</v>
      </c>
      <c r="Z5" t="s">
        <v>3689</v>
      </c>
      <c r="AA5" t="s">
        <v>3696</v>
      </c>
      <c r="AC5" t="s">
        <v>3727</v>
      </c>
      <c r="AE5" t="s">
        <v>4881</v>
      </c>
      <c r="AF5">
        <v>42</v>
      </c>
      <c r="AG5" t="s">
        <v>5813</v>
      </c>
      <c r="AH5" t="s">
        <v>5825</v>
      </c>
      <c r="AI5">
        <v>35</v>
      </c>
      <c r="AJ5">
        <v>1</v>
      </c>
      <c r="AK5">
        <v>1</v>
      </c>
      <c r="AL5">
        <v>0</v>
      </c>
      <c r="AO5" t="s">
        <v>5844</v>
      </c>
      <c r="AP5">
        <v>0</v>
      </c>
      <c r="AV5">
        <v>0.1</v>
      </c>
      <c r="AW5" t="s">
        <v>197</v>
      </c>
      <c r="AX5" t="s">
        <v>108</v>
      </c>
    </row>
    <row r="6" spans="1:50">
      <c r="A6" s="1">
        <f>HYPERLINK("https://lsnyc.legalserver.org/matter/dynamic-profile/view/1909580","19-1909580")</f>
        <v>0</v>
      </c>
      <c r="B6" t="s">
        <v>53</v>
      </c>
      <c r="C6" t="s">
        <v>191</v>
      </c>
      <c r="D6" t="s">
        <v>197</v>
      </c>
      <c r="F6" t="s">
        <v>443</v>
      </c>
      <c r="G6" t="s">
        <v>1189</v>
      </c>
      <c r="H6" t="s">
        <v>1965</v>
      </c>
      <c r="I6" t="s">
        <v>2816</v>
      </c>
      <c r="J6" t="s">
        <v>3146</v>
      </c>
      <c r="K6">
        <v>10040</v>
      </c>
      <c r="L6" t="s">
        <v>3185</v>
      </c>
      <c r="M6" t="s">
        <v>3189</v>
      </c>
      <c r="N6" t="s">
        <v>3186</v>
      </c>
      <c r="P6" t="s">
        <v>3609</v>
      </c>
      <c r="Q6" t="s">
        <v>3636</v>
      </c>
      <c r="S6" t="s">
        <v>197</v>
      </c>
      <c r="T6" t="s">
        <v>3660</v>
      </c>
      <c r="U6" t="s">
        <v>3184</v>
      </c>
      <c r="W6" t="s">
        <v>3670</v>
      </c>
      <c r="Y6">
        <v>843.6</v>
      </c>
      <c r="Z6" t="s">
        <v>3689</v>
      </c>
      <c r="AA6" t="s">
        <v>3696</v>
      </c>
      <c r="AC6" t="s">
        <v>3728</v>
      </c>
      <c r="AE6" t="s">
        <v>4882</v>
      </c>
      <c r="AF6">
        <v>42</v>
      </c>
      <c r="AG6" t="s">
        <v>5813</v>
      </c>
      <c r="AH6" t="s">
        <v>5826</v>
      </c>
      <c r="AI6">
        <v>24</v>
      </c>
      <c r="AJ6">
        <v>1</v>
      </c>
      <c r="AK6">
        <v>0</v>
      </c>
      <c r="AL6">
        <v>0</v>
      </c>
      <c r="AO6" t="s">
        <v>5844</v>
      </c>
      <c r="AP6">
        <v>0</v>
      </c>
      <c r="AV6">
        <v>0.5</v>
      </c>
      <c r="AW6" t="s">
        <v>199</v>
      </c>
      <c r="AX6" t="s">
        <v>108</v>
      </c>
    </row>
    <row r="7" spans="1:50">
      <c r="A7" s="1">
        <f>HYPERLINK("https://lsnyc.legalserver.org/matter/dynamic-profile/view/1910119","19-1910119")</f>
        <v>0</v>
      </c>
      <c r="B7" t="s">
        <v>53</v>
      </c>
      <c r="C7" t="s">
        <v>191</v>
      </c>
      <c r="D7" t="s">
        <v>198</v>
      </c>
      <c r="F7" t="s">
        <v>444</v>
      </c>
      <c r="G7" t="s">
        <v>1190</v>
      </c>
      <c r="H7" t="s">
        <v>1966</v>
      </c>
      <c r="J7" t="s">
        <v>3146</v>
      </c>
      <c r="K7">
        <v>10033</v>
      </c>
      <c r="L7" t="s">
        <v>3185</v>
      </c>
      <c r="M7" t="s">
        <v>3189</v>
      </c>
      <c r="N7" t="s">
        <v>3186</v>
      </c>
      <c r="P7" t="s">
        <v>3612</v>
      </c>
      <c r="Q7" t="s">
        <v>3636</v>
      </c>
      <c r="S7" t="s">
        <v>198</v>
      </c>
      <c r="T7" t="s">
        <v>3660</v>
      </c>
      <c r="U7" t="s">
        <v>3185</v>
      </c>
      <c r="W7" t="s">
        <v>3670</v>
      </c>
      <c r="Y7">
        <v>811.77</v>
      </c>
      <c r="Z7" t="s">
        <v>3689</v>
      </c>
      <c r="AA7" t="s">
        <v>3697</v>
      </c>
      <c r="AC7" t="s">
        <v>3729</v>
      </c>
      <c r="AE7" t="s">
        <v>4883</v>
      </c>
      <c r="AF7">
        <v>12</v>
      </c>
      <c r="AG7" t="s">
        <v>5813</v>
      </c>
      <c r="AH7" t="s">
        <v>5826</v>
      </c>
      <c r="AI7">
        <v>45</v>
      </c>
      <c r="AJ7">
        <v>2</v>
      </c>
      <c r="AK7">
        <v>0</v>
      </c>
      <c r="AL7">
        <v>34.35</v>
      </c>
      <c r="AO7" t="s">
        <v>5844</v>
      </c>
      <c r="AP7">
        <v>5808</v>
      </c>
      <c r="AV7">
        <v>0</v>
      </c>
      <c r="AX7" t="s">
        <v>108</v>
      </c>
    </row>
    <row r="8" spans="1:50">
      <c r="A8" s="1">
        <f>HYPERLINK("https://lsnyc.legalserver.org/matter/dynamic-profile/view/1910406","19-1910406")</f>
        <v>0</v>
      </c>
      <c r="B8" t="s">
        <v>53</v>
      </c>
      <c r="C8" t="s">
        <v>191</v>
      </c>
      <c r="D8" t="s">
        <v>199</v>
      </c>
      <c r="F8" t="s">
        <v>444</v>
      </c>
      <c r="G8" t="s">
        <v>1190</v>
      </c>
      <c r="H8" t="s">
        <v>1966</v>
      </c>
      <c r="J8" t="s">
        <v>3146</v>
      </c>
      <c r="K8">
        <v>10033</v>
      </c>
      <c r="L8" t="s">
        <v>3185</v>
      </c>
      <c r="M8" t="s">
        <v>3189</v>
      </c>
      <c r="N8" t="s">
        <v>3186</v>
      </c>
      <c r="P8" t="s">
        <v>3609</v>
      </c>
      <c r="Q8" t="s">
        <v>3636</v>
      </c>
      <c r="S8" t="s">
        <v>199</v>
      </c>
      <c r="T8" t="s">
        <v>3660</v>
      </c>
      <c r="U8" t="s">
        <v>3184</v>
      </c>
      <c r="W8" t="s">
        <v>3670</v>
      </c>
      <c r="Y8">
        <v>811.77</v>
      </c>
      <c r="Z8" t="s">
        <v>3689</v>
      </c>
      <c r="AA8" t="s">
        <v>3696</v>
      </c>
      <c r="AC8" t="s">
        <v>3729</v>
      </c>
      <c r="AE8" t="s">
        <v>4883</v>
      </c>
      <c r="AF8">
        <v>0</v>
      </c>
      <c r="AG8" t="s">
        <v>5813</v>
      </c>
      <c r="AH8" t="s">
        <v>5826</v>
      </c>
      <c r="AI8">
        <v>45</v>
      </c>
      <c r="AJ8">
        <v>2</v>
      </c>
      <c r="AK8">
        <v>0</v>
      </c>
      <c r="AL8">
        <v>179.82</v>
      </c>
      <c r="AO8" t="s">
        <v>5844</v>
      </c>
      <c r="AP8">
        <v>30408</v>
      </c>
      <c r="AV8">
        <v>0</v>
      </c>
      <c r="AX8" t="s">
        <v>108</v>
      </c>
    </row>
    <row r="9" spans="1:50">
      <c r="A9" s="1">
        <f>HYPERLINK("https://lsnyc.legalserver.org/matter/dynamic-profile/view/1910458","19-1910458")</f>
        <v>0</v>
      </c>
      <c r="B9" t="s">
        <v>53</v>
      </c>
      <c r="C9" t="s">
        <v>191</v>
      </c>
      <c r="D9" t="s">
        <v>199</v>
      </c>
      <c r="F9" t="s">
        <v>445</v>
      </c>
      <c r="G9" t="s">
        <v>1191</v>
      </c>
      <c r="H9" t="s">
        <v>1967</v>
      </c>
      <c r="I9" t="s">
        <v>2817</v>
      </c>
      <c r="J9" t="s">
        <v>3146</v>
      </c>
      <c r="K9">
        <v>10032</v>
      </c>
      <c r="L9" t="s">
        <v>3185</v>
      </c>
      <c r="M9" t="s">
        <v>3189</v>
      </c>
      <c r="N9" t="s">
        <v>3186</v>
      </c>
      <c r="P9" t="s">
        <v>3609</v>
      </c>
      <c r="Q9" t="s">
        <v>3636</v>
      </c>
      <c r="S9" t="s">
        <v>3647</v>
      </c>
      <c r="T9" t="s">
        <v>3660</v>
      </c>
      <c r="U9" t="s">
        <v>3184</v>
      </c>
      <c r="W9" t="s">
        <v>3670</v>
      </c>
      <c r="Y9">
        <v>1243</v>
      </c>
      <c r="Z9" t="s">
        <v>3689</v>
      </c>
      <c r="AA9" t="s">
        <v>3697</v>
      </c>
      <c r="AC9" t="s">
        <v>3730</v>
      </c>
      <c r="AE9" t="s">
        <v>4884</v>
      </c>
      <c r="AF9">
        <v>41</v>
      </c>
      <c r="AG9" t="s">
        <v>5813</v>
      </c>
      <c r="AH9" t="s">
        <v>3188</v>
      </c>
      <c r="AI9">
        <v>23</v>
      </c>
      <c r="AJ9">
        <v>2</v>
      </c>
      <c r="AK9">
        <v>0</v>
      </c>
      <c r="AL9">
        <v>62.95</v>
      </c>
      <c r="AO9" t="s">
        <v>5843</v>
      </c>
      <c r="AP9">
        <v>10644</v>
      </c>
      <c r="AV9">
        <v>0.8</v>
      </c>
      <c r="AW9" t="s">
        <v>199</v>
      </c>
      <c r="AX9" t="s">
        <v>108</v>
      </c>
    </row>
    <row r="10" spans="1:50">
      <c r="A10" s="1">
        <f>HYPERLINK("https://lsnyc.legalserver.org/matter/dynamic-profile/view/1905947","19-1905947")</f>
        <v>0</v>
      </c>
      <c r="B10" t="s">
        <v>54</v>
      </c>
      <c r="C10" t="s">
        <v>191</v>
      </c>
      <c r="D10" t="s">
        <v>200</v>
      </c>
      <c r="F10" t="s">
        <v>446</v>
      </c>
      <c r="G10" t="s">
        <v>1192</v>
      </c>
      <c r="H10" t="s">
        <v>1968</v>
      </c>
      <c r="I10" t="s">
        <v>2818</v>
      </c>
      <c r="J10" t="s">
        <v>3146</v>
      </c>
      <c r="K10">
        <v>10032</v>
      </c>
      <c r="L10" t="s">
        <v>3185</v>
      </c>
      <c r="M10" t="s">
        <v>3190</v>
      </c>
      <c r="N10" t="s">
        <v>3186</v>
      </c>
      <c r="O10" t="s">
        <v>3193</v>
      </c>
      <c r="P10" t="s">
        <v>3613</v>
      </c>
      <c r="Q10" t="s">
        <v>3637</v>
      </c>
      <c r="S10" t="s">
        <v>200</v>
      </c>
      <c r="T10" t="s">
        <v>3660</v>
      </c>
      <c r="U10" t="s">
        <v>3184</v>
      </c>
      <c r="W10" t="s">
        <v>3670</v>
      </c>
      <c r="Y10">
        <v>711</v>
      </c>
      <c r="Z10" t="s">
        <v>3689</v>
      </c>
      <c r="AA10" t="s">
        <v>3698</v>
      </c>
      <c r="AC10" t="s">
        <v>3731</v>
      </c>
      <c r="AD10" t="s">
        <v>4761</v>
      </c>
      <c r="AE10" t="s">
        <v>4885</v>
      </c>
      <c r="AF10">
        <v>22</v>
      </c>
      <c r="AG10" t="s">
        <v>5813</v>
      </c>
      <c r="AH10" t="s">
        <v>3188</v>
      </c>
      <c r="AI10">
        <v>30</v>
      </c>
      <c r="AJ10">
        <v>1</v>
      </c>
      <c r="AK10">
        <v>0</v>
      </c>
      <c r="AL10">
        <v>76</v>
      </c>
      <c r="AO10" t="s">
        <v>5844</v>
      </c>
      <c r="AP10">
        <v>9492</v>
      </c>
      <c r="AV10">
        <v>1</v>
      </c>
      <c r="AW10" t="s">
        <v>200</v>
      </c>
      <c r="AX10" t="s">
        <v>6009</v>
      </c>
    </row>
    <row r="11" spans="1:50">
      <c r="A11" s="1">
        <f>HYPERLINK("https://lsnyc.legalserver.org/matter/dynamic-profile/view/1902656","19-1902656")</f>
        <v>0</v>
      </c>
      <c r="B11" t="s">
        <v>55</v>
      </c>
      <c r="C11" t="s">
        <v>191</v>
      </c>
      <c r="D11" t="s">
        <v>201</v>
      </c>
      <c r="F11" t="s">
        <v>447</v>
      </c>
      <c r="G11" t="s">
        <v>1193</v>
      </c>
      <c r="H11" t="s">
        <v>1969</v>
      </c>
      <c r="I11" t="s">
        <v>2819</v>
      </c>
      <c r="J11" t="s">
        <v>3148</v>
      </c>
      <c r="K11">
        <v>11233</v>
      </c>
      <c r="L11" t="s">
        <v>3185</v>
      </c>
      <c r="M11" t="s">
        <v>3189</v>
      </c>
      <c r="N11" t="s">
        <v>3186</v>
      </c>
      <c r="O11" t="s">
        <v>3188</v>
      </c>
      <c r="P11" t="s">
        <v>3257</v>
      </c>
      <c r="T11" t="s">
        <v>3660</v>
      </c>
      <c r="U11" t="s">
        <v>3184</v>
      </c>
      <c r="W11" t="s">
        <v>3670</v>
      </c>
      <c r="X11" t="s">
        <v>3681</v>
      </c>
      <c r="Y11">
        <v>333</v>
      </c>
      <c r="Z11" t="s">
        <v>3691</v>
      </c>
      <c r="AA11" t="s">
        <v>3699</v>
      </c>
      <c r="AC11" t="s">
        <v>3732</v>
      </c>
      <c r="AD11" t="s">
        <v>4762</v>
      </c>
      <c r="AE11" t="s">
        <v>4886</v>
      </c>
      <c r="AF11">
        <v>6</v>
      </c>
      <c r="AG11" t="s">
        <v>5814</v>
      </c>
      <c r="AH11" t="s">
        <v>5827</v>
      </c>
      <c r="AI11">
        <v>10</v>
      </c>
      <c r="AJ11">
        <v>1</v>
      </c>
      <c r="AK11">
        <v>0</v>
      </c>
      <c r="AL11">
        <v>0</v>
      </c>
      <c r="AO11" t="s">
        <v>5843</v>
      </c>
      <c r="AP11">
        <v>0</v>
      </c>
      <c r="AV11">
        <v>5</v>
      </c>
      <c r="AW11" t="s">
        <v>205</v>
      </c>
      <c r="AX11" t="s">
        <v>158</v>
      </c>
    </row>
    <row r="12" spans="1:50">
      <c r="A12" s="1">
        <f>HYPERLINK("https://lsnyc.legalserver.org/matter/dynamic-profile/view/1905559","19-1905559")</f>
        <v>0</v>
      </c>
      <c r="B12" t="s">
        <v>52</v>
      </c>
      <c r="C12" t="s">
        <v>191</v>
      </c>
      <c r="D12" t="s">
        <v>202</v>
      </c>
      <c r="F12" t="s">
        <v>448</v>
      </c>
      <c r="G12" t="s">
        <v>1194</v>
      </c>
      <c r="H12" t="s">
        <v>1970</v>
      </c>
      <c r="I12" t="s">
        <v>2820</v>
      </c>
      <c r="J12" t="s">
        <v>3147</v>
      </c>
      <c r="K12">
        <v>10453</v>
      </c>
      <c r="L12" t="s">
        <v>3186</v>
      </c>
      <c r="N12" t="s">
        <v>3186</v>
      </c>
      <c r="O12" t="s">
        <v>3194</v>
      </c>
      <c r="P12" t="s">
        <v>3610</v>
      </c>
      <c r="Q12" t="s">
        <v>3638</v>
      </c>
      <c r="T12" t="s">
        <v>3660</v>
      </c>
      <c r="U12" t="s">
        <v>3184</v>
      </c>
      <c r="W12" t="s">
        <v>3670</v>
      </c>
      <c r="X12" t="s">
        <v>3681</v>
      </c>
      <c r="Y12">
        <v>0</v>
      </c>
      <c r="Z12" t="s">
        <v>3690</v>
      </c>
      <c r="AC12" t="s">
        <v>3733</v>
      </c>
      <c r="AE12" t="s">
        <v>4887</v>
      </c>
      <c r="AF12">
        <v>33</v>
      </c>
      <c r="AI12">
        <v>0</v>
      </c>
      <c r="AJ12">
        <v>4</v>
      </c>
      <c r="AK12">
        <v>0</v>
      </c>
      <c r="AL12">
        <v>0</v>
      </c>
      <c r="AO12" t="s">
        <v>5844</v>
      </c>
      <c r="AP12">
        <v>0</v>
      </c>
      <c r="AV12">
        <v>0</v>
      </c>
      <c r="AX12" t="s">
        <v>52</v>
      </c>
    </row>
    <row r="13" spans="1:50">
      <c r="A13" s="1">
        <f>HYPERLINK("https://lsnyc.legalserver.org/matter/dynamic-profile/view/1905740","19-1905740")</f>
        <v>0</v>
      </c>
      <c r="B13" t="s">
        <v>52</v>
      </c>
      <c r="C13" t="s">
        <v>191</v>
      </c>
      <c r="D13" t="s">
        <v>203</v>
      </c>
      <c r="F13" t="s">
        <v>449</v>
      </c>
      <c r="G13" t="s">
        <v>1195</v>
      </c>
      <c r="H13" t="s">
        <v>1971</v>
      </c>
      <c r="I13" t="s">
        <v>2821</v>
      </c>
      <c r="J13" t="s">
        <v>3147</v>
      </c>
      <c r="K13">
        <v>10453</v>
      </c>
      <c r="L13" t="s">
        <v>3186</v>
      </c>
      <c r="N13" t="s">
        <v>3186</v>
      </c>
      <c r="O13" t="s">
        <v>3195</v>
      </c>
      <c r="P13" t="s">
        <v>3610</v>
      </c>
      <c r="Q13" t="s">
        <v>3638</v>
      </c>
      <c r="T13" t="s">
        <v>3660</v>
      </c>
      <c r="U13" t="s">
        <v>3184</v>
      </c>
      <c r="W13" t="s">
        <v>3670</v>
      </c>
      <c r="X13" t="s">
        <v>3682</v>
      </c>
      <c r="Y13">
        <v>1250</v>
      </c>
      <c r="Z13" t="s">
        <v>3690</v>
      </c>
      <c r="AA13" t="s">
        <v>3700</v>
      </c>
      <c r="AB13" t="s">
        <v>3712</v>
      </c>
      <c r="AC13" t="s">
        <v>3734</v>
      </c>
      <c r="AD13" t="s">
        <v>4763</v>
      </c>
      <c r="AE13" t="s">
        <v>4888</v>
      </c>
      <c r="AF13">
        <v>50</v>
      </c>
      <c r="AG13" t="s">
        <v>5813</v>
      </c>
      <c r="AH13" t="s">
        <v>5828</v>
      </c>
      <c r="AI13">
        <v>2</v>
      </c>
      <c r="AJ13">
        <v>1</v>
      </c>
      <c r="AK13">
        <v>0</v>
      </c>
      <c r="AL13">
        <v>33.82</v>
      </c>
      <c r="AO13" t="s">
        <v>5843</v>
      </c>
      <c r="AP13">
        <v>4224</v>
      </c>
      <c r="AV13">
        <v>20.35</v>
      </c>
      <c r="AW13" t="s">
        <v>197</v>
      </c>
      <c r="AX13" t="s">
        <v>6010</v>
      </c>
    </row>
    <row r="14" spans="1:50">
      <c r="A14" s="1">
        <f>HYPERLINK("https://lsnyc.legalserver.org/matter/dynamic-profile/view/1899803","19-1899803")</f>
        <v>0</v>
      </c>
      <c r="B14" t="s">
        <v>55</v>
      </c>
      <c r="C14" t="s">
        <v>191</v>
      </c>
      <c r="D14" t="s">
        <v>204</v>
      </c>
      <c r="F14" t="s">
        <v>450</v>
      </c>
      <c r="G14" t="s">
        <v>1196</v>
      </c>
      <c r="H14" t="s">
        <v>1972</v>
      </c>
      <c r="I14" t="s">
        <v>2822</v>
      </c>
      <c r="J14" t="s">
        <v>3148</v>
      </c>
      <c r="K14">
        <v>11212</v>
      </c>
      <c r="L14" t="s">
        <v>3185</v>
      </c>
      <c r="M14" t="s">
        <v>3189</v>
      </c>
      <c r="N14" t="s">
        <v>3186</v>
      </c>
      <c r="O14" t="s">
        <v>3196</v>
      </c>
      <c r="P14" t="s">
        <v>3613</v>
      </c>
      <c r="Q14" t="s">
        <v>3638</v>
      </c>
      <c r="S14" t="s">
        <v>285</v>
      </c>
      <c r="T14" t="s">
        <v>3660</v>
      </c>
      <c r="U14" t="s">
        <v>3184</v>
      </c>
      <c r="W14" t="s">
        <v>3670</v>
      </c>
      <c r="X14" t="s">
        <v>3681</v>
      </c>
      <c r="Y14">
        <v>2200</v>
      </c>
      <c r="Z14" t="s">
        <v>3691</v>
      </c>
      <c r="AC14" t="s">
        <v>3735</v>
      </c>
      <c r="AE14" t="s">
        <v>4889</v>
      </c>
      <c r="AF14">
        <v>5</v>
      </c>
      <c r="AG14" t="s">
        <v>5814</v>
      </c>
      <c r="AH14" t="s">
        <v>3188</v>
      </c>
      <c r="AI14">
        <v>1</v>
      </c>
      <c r="AJ14">
        <v>3</v>
      </c>
      <c r="AK14">
        <v>1</v>
      </c>
      <c r="AL14">
        <v>227.55</v>
      </c>
      <c r="AM14" t="s">
        <v>228</v>
      </c>
      <c r="AN14" t="s">
        <v>5839</v>
      </c>
      <c r="AO14" t="s">
        <v>5843</v>
      </c>
      <c r="AP14">
        <v>58595</v>
      </c>
      <c r="AV14">
        <v>38.5</v>
      </c>
      <c r="AW14" t="s">
        <v>221</v>
      </c>
      <c r="AX14" t="s">
        <v>6011</v>
      </c>
    </row>
    <row r="15" spans="1:50">
      <c r="A15" s="1">
        <f>HYPERLINK("https://lsnyc.legalserver.org/matter/dynamic-profile/view/1908072","19-1908072")</f>
        <v>0</v>
      </c>
      <c r="B15" t="s">
        <v>55</v>
      </c>
      <c r="C15" t="s">
        <v>191</v>
      </c>
      <c r="D15" t="s">
        <v>195</v>
      </c>
      <c r="F15" t="s">
        <v>451</v>
      </c>
      <c r="G15" t="s">
        <v>1197</v>
      </c>
      <c r="H15" t="s">
        <v>1973</v>
      </c>
      <c r="I15" t="s">
        <v>2823</v>
      </c>
      <c r="J15" t="s">
        <v>3148</v>
      </c>
      <c r="K15">
        <v>11233</v>
      </c>
      <c r="L15" t="s">
        <v>3185</v>
      </c>
      <c r="M15" t="s">
        <v>3189</v>
      </c>
      <c r="N15" t="s">
        <v>3186</v>
      </c>
      <c r="O15" t="s">
        <v>3197</v>
      </c>
      <c r="P15" t="s">
        <v>3610</v>
      </c>
      <c r="Q15" t="s">
        <v>3638</v>
      </c>
      <c r="S15" t="s">
        <v>286</v>
      </c>
      <c r="T15" t="s">
        <v>3660</v>
      </c>
      <c r="U15" t="s">
        <v>3184</v>
      </c>
      <c r="W15" t="s">
        <v>3670</v>
      </c>
      <c r="X15" t="s">
        <v>3683</v>
      </c>
      <c r="Y15">
        <v>1132</v>
      </c>
      <c r="Z15" t="s">
        <v>3691</v>
      </c>
      <c r="AC15" t="s">
        <v>3736</v>
      </c>
      <c r="AE15" t="s">
        <v>4890</v>
      </c>
      <c r="AF15">
        <v>6</v>
      </c>
      <c r="AG15" t="s">
        <v>5813</v>
      </c>
      <c r="AI15">
        <v>10</v>
      </c>
      <c r="AJ15">
        <v>1</v>
      </c>
      <c r="AK15">
        <v>0</v>
      </c>
      <c r="AL15">
        <v>175.53</v>
      </c>
      <c r="AO15" t="s">
        <v>5843</v>
      </c>
      <c r="AP15">
        <v>21924</v>
      </c>
      <c r="AV15">
        <v>1.5</v>
      </c>
      <c r="AW15" t="s">
        <v>286</v>
      </c>
      <c r="AX15" t="s">
        <v>6012</v>
      </c>
    </row>
    <row r="16" spans="1:50">
      <c r="A16" s="1">
        <f>HYPERLINK("https://lsnyc.legalserver.org/matter/dynamic-profile/view/1902984","19-1902984")</f>
        <v>0</v>
      </c>
      <c r="B16" t="s">
        <v>52</v>
      </c>
      <c r="C16" t="s">
        <v>191</v>
      </c>
      <c r="D16" t="s">
        <v>205</v>
      </c>
      <c r="F16" t="s">
        <v>452</v>
      </c>
      <c r="G16" t="s">
        <v>1198</v>
      </c>
      <c r="H16" t="s">
        <v>1974</v>
      </c>
      <c r="I16" t="s">
        <v>2824</v>
      </c>
      <c r="J16" t="s">
        <v>3147</v>
      </c>
      <c r="K16">
        <v>10460</v>
      </c>
      <c r="L16" t="s">
        <v>3186</v>
      </c>
      <c r="N16" t="s">
        <v>3186</v>
      </c>
      <c r="O16" t="s">
        <v>3198</v>
      </c>
      <c r="P16" t="s">
        <v>3610</v>
      </c>
      <c r="Q16" t="s">
        <v>3638</v>
      </c>
      <c r="T16" t="s">
        <v>3660</v>
      </c>
      <c r="U16" t="s">
        <v>3184</v>
      </c>
      <c r="W16" t="s">
        <v>3670</v>
      </c>
      <c r="Y16">
        <v>343</v>
      </c>
      <c r="Z16" t="s">
        <v>3690</v>
      </c>
      <c r="AA16" t="s">
        <v>3696</v>
      </c>
      <c r="AC16" t="s">
        <v>3737</v>
      </c>
      <c r="AF16">
        <v>169</v>
      </c>
      <c r="AH16" t="s">
        <v>5827</v>
      </c>
      <c r="AI16">
        <v>1</v>
      </c>
      <c r="AJ16">
        <v>1</v>
      </c>
      <c r="AK16">
        <v>0</v>
      </c>
      <c r="AL16">
        <v>112.89</v>
      </c>
      <c r="AO16" t="s">
        <v>5844</v>
      </c>
      <c r="AP16">
        <v>14100</v>
      </c>
      <c r="AQ16" t="s">
        <v>5863</v>
      </c>
      <c r="AV16">
        <v>1.7</v>
      </c>
      <c r="AW16" t="s">
        <v>253</v>
      </c>
      <c r="AX16" t="s">
        <v>83</v>
      </c>
    </row>
    <row r="17" spans="1:50">
      <c r="A17" s="1">
        <f>HYPERLINK("https://lsnyc.legalserver.org/matter/dynamic-profile/view/1907560","19-1907560")</f>
        <v>0</v>
      </c>
      <c r="B17" t="s">
        <v>52</v>
      </c>
      <c r="C17" t="s">
        <v>191</v>
      </c>
      <c r="D17" t="s">
        <v>206</v>
      </c>
      <c r="F17" t="s">
        <v>453</v>
      </c>
      <c r="G17" t="s">
        <v>1199</v>
      </c>
      <c r="H17" t="s">
        <v>1975</v>
      </c>
      <c r="I17" t="s">
        <v>2822</v>
      </c>
      <c r="J17" t="s">
        <v>3147</v>
      </c>
      <c r="K17">
        <v>10460</v>
      </c>
      <c r="L17" t="s">
        <v>3186</v>
      </c>
      <c r="N17" t="s">
        <v>3186</v>
      </c>
      <c r="O17" t="s">
        <v>3199</v>
      </c>
      <c r="P17" t="s">
        <v>3610</v>
      </c>
      <c r="T17" t="s">
        <v>3660</v>
      </c>
      <c r="U17" t="s">
        <v>3185</v>
      </c>
      <c r="W17" t="s">
        <v>3671</v>
      </c>
      <c r="Y17">
        <v>1600</v>
      </c>
      <c r="Z17" t="s">
        <v>3690</v>
      </c>
      <c r="AC17" t="s">
        <v>3738</v>
      </c>
      <c r="AE17" t="s">
        <v>4891</v>
      </c>
      <c r="AF17">
        <v>0</v>
      </c>
      <c r="AH17" t="s">
        <v>5827</v>
      </c>
      <c r="AI17">
        <v>3</v>
      </c>
      <c r="AJ17">
        <v>2</v>
      </c>
      <c r="AK17">
        <v>0</v>
      </c>
      <c r="AL17">
        <v>61.45</v>
      </c>
      <c r="AO17" t="s">
        <v>5843</v>
      </c>
      <c r="AP17">
        <v>10392</v>
      </c>
      <c r="AV17">
        <v>1.1</v>
      </c>
      <c r="AW17" t="s">
        <v>246</v>
      </c>
      <c r="AX17" t="s">
        <v>6013</v>
      </c>
    </row>
    <row r="18" spans="1:50">
      <c r="A18" s="1">
        <f>HYPERLINK("https://lsnyc.legalserver.org/matter/dynamic-profile/view/1909025","19-1909025")</f>
        <v>0</v>
      </c>
      <c r="B18" t="s">
        <v>56</v>
      </c>
      <c r="C18" t="s">
        <v>192</v>
      </c>
      <c r="D18" t="s">
        <v>207</v>
      </c>
      <c r="E18" t="s">
        <v>291</v>
      </c>
      <c r="F18" t="s">
        <v>454</v>
      </c>
      <c r="G18" t="s">
        <v>1200</v>
      </c>
      <c r="H18" t="s">
        <v>1976</v>
      </c>
      <c r="I18">
        <v>1611</v>
      </c>
      <c r="J18" t="s">
        <v>3145</v>
      </c>
      <c r="K18">
        <v>11692</v>
      </c>
      <c r="L18" t="s">
        <v>3185</v>
      </c>
      <c r="M18" t="s">
        <v>3189</v>
      </c>
      <c r="N18" t="s">
        <v>3186</v>
      </c>
      <c r="P18" t="s">
        <v>3614</v>
      </c>
      <c r="Q18" t="s">
        <v>3634</v>
      </c>
      <c r="R18" t="s">
        <v>3642</v>
      </c>
      <c r="S18" t="s">
        <v>252</v>
      </c>
      <c r="T18" t="s">
        <v>3660</v>
      </c>
      <c r="U18" t="s">
        <v>3184</v>
      </c>
      <c r="W18" t="s">
        <v>3670</v>
      </c>
      <c r="Y18">
        <v>1981</v>
      </c>
      <c r="Z18" t="s">
        <v>3688</v>
      </c>
      <c r="AA18" t="s">
        <v>3696</v>
      </c>
      <c r="AB18" t="s">
        <v>3712</v>
      </c>
      <c r="AC18" t="s">
        <v>3739</v>
      </c>
      <c r="AE18" t="s">
        <v>4892</v>
      </c>
      <c r="AF18">
        <v>209</v>
      </c>
      <c r="AH18" t="s">
        <v>5827</v>
      </c>
      <c r="AI18">
        <v>4</v>
      </c>
      <c r="AJ18">
        <v>2</v>
      </c>
      <c r="AK18">
        <v>0</v>
      </c>
      <c r="AL18">
        <v>142.42</v>
      </c>
      <c r="AO18" t="s">
        <v>5843</v>
      </c>
      <c r="AP18">
        <v>24084</v>
      </c>
      <c r="AV18">
        <v>2.95</v>
      </c>
      <c r="AW18" t="s">
        <v>291</v>
      </c>
      <c r="AX18" t="s">
        <v>6012</v>
      </c>
    </row>
    <row r="19" spans="1:50">
      <c r="A19" s="1">
        <f>HYPERLINK("https://lsnyc.legalserver.org/matter/dynamic-profile/view/1906128","19-1906128")</f>
        <v>0</v>
      </c>
      <c r="B19" t="s">
        <v>56</v>
      </c>
      <c r="C19" t="s">
        <v>192</v>
      </c>
      <c r="D19" t="s">
        <v>208</v>
      </c>
      <c r="E19" t="s">
        <v>290</v>
      </c>
      <c r="F19" t="s">
        <v>455</v>
      </c>
      <c r="G19" t="s">
        <v>1201</v>
      </c>
      <c r="H19" t="s">
        <v>1977</v>
      </c>
      <c r="I19" t="s">
        <v>2825</v>
      </c>
      <c r="J19" t="s">
        <v>3149</v>
      </c>
      <c r="K19">
        <v>11354</v>
      </c>
      <c r="L19" t="s">
        <v>3185</v>
      </c>
      <c r="M19" t="s">
        <v>3189</v>
      </c>
      <c r="N19" t="s">
        <v>3186</v>
      </c>
      <c r="O19" t="s">
        <v>3200</v>
      </c>
      <c r="P19" t="s">
        <v>3615</v>
      </c>
      <c r="Q19" t="s">
        <v>3634</v>
      </c>
      <c r="R19" t="s">
        <v>3642</v>
      </c>
      <c r="S19" t="s">
        <v>290</v>
      </c>
      <c r="T19" t="s">
        <v>3660</v>
      </c>
      <c r="U19" t="s">
        <v>3184</v>
      </c>
      <c r="W19" t="s">
        <v>3670</v>
      </c>
      <c r="X19" t="s">
        <v>3681</v>
      </c>
      <c r="Y19">
        <v>1050</v>
      </c>
      <c r="Z19" t="s">
        <v>3688</v>
      </c>
      <c r="AA19" t="s">
        <v>3697</v>
      </c>
      <c r="AB19" t="s">
        <v>3712</v>
      </c>
      <c r="AC19" t="s">
        <v>3740</v>
      </c>
      <c r="AD19" t="s">
        <v>4764</v>
      </c>
      <c r="AE19" t="s">
        <v>4893</v>
      </c>
      <c r="AF19">
        <v>10</v>
      </c>
      <c r="AG19" t="s">
        <v>5813</v>
      </c>
      <c r="AH19" t="s">
        <v>3188</v>
      </c>
      <c r="AI19">
        <v>1</v>
      </c>
      <c r="AJ19">
        <v>2</v>
      </c>
      <c r="AK19">
        <v>0</v>
      </c>
      <c r="AL19">
        <v>102.11</v>
      </c>
      <c r="AO19" t="s">
        <v>5843</v>
      </c>
      <c r="AP19">
        <v>17267.52</v>
      </c>
      <c r="AV19">
        <v>2.4</v>
      </c>
      <c r="AW19" t="s">
        <v>290</v>
      </c>
      <c r="AX19" t="s">
        <v>6014</v>
      </c>
    </row>
    <row r="20" spans="1:50">
      <c r="A20" s="1">
        <f>HYPERLINK("https://lsnyc.legalserver.org/matter/dynamic-profile/view/1907161","19-1907161")</f>
        <v>0</v>
      </c>
      <c r="B20" t="s">
        <v>56</v>
      </c>
      <c r="C20" t="s">
        <v>192</v>
      </c>
      <c r="D20" t="s">
        <v>209</v>
      </c>
      <c r="E20" t="s">
        <v>220</v>
      </c>
      <c r="F20" t="s">
        <v>456</v>
      </c>
      <c r="G20" t="s">
        <v>1202</v>
      </c>
      <c r="H20" t="s">
        <v>1978</v>
      </c>
      <c r="I20" t="s">
        <v>2816</v>
      </c>
      <c r="J20" t="s">
        <v>3150</v>
      </c>
      <c r="K20">
        <v>11101</v>
      </c>
      <c r="L20" t="s">
        <v>3185</v>
      </c>
      <c r="M20" t="s">
        <v>3189</v>
      </c>
      <c r="N20" t="s">
        <v>3186</v>
      </c>
      <c r="P20" t="s">
        <v>3615</v>
      </c>
      <c r="Q20" t="s">
        <v>3634</v>
      </c>
      <c r="R20" t="s">
        <v>3642</v>
      </c>
      <c r="S20" t="s">
        <v>220</v>
      </c>
      <c r="T20" t="s">
        <v>3660</v>
      </c>
      <c r="U20" t="s">
        <v>3184</v>
      </c>
      <c r="W20" t="s">
        <v>3670</v>
      </c>
      <c r="X20" t="s">
        <v>3681</v>
      </c>
      <c r="Y20">
        <v>1046</v>
      </c>
      <c r="Z20" t="s">
        <v>3688</v>
      </c>
      <c r="AA20" t="s">
        <v>3701</v>
      </c>
      <c r="AB20" t="s">
        <v>3712</v>
      </c>
      <c r="AC20" t="s">
        <v>3741</v>
      </c>
      <c r="AF20">
        <v>6</v>
      </c>
      <c r="AG20" t="s">
        <v>5813</v>
      </c>
      <c r="AH20" t="s">
        <v>3188</v>
      </c>
      <c r="AI20">
        <v>20</v>
      </c>
      <c r="AJ20">
        <v>1</v>
      </c>
      <c r="AK20">
        <v>0</v>
      </c>
      <c r="AL20">
        <v>28.82</v>
      </c>
      <c r="AO20" t="s">
        <v>5843</v>
      </c>
      <c r="AP20">
        <v>3600</v>
      </c>
      <c r="AV20">
        <v>1.95</v>
      </c>
      <c r="AW20" t="s">
        <v>220</v>
      </c>
      <c r="AX20" t="s">
        <v>6014</v>
      </c>
    </row>
    <row r="21" spans="1:50">
      <c r="A21" s="1">
        <f>HYPERLINK("https://lsnyc.legalserver.org/matter/dynamic-profile/view/1905377","19-1905377")</f>
        <v>0</v>
      </c>
      <c r="B21" t="s">
        <v>56</v>
      </c>
      <c r="C21" t="s">
        <v>192</v>
      </c>
      <c r="D21" t="s">
        <v>210</v>
      </c>
      <c r="E21" t="s">
        <v>437</v>
      </c>
      <c r="F21" t="s">
        <v>457</v>
      </c>
      <c r="G21" t="s">
        <v>1203</v>
      </c>
      <c r="H21" t="s">
        <v>1979</v>
      </c>
      <c r="I21" t="s">
        <v>2826</v>
      </c>
      <c r="J21" t="s">
        <v>3151</v>
      </c>
      <c r="K21">
        <v>11420</v>
      </c>
      <c r="L21" t="s">
        <v>3185</v>
      </c>
      <c r="M21" t="s">
        <v>3189</v>
      </c>
      <c r="N21" t="s">
        <v>3186</v>
      </c>
      <c r="O21" t="s">
        <v>3201</v>
      </c>
      <c r="P21" t="s">
        <v>3613</v>
      </c>
      <c r="Q21" t="s">
        <v>3634</v>
      </c>
      <c r="R21" t="s">
        <v>3642</v>
      </c>
      <c r="S21" t="s">
        <v>210</v>
      </c>
      <c r="T21" t="s">
        <v>3660</v>
      </c>
      <c r="U21" t="s">
        <v>3184</v>
      </c>
      <c r="W21" t="s">
        <v>3670</v>
      </c>
      <c r="X21" t="s">
        <v>3682</v>
      </c>
      <c r="Y21">
        <v>2000</v>
      </c>
      <c r="Z21" t="s">
        <v>3688</v>
      </c>
      <c r="AA21" t="s">
        <v>3698</v>
      </c>
      <c r="AB21" t="s">
        <v>3712</v>
      </c>
      <c r="AC21" t="s">
        <v>3742</v>
      </c>
      <c r="AD21" t="s">
        <v>4765</v>
      </c>
      <c r="AE21" t="s">
        <v>4894</v>
      </c>
      <c r="AF21">
        <v>1</v>
      </c>
      <c r="AG21" t="s">
        <v>5814</v>
      </c>
      <c r="AH21" t="s">
        <v>3632</v>
      </c>
      <c r="AI21">
        <v>1</v>
      </c>
      <c r="AJ21">
        <v>2</v>
      </c>
      <c r="AK21">
        <v>3</v>
      </c>
      <c r="AL21">
        <v>23.86</v>
      </c>
      <c r="AO21" t="s">
        <v>5843</v>
      </c>
      <c r="AP21">
        <v>7200</v>
      </c>
      <c r="AV21">
        <v>2</v>
      </c>
      <c r="AW21" t="s">
        <v>229</v>
      </c>
      <c r="AX21" t="s">
        <v>126</v>
      </c>
    </row>
    <row r="22" spans="1:50">
      <c r="A22" s="1">
        <f>HYPERLINK("https://lsnyc.legalserver.org/matter/dynamic-profile/view/1908891","19-1908891")</f>
        <v>0</v>
      </c>
      <c r="B22" t="s">
        <v>56</v>
      </c>
      <c r="C22" t="s">
        <v>192</v>
      </c>
      <c r="D22" t="s">
        <v>211</v>
      </c>
      <c r="E22" t="s">
        <v>220</v>
      </c>
      <c r="F22" t="s">
        <v>449</v>
      </c>
      <c r="G22" t="s">
        <v>1204</v>
      </c>
      <c r="H22" t="s">
        <v>1980</v>
      </c>
      <c r="I22" t="s">
        <v>2827</v>
      </c>
      <c r="J22" t="s">
        <v>3149</v>
      </c>
      <c r="K22">
        <v>11367</v>
      </c>
      <c r="L22" t="s">
        <v>3185</v>
      </c>
      <c r="M22" t="s">
        <v>3189</v>
      </c>
      <c r="N22" t="s">
        <v>3186</v>
      </c>
      <c r="P22" t="s">
        <v>3612</v>
      </c>
      <c r="Q22" t="s">
        <v>3636</v>
      </c>
      <c r="R22" t="s">
        <v>3643</v>
      </c>
      <c r="S22" t="s">
        <v>220</v>
      </c>
      <c r="T22" t="s">
        <v>3660</v>
      </c>
      <c r="U22" t="s">
        <v>3184</v>
      </c>
      <c r="W22" t="s">
        <v>3670</v>
      </c>
      <c r="X22" t="s">
        <v>3681</v>
      </c>
      <c r="Y22">
        <v>1063</v>
      </c>
      <c r="Z22" t="s">
        <v>3688</v>
      </c>
      <c r="AA22" t="s">
        <v>3693</v>
      </c>
      <c r="AB22" t="s">
        <v>3713</v>
      </c>
      <c r="AC22" t="s">
        <v>3743</v>
      </c>
      <c r="AD22" t="s">
        <v>4764</v>
      </c>
      <c r="AE22" t="s">
        <v>4895</v>
      </c>
      <c r="AF22">
        <v>12</v>
      </c>
      <c r="AG22" t="s">
        <v>5811</v>
      </c>
      <c r="AH22" t="s">
        <v>5826</v>
      </c>
      <c r="AI22">
        <v>30</v>
      </c>
      <c r="AJ22">
        <v>2</v>
      </c>
      <c r="AK22">
        <v>0</v>
      </c>
      <c r="AL22">
        <v>85.16</v>
      </c>
      <c r="AO22" t="s">
        <v>5844</v>
      </c>
      <c r="AP22">
        <v>14400</v>
      </c>
      <c r="AV22">
        <v>1.85</v>
      </c>
      <c r="AW22" t="s">
        <v>220</v>
      </c>
      <c r="AX22" t="s">
        <v>6015</v>
      </c>
    </row>
    <row r="23" spans="1:50">
      <c r="A23" s="1">
        <f>HYPERLINK("https://lsnyc.legalserver.org/matter/dynamic-profile/view/1908290","19-1908290")</f>
        <v>0</v>
      </c>
      <c r="B23" t="s">
        <v>56</v>
      </c>
      <c r="C23" t="s">
        <v>192</v>
      </c>
      <c r="D23" t="s">
        <v>212</v>
      </c>
      <c r="E23" t="s">
        <v>220</v>
      </c>
      <c r="F23" t="s">
        <v>458</v>
      </c>
      <c r="G23" t="s">
        <v>1205</v>
      </c>
      <c r="H23" t="s">
        <v>1981</v>
      </c>
      <c r="I23" t="s">
        <v>2828</v>
      </c>
      <c r="J23" t="s">
        <v>3152</v>
      </c>
      <c r="K23">
        <v>11365</v>
      </c>
      <c r="L23" t="s">
        <v>3185</v>
      </c>
      <c r="M23" t="s">
        <v>3189</v>
      </c>
      <c r="N23" t="s">
        <v>3186</v>
      </c>
      <c r="O23" t="s">
        <v>3202</v>
      </c>
      <c r="P23" t="s">
        <v>3610</v>
      </c>
      <c r="Q23" t="s">
        <v>3636</v>
      </c>
      <c r="R23" t="s">
        <v>3643</v>
      </c>
      <c r="S23" t="s">
        <v>220</v>
      </c>
      <c r="T23" t="s">
        <v>3660</v>
      </c>
      <c r="U23" t="s">
        <v>3184</v>
      </c>
      <c r="W23" t="s">
        <v>3670</v>
      </c>
      <c r="X23" t="s">
        <v>3683</v>
      </c>
      <c r="Y23">
        <v>1609</v>
      </c>
      <c r="Z23" t="s">
        <v>3688</v>
      </c>
      <c r="AA23" t="s">
        <v>3698</v>
      </c>
      <c r="AB23" t="s">
        <v>3713</v>
      </c>
      <c r="AC23" t="s">
        <v>3744</v>
      </c>
      <c r="AD23" t="s">
        <v>4766</v>
      </c>
      <c r="AE23" t="s">
        <v>4896</v>
      </c>
      <c r="AF23">
        <v>9</v>
      </c>
      <c r="AG23" t="s">
        <v>3263</v>
      </c>
      <c r="AH23" t="s">
        <v>5826</v>
      </c>
      <c r="AI23">
        <v>28</v>
      </c>
      <c r="AJ23">
        <v>1</v>
      </c>
      <c r="AK23">
        <v>0</v>
      </c>
      <c r="AL23">
        <v>120.19</v>
      </c>
      <c r="AO23" t="s">
        <v>5843</v>
      </c>
      <c r="AP23">
        <v>15012</v>
      </c>
      <c r="AV23">
        <v>0.71</v>
      </c>
      <c r="AW23" t="s">
        <v>220</v>
      </c>
      <c r="AX23" t="s">
        <v>62</v>
      </c>
    </row>
    <row r="24" spans="1:50">
      <c r="A24" s="1">
        <f>HYPERLINK("https://lsnyc.legalserver.org/matter/dynamic-profile/view/1904250","19-1904250")</f>
        <v>0</v>
      </c>
      <c r="B24" t="s">
        <v>56</v>
      </c>
      <c r="C24" t="s">
        <v>192</v>
      </c>
      <c r="D24" t="s">
        <v>213</v>
      </c>
      <c r="E24" t="s">
        <v>202</v>
      </c>
      <c r="F24" t="s">
        <v>459</v>
      </c>
      <c r="G24" t="s">
        <v>1206</v>
      </c>
      <c r="H24" t="s">
        <v>1982</v>
      </c>
      <c r="I24" t="s">
        <v>2829</v>
      </c>
      <c r="J24" t="s">
        <v>3153</v>
      </c>
      <c r="K24">
        <v>11691</v>
      </c>
      <c r="L24" t="s">
        <v>3185</v>
      </c>
      <c r="M24" t="s">
        <v>3189</v>
      </c>
      <c r="N24" t="s">
        <v>3186</v>
      </c>
      <c r="O24" t="s">
        <v>3203</v>
      </c>
      <c r="P24" t="s">
        <v>3610</v>
      </c>
      <c r="Q24" t="s">
        <v>3638</v>
      </c>
      <c r="R24" t="s">
        <v>3644</v>
      </c>
      <c r="S24" t="s">
        <v>213</v>
      </c>
      <c r="T24" t="s">
        <v>3660</v>
      </c>
      <c r="U24" t="s">
        <v>3184</v>
      </c>
      <c r="W24" t="s">
        <v>3670</v>
      </c>
      <c r="X24" t="s">
        <v>3684</v>
      </c>
      <c r="Y24">
        <v>208</v>
      </c>
      <c r="Z24" t="s">
        <v>3688</v>
      </c>
      <c r="AA24" t="s">
        <v>3701</v>
      </c>
      <c r="AB24" t="s">
        <v>3714</v>
      </c>
      <c r="AC24" t="s">
        <v>3745</v>
      </c>
      <c r="AE24" t="s">
        <v>4897</v>
      </c>
      <c r="AF24">
        <v>53</v>
      </c>
      <c r="AG24" t="s">
        <v>3263</v>
      </c>
      <c r="AH24" t="s">
        <v>5827</v>
      </c>
      <c r="AI24">
        <v>30</v>
      </c>
      <c r="AJ24">
        <v>2</v>
      </c>
      <c r="AK24">
        <v>2</v>
      </c>
      <c r="AL24">
        <v>35.42</v>
      </c>
      <c r="AO24" t="s">
        <v>5843</v>
      </c>
      <c r="AP24">
        <v>9120</v>
      </c>
      <c r="AR24" t="s">
        <v>5929</v>
      </c>
      <c r="AS24" t="s">
        <v>5936</v>
      </c>
      <c r="AT24" t="s">
        <v>5946</v>
      </c>
      <c r="AU24" t="s">
        <v>5950</v>
      </c>
      <c r="AV24">
        <v>5.5</v>
      </c>
      <c r="AW24" t="s">
        <v>200</v>
      </c>
      <c r="AX24" t="s">
        <v>56</v>
      </c>
    </row>
    <row r="25" spans="1:50">
      <c r="A25" s="1">
        <f>HYPERLINK("https://lsnyc.legalserver.org/matter/dynamic-profile/view/1904720","19-1904720")</f>
        <v>0</v>
      </c>
      <c r="B25" t="s">
        <v>56</v>
      </c>
      <c r="C25" t="s">
        <v>192</v>
      </c>
      <c r="D25" t="s">
        <v>214</v>
      </c>
      <c r="E25" t="s">
        <v>215</v>
      </c>
      <c r="F25" t="s">
        <v>460</v>
      </c>
      <c r="G25" t="s">
        <v>1207</v>
      </c>
      <c r="H25" t="s">
        <v>1983</v>
      </c>
      <c r="I25" t="s">
        <v>2814</v>
      </c>
      <c r="J25" t="s">
        <v>3153</v>
      </c>
      <c r="K25">
        <v>11691</v>
      </c>
      <c r="L25" t="s">
        <v>3185</v>
      </c>
      <c r="M25" t="s">
        <v>3190</v>
      </c>
      <c r="N25" t="s">
        <v>3186</v>
      </c>
      <c r="O25" t="s">
        <v>3204</v>
      </c>
      <c r="P25" t="s">
        <v>3610</v>
      </c>
      <c r="Q25" t="s">
        <v>3638</v>
      </c>
      <c r="R25" t="s">
        <v>3644</v>
      </c>
      <c r="S25" t="s">
        <v>214</v>
      </c>
      <c r="T25" t="s">
        <v>3660</v>
      </c>
      <c r="U25" t="s">
        <v>3184</v>
      </c>
      <c r="W25" t="s">
        <v>3670</v>
      </c>
      <c r="X25" t="s">
        <v>3683</v>
      </c>
      <c r="Y25">
        <v>327</v>
      </c>
      <c r="Z25" t="s">
        <v>3688</v>
      </c>
      <c r="AA25" t="s">
        <v>3696</v>
      </c>
      <c r="AB25" t="s">
        <v>3714</v>
      </c>
      <c r="AC25" t="s">
        <v>3746</v>
      </c>
      <c r="AD25" t="s">
        <v>4767</v>
      </c>
      <c r="AE25" t="s">
        <v>4898</v>
      </c>
      <c r="AF25">
        <v>462</v>
      </c>
      <c r="AG25" t="s">
        <v>5815</v>
      </c>
      <c r="AH25" t="s">
        <v>3188</v>
      </c>
      <c r="AI25">
        <v>20</v>
      </c>
      <c r="AJ25">
        <v>1</v>
      </c>
      <c r="AK25">
        <v>0</v>
      </c>
      <c r="AL25">
        <v>114.24</v>
      </c>
      <c r="AO25" t="s">
        <v>5843</v>
      </c>
      <c r="AP25">
        <v>14268</v>
      </c>
      <c r="AR25" t="s">
        <v>5930</v>
      </c>
      <c r="AS25" t="s">
        <v>5937</v>
      </c>
      <c r="AT25" t="s">
        <v>5946</v>
      </c>
      <c r="AU25" t="s">
        <v>5951</v>
      </c>
      <c r="AV25">
        <v>1</v>
      </c>
      <c r="AW25" t="s">
        <v>215</v>
      </c>
      <c r="AX25" t="s">
        <v>62</v>
      </c>
    </row>
    <row r="26" spans="1:50">
      <c r="A26" s="1">
        <f>HYPERLINK("https://lsnyc.legalserver.org/matter/dynamic-profile/view/1907122","19-1907122")</f>
        <v>0</v>
      </c>
      <c r="B26" t="s">
        <v>56</v>
      </c>
      <c r="C26" t="s">
        <v>191</v>
      </c>
      <c r="D26" t="s">
        <v>215</v>
      </c>
      <c r="F26" t="s">
        <v>461</v>
      </c>
      <c r="G26" t="s">
        <v>1208</v>
      </c>
      <c r="H26" t="s">
        <v>1984</v>
      </c>
      <c r="I26" t="s">
        <v>2830</v>
      </c>
      <c r="J26" t="s">
        <v>3154</v>
      </c>
      <c r="K26">
        <v>11103</v>
      </c>
      <c r="L26" t="s">
        <v>3185</v>
      </c>
      <c r="M26" t="s">
        <v>3189</v>
      </c>
      <c r="N26" t="s">
        <v>3186</v>
      </c>
      <c r="O26" t="s">
        <v>3205</v>
      </c>
      <c r="P26" t="s">
        <v>3616</v>
      </c>
      <c r="Q26" t="s">
        <v>3639</v>
      </c>
      <c r="S26" t="s">
        <v>215</v>
      </c>
      <c r="T26" t="s">
        <v>3660</v>
      </c>
      <c r="U26" t="s">
        <v>3184</v>
      </c>
      <c r="W26" t="s">
        <v>3670</v>
      </c>
      <c r="X26" t="s">
        <v>3681</v>
      </c>
      <c r="Y26">
        <v>1400</v>
      </c>
      <c r="Z26" t="s">
        <v>3688</v>
      </c>
      <c r="AA26" t="s">
        <v>3693</v>
      </c>
      <c r="AC26" t="s">
        <v>3747</v>
      </c>
      <c r="AE26" t="s">
        <v>4899</v>
      </c>
      <c r="AF26">
        <v>4</v>
      </c>
      <c r="AG26" t="s">
        <v>5813</v>
      </c>
      <c r="AH26" t="s">
        <v>3188</v>
      </c>
      <c r="AI26">
        <v>9</v>
      </c>
      <c r="AJ26">
        <v>2</v>
      </c>
      <c r="AK26">
        <v>1</v>
      </c>
      <c r="AL26">
        <v>117.21</v>
      </c>
      <c r="AO26" t="s">
        <v>5843</v>
      </c>
      <c r="AP26">
        <v>25000</v>
      </c>
      <c r="AV26">
        <v>0.7</v>
      </c>
      <c r="AW26" t="s">
        <v>246</v>
      </c>
      <c r="AX26" t="s">
        <v>56</v>
      </c>
    </row>
    <row r="27" spans="1:50">
      <c r="A27" s="1">
        <f>HYPERLINK("https://lsnyc.legalserver.org/matter/dynamic-profile/view/1908549","19-1908549")</f>
        <v>0</v>
      </c>
      <c r="B27" t="s">
        <v>56</v>
      </c>
      <c r="C27" t="s">
        <v>191</v>
      </c>
      <c r="D27" t="s">
        <v>216</v>
      </c>
      <c r="F27" t="s">
        <v>462</v>
      </c>
      <c r="G27" t="s">
        <v>1209</v>
      </c>
      <c r="H27" t="s">
        <v>1985</v>
      </c>
      <c r="I27">
        <v>4</v>
      </c>
      <c r="J27" t="s">
        <v>3154</v>
      </c>
      <c r="K27">
        <v>11103</v>
      </c>
      <c r="L27" t="s">
        <v>3185</v>
      </c>
      <c r="M27" t="s">
        <v>3189</v>
      </c>
      <c r="N27" t="s">
        <v>3186</v>
      </c>
      <c r="P27" t="s">
        <v>3615</v>
      </c>
      <c r="Q27" t="s">
        <v>3636</v>
      </c>
      <c r="S27" t="s">
        <v>220</v>
      </c>
      <c r="T27" t="s">
        <v>3660</v>
      </c>
      <c r="U27" t="s">
        <v>3184</v>
      </c>
      <c r="W27" t="s">
        <v>3670</v>
      </c>
      <c r="X27" t="s">
        <v>3681</v>
      </c>
      <c r="Y27">
        <v>630</v>
      </c>
      <c r="Z27" t="s">
        <v>3688</v>
      </c>
      <c r="AA27" t="s">
        <v>3693</v>
      </c>
      <c r="AC27" t="s">
        <v>3748</v>
      </c>
      <c r="AE27" t="s">
        <v>4900</v>
      </c>
      <c r="AF27">
        <v>25</v>
      </c>
      <c r="AG27" t="s">
        <v>5813</v>
      </c>
      <c r="AH27" t="s">
        <v>3632</v>
      </c>
      <c r="AI27">
        <v>50</v>
      </c>
      <c r="AJ27">
        <v>1</v>
      </c>
      <c r="AK27">
        <v>0</v>
      </c>
      <c r="AL27">
        <v>192.15</v>
      </c>
      <c r="AO27" t="s">
        <v>5843</v>
      </c>
      <c r="AP27">
        <v>24000</v>
      </c>
      <c r="AV27">
        <v>1.35</v>
      </c>
      <c r="AW27" t="s">
        <v>220</v>
      </c>
      <c r="AX27" t="s">
        <v>6012</v>
      </c>
    </row>
    <row r="28" spans="1:50">
      <c r="A28" s="1">
        <f>HYPERLINK("https://lsnyc.legalserver.org/matter/dynamic-profile/view/1905475","19-1905475")</f>
        <v>0</v>
      </c>
      <c r="B28" t="s">
        <v>52</v>
      </c>
      <c r="C28" t="s">
        <v>191</v>
      </c>
      <c r="D28" t="s">
        <v>217</v>
      </c>
      <c r="F28" t="s">
        <v>463</v>
      </c>
      <c r="G28" t="s">
        <v>1210</v>
      </c>
      <c r="H28" t="s">
        <v>1986</v>
      </c>
      <c r="I28" t="s">
        <v>2831</v>
      </c>
      <c r="J28" t="s">
        <v>3147</v>
      </c>
      <c r="K28">
        <v>10460</v>
      </c>
      <c r="L28" t="s">
        <v>3186</v>
      </c>
      <c r="N28" t="s">
        <v>3186</v>
      </c>
      <c r="P28" t="s">
        <v>3610</v>
      </c>
      <c r="Q28" t="s">
        <v>3634</v>
      </c>
      <c r="T28" t="s">
        <v>3660</v>
      </c>
      <c r="W28" t="s">
        <v>3670</v>
      </c>
      <c r="Y28">
        <v>1900</v>
      </c>
      <c r="Z28" t="s">
        <v>3690</v>
      </c>
      <c r="AA28" t="s">
        <v>3632</v>
      </c>
      <c r="AC28" t="s">
        <v>3749</v>
      </c>
      <c r="AF28">
        <v>3</v>
      </c>
      <c r="AG28" t="s">
        <v>3263</v>
      </c>
      <c r="AH28" t="s">
        <v>3188</v>
      </c>
      <c r="AI28">
        <v>9</v>
      </c>
      <c r="AJ28">
        <v>1</v>
      </c>
      <c r="AK28">
        <v>0</v>
      </c>
      <c r="AL28">
        <v>184.47</v>
      </c>
      <c r="AO28" t="s">
        <v>5843</v>
      </c>
      <c r="AP28">
        <v>23040</v>
      </c>
      <c r="AQ28" t="s">
        <v>5863</v>
      </c>
      <c r="AV28">
        <v>1.3</v>
      </c>
      <c r="AW28" t="s">
        <v>227</v>
      </c>
      <c r="AX28" t="s">
        <v>6011</v>
      </c>
    </row>
    <row r="29" spans="1:50">
      <c r="A29" s="1">
        <f>HYPERLINK("https://lsnyc.legalserver.org/matter/dynamic-profile/view/1904889","19-1904889")</f>
        <v>0</v>
      </c>
      <c r="B29" t="s">
        <v>56</v>
      </c>
      <c r="C29" t="s">
        <v>191</v>
      </c>
      <c r="D29" t="s">
        <v>218</v>
      </c>
      <c r="F29" t="s">
        <v>464</v>
      </c>
      <c r="G29" t="s">
        <v>1211</v>
      </c>
      <c r="H29" t="s">
        <v>1983</v>
      </c>
      <c r="I29" t="s">
        <v>2832</v>
      </c>
      <c r="J29" t="s">
        <v>3153</v>
      </c>
      <c r="K29">
        <v>11691</v>
      </c>
      <c r="L29" t="s">
        <v>3185</v>
      </c>
      <c r="M29" t="s">
        <v>3189</v>
      </c>
      <c r="N29" t="s">
        <v>3186</v>
      </c>
      <c r="O29" t="s">
        <v>3206</v>
      </c>
      <c r="P29" t="s">
        <v>3613</v>
      </c>
      <c r="Q29" t="s">
        <v>3638</v>
      </c>
      <c r="S29" t="s">
        <v>218</v>
      </c>
      <c r="T29" t="s">
        <v>3660</v>
      </c>
      <c r="U29" t="s">
        <v>3184</v>
      </c>
      <c r="W29" t="s">
        <v>3670</v>
      </c>
      <c r="X29" t="s">
        <v>3683</v>
      </c>
      <c r="Y29">
        <v>592</v>
      </c>
      <c r="Z29" t="s">
        <v>3688</v>
      </c>
      <c r="AA29" t="s">
        <v>3696</v>
      </c>
      <c r="AC29" t="s">
        <v>3750</v>
      </c>
      <c r="AE29" t="s">
        <v>4901</v>
      </c>
      <c r="AF29">
        <v>462</v>
      </c>
      <c r="AG29" t="s">
        <v>5815</v>
      </c>
      <c r="AH29" t="s">
        <v>3188</v>
      </c>
      <c r="AI29">
        <v>10</v>
      </c>
      <c r="AJ29">
        <v>1</v>
      </c>
      <c r="AK29">
        <v>0</v>
      </c>
      <c r="AL29">
        <v>33.63</v>
      </c>
      <c r="AO29" t="s">
        <v>5843</v>
      </c>
      <c r="AP29">
        <v>4200</v>
      </c>
      <c r="AV29">
        <v>0.61</v>
      </c>
      <c r="AW29" t="s">
        <v>251</v>
      </c>
      <c r="AX29" t="s">
        <v>56</v>
      </c>
    </row>
    <row r="30" spans="1:50">
      <c r="A30" s="1">
        <f>HYPERLINK("https://lsnyc.legalserver.org/matter/dynamic-profile/view/1906210","19-1906210")</f>
        <v>0</v>
      </c>
      <c r="B30" t="s">
        <v>56</v>
      </c>
      <c r="C30" t="s">
        <v>191</v>
      </c>
      <c r="D30" t="s">
        <v>219</v>
      </c>
      <c r="F30" t="s">
        <v>465</v>
      </c>
      <c r="G30" t="s">
        <v>1212</v>
      </c>
      <c r="H30" t="s">
        <v>1987</v>
      </c>
      <c r="I30" t="s">
        <v>2833</v>
      </c>
      <c r="J30" t="s">
        <v>3149</v>
      </c>
      <c r="K30">
        <v>11354</v>
      </c>
      <c r="L30" t="s">
        <v>3185</v>
      </c>
      <c r="M30" t="s">
        <v>3189</v>
      </c>
      <c r="N30" t="s">
        <v>3186</v>
      </c>
      <c r="O30" t="s">
        <v>3207</v>
      </c>
      <c r="P30" t="s">
        <v>3616</v>
      </c>
      <c r="Q30" t="s">
        <v>3639</v>
      </c>
      <c r="S30" t="s">
        <v>219</v>
      </c>
      <c r="T30" t="s">
        <v>3660</v>
      </c>
      <c r="U30" t="s">
        <v>3185</v>
      </c>
      <c r="W30" t="s">
        <v>3670</v>
      </c>
      <c r="X30" t="s">
        <v>3681</v>
      </c>
      <c r="Y30">
        <v>1808</v>
      </c>
      <c r="Z30" t="s">
        <v>3688</v>
      </c>
      <c r="AA30" t="s">
        <v>3702</v>
      </c>
      <c r="AC30" t="s">
        <v>3751</v>
      </c>
      <c r="AE30" t="s">
        <v>4902</v>
      </c>
      <c r="AF30">
        <v>91</v>
      </c>
      <c r="AG30" t="s">
        <v>5813</v>
      </c>
      <c r="AH30" t="s">
        <v>3188</v>
      </c>
      <c r="AI30">
        <v>5</v>
      </c>
      <c r="AJ30">
        <v>1</v>
      </c>
      <c r="AK30">
        <v>1</v>
      </c>
      <c r="AL30">
        <v>392.67</v>
      </c>
      <c r="AO30" t="s">
        <v>5843</v>
      </c>
      <c r="AP30">
        <v>66400</v>
      </c>
      <c r="AV30">
        <v>0.4</v>
      </c>
      <c r="AW30" t="s">
        <v>229</v>
      </c>
      <c r="AX30" t="s">
        <v>62</v>
      </c>
    </row>
    <row r="31" spans="1:50">
      <c r="A31" s="1">
        <f>HYPERLINK("https://lsnyc.legalserver.org/matter/dynamic-profile/view/1908507","19-1908507")</f>
        <v>0</v>
      </c>
      <c r="B31" t="s">
        <v>56</v>
      </c>
      <c r="C31" t="s">
        <v>191</v>
      </c>
      <c r="D31" t="s">
        <v>216</v>
      </c>
      <c r="F31" t="s">
        <v>466</v>
      </c>
      <c r="G31" t="s">
        <v>1213</v>
      </c>
      <c r="H31" t="s">
        <v>1988</v>
      </c>
      <c r="I31" t="s">
        <v>2834</v>
      </c>
      <c r="J31" t="s">
        <v>3149</v>
      </c>
      <c r="K31">
        <v>11354</v>
      </c>
      <c r="L31" t="s">
        <v>3185</v>
      </c>
      <c r="M31" t="s">
        <v>3189</v>
      </c>
      <c r="N31" t="s">
        <v>3186</v>
      </c>
      <c r="O31" t="s">
        <v>3208</v>
      </c>
      <c r="P31" t="s">
        <v>3610</v>
      </c>
      <c r="Q31" t="s">
        <v>3634</v>
      </c>
      <c r="S31" t="s">
        <v>216</v>
      </c>
      <c r="T31" t="s">
        <v>3660</v>
      </c>
      <c r="U31" t="s">
        <v>3184</v>
      </c>
      <c r="W31" t="s">
        <v>3670</v>
      </c>
      <c r="X31" t="s">
        <v>3681</v>
      </c>
      <c r="Y31">
        <v>1550</v>
      </c>
      <c r="Z31" t="s">
        <v>3688</v>
      </c>
      <c r="AA31" t="s">
        <v>3698</v>
      </c>
      <c r="AC31" t="s">
        <v>3752</v>
      </c>
      <c r="AE31" t="s">
        <v>4903</v>
      </c>
      <c r="AF31">
        <v>24</v>
      </c>
      <c r="AG31" t="s">
        <v>3263</v>
      </c>
      <c r="AH31" t="s">
        <v>3188</v>
      </c>
      <c r="AI31">
        <v>4</v>
      </c>
      <c r="AJ31">
        <v>1</v>
      </c>
      <c r="AK31">
        <v>2</v>
      </c>
      <c r="AL31">
        <v>187.53</v>
      </c>
      <c r="AO31" t="s">
        <v>5843</v>
      </c>
      <c r="AP31">
        <v>40000</v>
      </c>
      <c r="AV31">
        <v>1.35</v>
      </c>
      <c r="AW31" t="s">
        <v>269</v>
      </c>
      <c r="AX31" t="s">
        <v>62</v>
      </c>
    </row>
    <row r="32" spans="1:50">
      <c r="A32" s="1">
        <f>HYPERLINK("https://lsnyc.legalserver.org/matter/dynamic-profile/view/1906036","19-1906036")</f>
        <v>0</v>
      </c>
      <c r="B32" t="s">
        <v>56</v>
      </c>
      <c r="C32" t="s">
        <v>191</v>
      </c>
      <c r="D32" t="s">
        <v>208</v>
      </c>
      <c r="F32" t="s">
        <v>467</v>
      </c>
      <c r="G32" t="s">
        <v>1214</v>
      </c>
      <c r="H32" t="s">
        <v>1989</v>
      </c>
      <c r="J32" t="s">
        <v>3155</v>
      </c>
      <c r="K32">
        <v>11435</v>
      </c>
      <c r="L32" t="s">
        <v>3185</v>
      </c>
      <c r="M32" t="s">
        <v>3189</v>
      </c>
      <c r="N32" t="s">
        <v>3186</v>
      </c>
      <c r="O32" t="s">
        <v>3209</v>
      </c>
      <c r="P32" t="s">
        <v>3612</v>
      </c>
      <c r="Q32" t="s">
        <v>3638</v>
      </c>
      <c r="S32" t="s">
        <v>208</v>
      </c>
      <c r="T32" t="s">
        <v>3660</v>
      </c>
      <c r="U32" t="s">
        <v>3184</v>
      </c>
      <c r="W32" t="s">
        <v>3670</v>
      </c>
      <c r="X32" t="s">
        <v>3681</v>
      </c>
      <c r="Y32">
        <v>2010</v>
      </c>
      <c r="Z32" t="s">
        <v>3688</v>
      </c>
      <c r="AA32" t="s">
        <v>3697</v>
      </c>
      <c r="AC32" t="s">
        <v>3753</v>
      </c>
      <c r="AE32" t="s">
        <v>4904</v>
      </c>
      <c r="AF32">
        <v>3</v>
      </c>
      <c r="AG32" t="s">
        <v>5814</v>
      </c>
      <c r="AH32" t="s">
        <v>3188</v>
      </c>
      <c r="AI32">
        <v>-1</v>
      </c>
      <c r="AJ32">
        <v>2</v>
      </c>
      <c r="AK32">
        <v>3</v>
      </c>
      <c r="AL32">
        <v>178.99</v>
      </c>
      <c r="AO32" t="s">
        <v>5843</v>
      </c>
      <c r="AP32">
        <v>54000</v>
      </c>
      <c r="AV32">
        <v>5.91</v>
      </c>
      <c r="AW32" t="s">
        <v>196</v>
      </c>
      <c r="AX32" t="s">
        <v>56</v>
      </c>
    </row>
    <row r="33" spans="1:50">
      <c r="A33" s="1">
        <f>HYPERLINK("https://lsnyc.legalserver.org/matter/dynamic-profile/view/1910272","19-1910272")</f>
        <v>0</v>
      </c>
      <c r="B33" t="s">
        <v>56</v>
      </c>
      <c r="C33" t="s">
        <v>191</v>
      </c>
      <c r="D33" t="s">
        <v>220</v>
      </c>
      <c r="F33" t="s">
        <v>467</v>
      </c>
      <c r="G33" t="s">
        <v>1214</v>
      </c>
      <c r="H33" t="s">
        <v>1989</v>
      </c>
      <c r="J33" t="s">
        <v>3155</v>
      </c>
      <c r="K33">
        <v>11435</v>
      </c>
      <c r="L33" t="s">
        <v>3185</v>
      </c>
      <c r="M33" t="s">
        <v>3189</v>
      </c>
      <c r="N33" t="s">
        <v>3186</v>
      </c>
      <c r="O33" t="s">
        <v>3210</v>
      </c>
      <c r="P33" t="s">
        <v>3610</v>
      </c>
      <c r="Q33" t="s">
        <v>3638</v>
      </c>
      <c r="S33" t="s">
        <v>220</v>
      </c>
      <c r="T33" t="s">
        <v>3660</v>
      </c>
      <c r="U33" t="s">
        <v>3184</v>
      </c>
      <c r="W33" t="s">
        <v>3670</v>
      </c>
      <c r="X33" t="s">
        <v>3681</v>
      </c>
      <c r="Y33">
        <v>2010</v>
      </c>
      <c r="Z33" t="s">
        <v>3688</v>
      </c>
      <c r="AA33" t="s">
        <v>3699</v>
      </c>
      <c r="AC33" t="s">
        <v>3753</v>
      </c>
      <c r="AE33" t="s">
        <v>4904</v>
      </c>
      <c r="AF33">
        <v>2</v>
      </c>
      <c r="AG33" t="s">
        <v>5814</v>
      </c>
      <c r="AH33" t="s">
        <v>3188</v>
      </c>
      <c r="AI33">
        <v>-1</v>
      </c>
      <c r="AJ33">
        <v>2</v>
      </c>
      <c r="AK33">
        <v>3</v>
      </c>
      <c r="AL33">
        <v>178.99</v>
      </c>
      <c r="AO33" t="s">
        <v>5843</v>
      </c>
      <c r="AP33">
        <v>54000</v>
      </c>
      <c r="AV33">
        <v>0.3</v>
      </c>
      <c r="AW33" t="s">
        <v>220</v>
      </c>
      <c r="AX33" t="s">
        <v>56</v>
      </c>
    </row>
    <row r="34" spans="1:50">
      <c r="A34" s="1">
        <f>HYPERLINK("https://lsnyc.legalserver.org/matter/dynamic-profile/view/1910273","19-1910273")</f>
        <v>0</v>
      </c>
      <c r="B34" t="s">
        <v>56</v>
      </c>
      <c r="C34" t="s">
        <v>191</v>
      </c>
      <c r="D34" t="s">
        <v>220</v>
      </c>
      <c r="F34" t="s">
        <v>467</v>
      </c>
      <c r="G34" t="s">
        <v>1214</v>
      </c>
      <c r="H34" t="s">
        <v>1989</v>
      </c>
      <c r="J34" t="s">
        <v>3155</v>
      </c>
      <c r="K34">
        <v>11435</v>
      </c>
      <c r="L34" t="s">
        <v>3185</v>
      </c>
      <c r="M34" t="s">
        <v>3189</v>
      </c>
      <c r="N34" t="s">
        <v>3186</v>
      </c>
      <c r="P34" t="s">
        <v>3615</v>
      </c>
      <c r="Q34" t="s">
        <v>3636</v>
      </c>
      <c r="S34" t="s">
        <v>220</v>
      </c>
      <c r="T34" t="s">
        <v>3660</v>
      </c>
      <c r="U34" t="s">
        <v>3184</v>
      </c>
      <c r="W34" t="s">
        <v>3670</v>
      </c>
      <c r="X34" t="s">
        <v>3681</v>
      </c>
      <c r="Y34">
        <v>2010</v>
      </c>
      <c r="Z34" t="s">
        <v>3688</v>
      </c>
      <c r="AA34" t="s">
        <v>3699</v>
      </c>
      <c r="AC34" t="s">
        <v>3753</v>
      </c>
      <c r="AE34" t="s">
        <v>4904</v>
      </c>
      <c r="AF34">
        <v>2</v>
      </c>
      <c r="AG34" t="s">
        <v>5814</v>
      </c>
      <c r="AH34" t="s">
        <v>3188</v>
      </c>
      <c r="AI34">
        <v>-1</v>
      </c>
      <c r="AJ34">
        <v>2</v>
      </c>
      <c r="AK34">
        <v>3</v>
      </c>
      <c r="AL34">
        <v>2147.83</v>
      </c>
      <c r="AO34" t="s">
        <v>5843</v>
      </c>
      <c r="AP34">
        <v>648000</v>
      </c>
      <c r="AV34">
        <v>0.3</v>
      </c>
      <c r="AW34" t="s">
        <v>220</v>
      </c>
      <c r="AX34" t="s">
        <v>56</v>
      </c>
    </row>
    <row r="35" spans="1:50">
      <c r="A35" s="1">
        <f>HYPERLINK("https://lsnyc.legalserver.org/matter/dynamic-profile/view/1910156","19-1910156")</f>
        <v>0</v>
      </c>
      <c r="B35" t="s">
        <v>56</v>
      </c>
      <c r="C35" t="s">
        <v>191</v>
      </c>
      <c r="D35" t="s">
        <v>221</v>
      </c>
      <c r="F35" t="s">
        <v>468</v>
      </c>
      <c r="G35" t="s">
        <v>1215</v>
      </c>
      <c r="H35" t="s">
        <v>1990</v>
      </c>
      <c r="J35" t="s">
        <v>3156</v>
      </c>
      <c r="K35">
        <v>11357</v>
      </c>
      <c r="L35" t="s">
        <v>3185</v>
      </c>
      <c r="M35" t="s">
        <v>3189</v>
      </c>
      <c r="N35" t="s">
        <v>3186</v>
      </c>
      <c r="O35" t="s">
        <v>3211</v>
      </c>
      <c r="P35" t="s">
        <v>3613</v>
      </c>
      <c r="Q35" t="s">
        <v>3638</v>
      </c>
      <c r="S35" t="s">
        <v>221</v>
      </c>
      <c r="T35" t="s">
        <v>3661</v>
      </c>
      <c r="U35" t="s">
        <v>3184</v>
      </c>
      <c r="W35" t="s">
        <v>3670</v>
      </c>
      <c r="X35" t="s">
        <v>3685</v>
      </c>
      <c r="Y35">
        <v>0.01</v>
      </c>
      <c r="Z35" t="s">
        <v>3688</v>
      </c>
      <c r="AA35" t="s">
        <v>3703</v>
      </c>
      <c r="AC35" t="s">
        <v>3754</v>
      </c>
      <c r="AE35" t="s">
        <v>4905</v>
      </c>
      <c r="AF35">
        <v>2</v>
      </c>
      <c r="AG35" t="s">
        <v>5814</v>
      </c>
      <c r="AH35" t="s">
        <v>3188</v>
      </c>
      <c r="AI35">
        <v>4</v>
      </c>
      <c r="AJ35">
        <v>1</v>
      </c>
      <c r="AK35">
        <v>0</v>
      </c>
      <c r="AL35">
        <v>75.8</v>
      </c>
      <c r="AN35" t="s">
        <v>5840</v>
      </c>
      <c r="AO35" t="s">
        <v>5843</v>
      </c>
      <c r="AP35">
        <v>9468</v>
      </c>
      <c r="AV35">
        <v>9</v>
      </c>
      <c r="AW35" t="s">
        <v>261</v>
      </c>
      <c r="AX35" t="s">
        <v>56</v>
      </c>
    </row>
    <row r="36" spans="1:50">
      <c r="A36" s="1">
        <f>HYPERLINK("https://lsnyc.legalserver.org/matter/dynamic-profile/view/1909361","19-1909361")</f>
        <v>0</v>
      </c>
      <c r="B36" t="s">
        <v>57</v>
      </c>
      <c r="C36" t="s">
        <v>192</v>
      </c>
      <c r="D36" t="s">
        <v>222</v>
      </c>
      <c r="E36" t="s">
        <v>220</v>
      </c>
      <c r="F36" t="s">
        <v>469</v>
      </c>
      <c r="G36" t="s">
        <v>1216</v>
      </c>
      <c r="H36" t="s">
        <v>1991</v>
      </c>
      <c r="I36" t="s">
        <v>2835</v>
      </c>
      <c r="J36" t="s">
        <v>3157</v>
      </c>
      <c r="K36">
        <v>11412</v>
      </c>
      <c r="L36" t="s">
        <v>3185</v>
      </c>
      <c r="M36" t="s">
        <v>3189</v>
      </c>
      <c r="N36" t="s">
        <v>3186</v>
      </c>
      <c r="O36" t="s">
        <v>3212</v>
      </c>
      <c r="P36" t="s">
        <v>3613</v>
      </c>
      <c r="Q36" t="s">
        <v>3634</v>
      </c>
      <c r="R36" t="s">
        <v>3642</v>
      </c>
      <c r="S36" t="s">
        <v>220</v>
      </c>
      <c r="T36" t="s">
        <v>3660</v>
      </c>
      <c r="U36" t="s">
        <v>3184</v>
      </c>
      <c r="W36" t="s">
        <v>3670</v>
      </c>
      <c r="X36" t="s">
        <v>3686</v>
      </c>
      <c r="Y36">
        <v>1515</v>
      </c>
      <c r="Z36" t="s">
        <v>3688</v>
      </c>
      <c r="AA36" t="s">
        <v>3698</v>
      </c>
      <c r="AB36" t="s">
        <v>3712</v>
      </c>
      <c r="AC36" t="s">
        <v>3755</v>
      </c>
      <c r="AD36" t="s">
        <v>4768</v>
      </c>
      <c r="AE36" t="s">
        <v>4906</v>
      </c>
      <c r="AF36">
        <v>2</v>
      </c>
      <c r="AH36" t="s">
        <v>5828</v>
      </c>
      <c r="AI36">
        <v>1</v>
      </c>
      <c r="AJ36">
        <v>1</v>
      </c>
      <c r="AK36">
        <v>3</v>
      </c>
      <c r="AL36">
        <v>23.3</v>
      </c>
      <c r="AP36">
        <v>6000</v>
      </c>
      <c r="AV36">
        <v>1.1</v>
      </c>
      <c r="AW36" t="s">
        <v>269</v>
      </c>
      <c r="AX36" t="s">
        <v>6016</v>
      </c>
    </row>
    <row r="37" spans="1:50">
      <c r="A37" s="1">
        <f>HYPERLINK("https://lsnyc.legalserver.org/matter/dynamic-profile/view/1904251","19-1904251")</f>
        <v>0</v>
      </c>
      <c r="B37" t="s">
        <v>57</v>
      </c>
      <c r="C37" t="s">
        <v>192</v>
      </c>
      <c r="D37" t="s">
        <v>213</v>
      </c>
      <c r="E37" t="s">
        <v>203</v>
      </c>
      <c r="F37" t="s">
        <v>459</v>
      </c>
      <c r="G37" t="s">
        <v>1206</v>
      </c>
      <c r="H37" t="s">
        <v>1982</v>
      </c>
      <c r="I37" t="s">
        <v>2829</v>
      </c>
      <c r="J37" t="s">
        <v>3153</v>
      </c>
      <c r="K37">
        <v>11691</v>
      </c>
      <c r="L37" t="s">
        <v>3185</v>
      </c>
      <c r="M37" t="s">
        <v>3189</v>
      </c>
      <c r="N37" t="s">
        <v>3186</v>
      </c>
      <c r="P37" t="s">
        <v>3617</v>
      </c>
      <c r="Q37" t="s">
        <v>3635</v>
      </c>
      <c r="R37" t="s">
        <v>3645</v>
      </c>
      <c r="T37" t="s">
        <v>3660</v>
      </c>
      <c r="U37" t="s">
        <v>3184</v>
      </c>
      <c r="W37" t="s">
        <v>3672</v>
      </c>
      <c r="X37" t="s">
        <v>3684</v>
      </c>
      <c r="Y37">
        <v>208</v>
      </c>
      <c r="Z37" t="s">
        <v>3688</v>
      </c>
      <c r="AA37" t="s">
        <v>3701</v>
      </c>
      <c r="AB37" t="s">
        <v>3715</v>
      </c>
      <c r="AC37" t="s">
        <v>3745</v>
      </c>
      <c r="AF37">
        <v>53</v>
      </c>
      <c r="AG37" t="s">
        <v>3263</v>
      </c>
      <c r="AH37" t="s">
        <v>5827</v>
      </c>
      <c r="AI37">
        <v>0</v>
      </c>
      <c r="AJ37">
        <v>2</v>
      </c>
      <c r="AK37">
        <v>2</v>
      </c>
      <c r="AL37">
        <v>35.42</v>
      </c>
      <c r="AO37" t="s">
        <v>5843</v>
      </c>
      <c r="AP37">
        <v>9120</v>
      </c>
      <c r="AR37" t="s">
        <v>5929</v>
      </c>
      <c r="AS37" t="s">
        <v>5937</v>
      </c>
      <c r="AT37" t="s">
        <v>5946</v>
      </c>
      <c r="AU37" t="s">
        <v>5952</v>
      </c>
      <c r="AV37">
        <v>1.15</v>
      </c>
      <c r="AW37" t="s">
        <v>202</v>
      </c>
      <c r="AX37" t="s">
        <v>56</v>
      </c>
    </row>
    <row r="38" spans="1:50">
      <c r="A38" s="1">
        <f>HYPERLINK("https://lsnyc.legalserver.org/matter/dynamic-profile/view/1904043","19-1904043")</f>
        <v>0</v>
      </c>
      <c r="B38" t="s">
        <v>57</v>
      </c>
      <c r="C38" t="s">
        <v>191</v>
      </c>
      <c r="D38" t="s">
        <v>223</v>
      </c>
      <c r="F38" t="s">
        <v>470</v>
      </c>
      <c r="G38" t="s">
        <v>1217</v>
      </c>
      <c r="H38" t="s">
        <v>1992</v>
      </c>
      <c r="I38" t="s">
        <v>2836</v>
      </c>
      <c r="J38" t="s">
        <v>3155</v>
      </c>
      <c r="K38">
        <v>11435</v>
      </c>
      <c r="L38" t="s">
        <v>3185</v>
      </c>
      <c r="M38" t="s">
        <v>3189</v>
      </c>
      <c r="N38" t="s">
        <v>3186</v>
      </c>
      <c r="O38" t="s">
        <v>3213</v>
      </c>
      <c r="P38" t="s">
        <v>3613</v>
      </c>
      <c r="Q38" t="s">
        <v>3634</v>
      </c>
      <c r="S38" t="s">
        <v>223</v>
      </c>
      <c r="T38" t="s">
        <v>3660</v>
      </c>
      <c r="U38" t="s">
        <v>3184</v>
      </c>
      <c r="W38" t="s">
        <v>3670</v>
      </c>
      <c r="X38" t="s">
        <v>3681</v>
      </c>
      <c r="Y38">
        <v>2200</v>
      </c>
      <c r="Z38" t="s">
        <v>3688</v>
      </c>
      <c r="AA38" t="s">
        <v>3698</v>
      </c>
      <c r="AC38" t="s">
        <v>3756</v>
      </c>
      <c r="AE38" t="s">
        <v>4907</v>
      </c>
      <c r="AF38">
        <v>2</v>
      </c>
      <c r="AG38" t="s">
        <v>3263</v>
      </c>
      <c r="AH38" t="s">
        <v>3188</v>
      </c>
      <c r="AI38">
        <v>1</v>
      </c>
      <c r="AJ38">
        <v>2</v>
      </c>
      <c r="AK38">
        <v>0</v>
      </c>
      <c r="AL38">
        <v>0</v>
      </c>
      <c r="AO38" t="s">
        <v>5843</v>
      </c>
      <c r="AP38">
        <v>0</v>
      </c>
      <c r="AV38">
        <v>1.22</v>
      </c>
      <c r="AW38" t="s">
        <v>207</v>
      </c>
      <c r="AX38" t="s">
        <v>62</v>
      </c>
    </row>
    <row r="39" spans="1:50">
      <c r="A39" s="1">
        <f>HYPERLINK("https://lsnyc.legalserver.org/matter/dynamic-profile/view/1904681","19-1904681")</f>
        <v>0</v>
      </c>
      <c r="B39" t="s">
        <v>57</v>
      </c>
      <c r="C39" t="s">
        <v>191</v>
      </c>
      <c r="D39" t="s">
        <v>214</v>
      </c>
      <c r="F39" t="s">
        <v>471</v>
      </c>
      <c r="G39" t="s">
        <v>1218</v>
      </c>
      <c r="H39" t="s">
        <v>1993</v>
      </c>
      <c r="I39" t="s">
        <v>2823</v>
      </c>
      <c r="J39" t="s">
        <v>3158</v>
      </c>
      <c r="K39">
        <v>11416</v>
      </c>
      <c r="L39" t="s">
        <v>3185</v>
      </c>
      <c r="M39" t="s">
        <v>3189</v>
      </c>
      <c r="N39" t="s">
        <v>3186</v>
      </c>
      <c r="O39" t="s">
        <v>3214</v>
      </c>
      <c r="P39" t="s">
        <v>3613</v>
      </c>
      <c r="Q39" t="s">
        <v>3634</v>
      </c>
      <c r="S39" t="s">
        <v>214</v>
      </c>
      <c r="T39" t="s">
        <v>3660</v>
      </c>
      <c r="U39" t="s">
        <v>3184</v>
      </c>
      <c r="W39" t="s">
        <v>3670</v>
      </c>
      <c r="X39" t="s">
        <v>3681</v>
      </c>
      <c r="Y39">
        <v>850</v>
      </c>
      <c r="Z39" t="s">
        <v>3688</v>
      </c>
      <c r="AA39" t="s">
        <v>3698</v>
      </c>
      <c r="AC39" t="s">
        <v>3757</v>
      </c>
      <c r="AD39" t="s">
        <v>4769</v>
      </c>
      <c r="AE39" t="s">
        <v>4908</v>
      </c>
      <c r="AF39">
        <v>2</v>
      </c>
      <c r="AG39" t="s">
        <v>3263</v>
      </c>
      <c r="AH39" t="s">
        <v>3188</v>
      </c>
      <c r="AI39">
        <v>1</v>
      </c>
      <c r="AJ39">
        <v>1</v>
      </c>
      <c r="AK39">
        <v>0</v>
      </c>
      <c r="AL39">
        <v>124.04</v>
      </c>
      <c r="AO39" t="s">
        <v>5843</v>
      </c>
      <c r="AP39">
        <v>15492</v>
      </c>
      <c r="AV39">
        <v>0.6</v>
      </c>
      <c r="AW39" t="s">
        <v>277</v>
      </c>
      <c r="AX39" t="s">
        <v>62</v>
      </c>
    </row>
    <row r="40" spans="1:50">
      <c r="A40" s="1">
        <f>HYPERLINK("https://lsnyc.legalserver.org/matter/dynamic-profile/view/1905410","19-1905410")</f>
        <v>0</v>
      </c>
      <c r="B40" t="s">
        <v>52</v>
      </c>
      <c r="C40" t="s">
        <v>191</v>
      </c>
      <c r="D40" t="s">
        <v>217</v>
      </c>
      <c r="F40" t="s">
        <v>472</v>
      </c>
      <c r="G40" t="s">
        <v>1219</v>
      </c>
      <c r="H40" t="s">
        <v>1994</v>
      </c>
      <c r="I40" t="s">
        <v>2837</v>
      </c>
      <c r="J40" t="s">
        <v>3147</v>
      </c>
      <c r="K40">
        <v>10453</v>
      </c>
      <c r="L40" t="s">
        <v>3186</v>
      </c>
      <c r="N40" t="s">
        <v>3186</v>
      </c>
      <c r="O40" t="s">
        <v>3215</v>
      </c>
      <c r="P40" t="s">
        <v>3610</v>
      </c>
      <c r="Q40" t="s">
        <v>3637</v>
      </c>
      <c r="T40" t="s">
        <v>3660</v>
      </c>
      <c r="W40" t="s">
        <v>3670</v>
      </c>
      <c r="Y40">
        <v>851</v>
      </c>
      <c r="Z40" t="s">
        <v>3690</v>
      </c>
      <c r="AA40" t="s">
        <v>3632</v>
      </c>
      <c r="AC40" t="s">
        <v>3758</v>
      </c>
      <c r="AF40">
        <v>430</v>
      </c>
      <c r="AG40" t="s">
        <v>5814</v>
      </c>
      <c r="AH40" t="s">
        <v>5827</v>
      </c>
      <c r="AI40">
        <v>30</v>
      </c>
      <c r="AJ40">
        <v>1</v>
      </c>
      <c r="AK40">
        <v>0</v>
      </c>
      <c r="AL40">
        <v>187.35</v>
      </c>
      <c r="AO40" t="s">
        <v>5843</v>
      </c>
      <c r="AP40">
        <v>23400</v>
      </c>
      <c r="AV40">
        <v>15.5</v>
      </c>
      <c r="AW40" t="s">
        <v>222</v>
      </c>
      <c r="AX40" t="s">
        <v>6011</v>
      </c>
    </row>
    <row r="41" spans="1:50">
      <c r="A41" s="1">
        <f>HYPERLINK("https://lsnyc.legalserver.org/matter/dynamic-profile/view/1904384","19-1904384")</f>
        <v>0</v>
      </c>
      <c r="B41" t="s">
        <v>58</v>
      </c>
      <c r="C41" t="s">
        <v>191</v>
      </c>
      <c r="D41" t="s">
        <v>218</v>
      </c>
      <c r="F41" t="s">
        <v>473</v>
      </c>
      <c r="G41" t="s">
        <v>1220</v>
      </c>
      <c r="H41" t="s">
        <v>1995</v>
      </c>
      <c r="I41" t="s">
        <v>2838</v>
      </c>
      <c r="J41" t="s">
        <v>3159</v>
      </c>
      <c r="K41">
        <v>10304</v>
      </c>
      <c r="L41" t="s">
        <v>3185</v>
      </c>
      <c r="M41" t="s">
        <v>3189</v>
      </c>
      <c r="N41" t="s">
        <v>3186</v>
      </c>
      <c r="O41" t="s">
        <v>3200</v>
      </c>
      <c r="P41" t="s">
        <v>3257</v>
      </c>
      <c r="Q41" t="s">
        <v>3635</v>
      </c>
      <c r="T41" t="s">
        <v>3660</v>
      </c>
      <c r="U41" t="s">
        <v>3184</v>
      </c>
      <c r="W41" t="s">
        <v>3670</v>
      </c>
      <c r="X41" t="s">
        <v>3681</v>
      </c>
      <c r="Y41">
        <v>890</v>
      </c>
      <c r="Z41" t="s">
        <v>3692</v>
      </c>
      <c r="AA41" t="s">
        <v>3696</v>
      </c>
      <c r="AC41" t="s">
        <v>3759</v>
      </c>
      <c r="AE41" t="s">
        <v>4909</v>
      </c>
      <c r="AF41">
        <v>104</v>
      </c>
      <c r="AG41" t="s">
        <v>5813</v>
      </c>
      <c r="AH41" t="s">
        <v>5827</v>
      </c>
      <c r="AI41">
        <v>31</v>
      </c>
      <c r="AJ41">
        <v>1</v>
      </c>
      <c r="AK41">
        <v>0</v>
      </c>
      <c r="AL41">
        <v>70.52</v>
      </c>
      <c r="AO41" t="s">
        <v>5843</v>
      </c>
      <c r="AP41">
        <v>8808</v>
      </c>
      <c r="AV41">
        <v>3.5</v>
      </c>
      <c r="AW41" t="s">
        <v>212</v>
      </c>
      <c r="AX41" t="s">
        <v>6017</v>
      </c>
    </row>
    <row r="42" spans="1:50">
      <c r="A42" s="1">
        <f>HYPERLINK("https://lsnyc.legalserver.org/matter/dynamic-profile/view/1905963","19-1905963")</f>
        <v>0</v>
      </c>
      <c r="B42" t="s">
        <v>59</v>
      </c>
      <c r="C42" t="s">
        <v>191</v>
      </c>
      <c r="D42" t="s">
        <v>200</v>
      </c>
      <c r="F42" t="s">
        <v>474</v>
      </c>
      <c r="G42" t="s">
        <v>1221</v>
      </c>
      <c r="H42" t="s">
        <v>1996</v>
      </c>
      <c r="I42" t="s">
        <v>2839</v>
      </c>
      <c r="J42" t="s">
        <v>3147</v>
      </c>
      <c r="K42">
        <v>10460</v>
      </c>
      <c r="L42" t="s">
        <v>3186</v>
      </c>
      <c r="N42" t="s">
        <v>3186</v>
      </c>
      <c r="P42" t="s">
        <v>3257</v>
      </c>
      <c r="Q42" t="s">
        <v>3634</v>
      </c>
      <c r="T42" t="s">
        <v>3660</v>
      </c>
      <c r="U42" t="s">
        <v>3184</v>
      </c>
      <c r="W42" t="s">
        <v>3670</v>
      </c>
      <c r="Y42">
        <v>1300</v>
      </c>
      <c r="Z42" t="s">
        <v>3690</v>
      </c>
      <c r="AA42" t="s">
        <v>3696</v>
      </c>
      <c r="AC42" t="s">
        <v>3760</v>
      </c>
      <c r="AE42" t="s">
        <v>4910</v>
      </c>
      <c r="AF42">
        <v>136</v>
      </c>
      <c r="AG42" t="s">
        <v>5816</v>
      </c>
      <c r="AH42" t="s">
        <v>5825</v>
      </c>
      <c r="AI42">
        <v>1</v>
      </c>
      <c r="AJ42">
        <v>1</v>
      </c>
      <c r="AK42">
        <v>0</v>
      </c>
      <c r="AL42">
        <v>83.3</v>
      </c>
      <c r="AO42" t="s">
        <v>5843</v>
      </c>
      <c r="AP42">
        <v>10404</v>
      </c>
      <c r="AV42">
        <v>0.66</v>
      </c>
      <c r="AW42" t="s">
        <v>200</v>
      </c>
      <c r="AX42" t="s">
        <v>6018</v>
      </c>
    </row>
    <row r="43" spans="1:50">
      <c r="A43" s="1">
        <f>HYPERLINK("https://lsnyc.legalserver.org/matter/dynamic-profile/view/1857038","18-1857038")</f>
        <v>0</v>
      </c>
      <c r="B43" t="s">
        <v>60</v>
      </c>
      <c r="C43" t="s">
        <v>191</v>
      </c>
      <c r="D43" t="s">
        <v>224</v>
      </c>
      <c r="F43" t="s">
        <v>475</v>
      </c>
      <c r="G43" t="s">
        <v>1222</v>
      </c>
      <c r="H43" t="s">
        <v>1997</v>
      </c>
      <c r="I43" t="s">
        <v>2840</v>
      </c>
      <c r="J43" t="s">
        <v>3147</v>
      </c>
      <c r="K43">
        <v>10452</v>
      </c>
      <c r="L43" t="s">
        <v>3186</v>
      </c>
      <c r="N43" t="s">
        <v>3186</v>
      </c>
      <c r="O43" t="s">
        <v>3216</v>
      </c>
      <c r="P43" t="s">
        <v>3618</v>
      </c>
      <c r="Q43" t="s">
        <v>3639</v>
      </c>
      <c r="T43" t="s">
        <v>3660</v>
      </c>
      <c r="U43" t="s">
        <v>3185</v>
      </c>
      <c r="W43" t="s">
        <v>3670</v>
      </c>
      <c r="Y43">
        <v>855.3099999999999</v>
      </c>
      <c r="Z43" t="s">
        <v>3690</v>
      </c>
      <c r="AA43" t="s">
        <v>3700</v>
      </c>
      <c r="AC43" t="s">
        <v>3761</v>
      </c>
      <c r="AF43">
        <v>122</v>
      </c>
      <c r="AG43" t="s">
        <v>5813</v>
      </c>
      <c r="AH43" t="s">
        <v>3188</v>
      </c>
      <c r="AI43">
        <v>0</v>
      </c>
      <c r="AJ43">
        <v>2</v>
      </c>
      <c r="AK43">
        <v>0</v>
      </c>
      <c r="AL43">
        <v>0</v>
      </c>
      <c r="AO43" t="s">
        <v>5843</v>
      </c>
      <c r="AP43">
        <v>0</v>
      </c>
      <c r="AV43">
        <v>0</v>
      </c>
      <c r="AX43" t="s">
        <v>6019</v>
      </c>
    </row>
    <row r="44" spans="1:50">
      <c r="A44" s="1">
        <f>HYPERLINK("https://lsnyc.legalserver.org/matter/dynamic-profile/view/1907798","19-1907798")</f>
        <v>0</v>
      </c>
      <c r="B44" t="s">
        <v>61</v>
      </c>
      <c r="C44" t="s">
        <v>191</v>
      </c>
      <c r="D44" t="s">
        <v>225</v>
      </c>
      <c r="F44" t="s">
        <v>476</v>
      </c>
      <c r="G44" t="s">
        <v>1223</v>
      </c>
      <c r="H44" t="s">
        <v>1998</v>
      </c>
      <c r="I44" t="s">
        <v>2841</v>
      </c>
      <c r="J44" t="s">
        <v>3148</v>
      </c>
      <c r="K44">
        <v>11217</v>
      </c>
      <c r="L44" t="s">
        <v>3185</v>
      </c>
      <c r="M44" t="s">
        <v>3189</v>
      </c>
      <c r="N44" t="s">
        <v>3186</v>
      </c>
      <c r="Q44" t="s">
        <v>3638</v>
      </c>
      <c r="S44" t="s">
        <v>291</v>
      </c>
      <c r="T44" t="s">
        <v>3660</v>
      </c>
      <c r="W44" t="s">
        <v>3670</v>
      </c>
      <c r="Y44">
        <v>1900</v>
      </c>
      <c r="Z44" t="s">
        <v>3691</v>
      </c>
      <c r="AA44" t="s">
        <v>3632</v>
      </c>
      <c r="AC44" t="s">
        <v>3762</v>
      </c>
      <c r="AE44" t="s">
        <v>4911</v>
      </c>
      <c r="AF44">
        <v>8</v>
      </c>
      <c r="AI44">
        <v>18</v>
      </c>
      <c r="AJ44">
        <v>1</v>
      </c>
      <c r="AK44">
        <v>2</v>
      </c>
      <c r="AL44">
        <v>59.24</v>
      </c>
      <c r="AO44" t="s">
        <v>5844</v>
      </c>
      <c r="AP44">
        <v>12636</v>
      </c>
      <c r="AV44">
        <v>3.95</v>
      </c>
      <c r="AW44" t="s">
        <v>228</v>
      </c>
      <c r="AX44" t="s">
        <v>6006</v>
      </c>
    </row>
    <row r="45" spans="1:50">
      <c r="A45" s="1">
        <f>HYPERLINK("https://lsnyc.legalserver.org/matter/dynamic-profile/view/1908970","19-1908970")</f>
        <v>0</v>
      </c>
      <c r="B45" t="s">
        <v>62</v>
      </c>
      <c r="C45" t="s">
        <v>191</v>
      </c>
      <c r="D45" t="s">
        <v>211</v>
      </c>
      <c r="F45" t="s">
        <v>477</v>
      </c>
      <c r="G45" t="s">
        <v>1224</v>
      </c>
      <c r="H45" t="s">
        <v>1999</v>
      </c>
      <c r="J45" t="s">
        <v>3153</v>
      </c>
      <c r="K45">
        <v>11691</v>
      </c>
      <c r="L45" t="s">
        <v>3185</v>
      </c>
      <c r="M45" t="s">
        <v>3189</v>
      </c>
      <c r="N45" t="s">
        <v>3186</v>
      </c>
      <c r="O45" t="s">
        <v>3217</v>
      </c>
      <c r="P45" t="s">
        <v>3610</v>
      </c>
      <c r="Q45" t="s">
        <v>3637</v>
      </c>
      <c r="S45" t="s">
        <v>211</v>
      </c>
      <c r="T45" t="s">
        <v>3660</v>
      </c>
      <c r="U45" t="s">
        <v>3184</v>
      </c>
      <c r="W45" t="s">
        <v>3670</v>
      </c>
      <c r="Y45">
        <v>2100</v>
      </c>
      <c r="Z45" t="s">
        <v>3688</v>
      </c>
      <c r="AA45" t="s">
        <v>3698</v>
      </c>
      <c r="AC45" t="s">
        <v>3763</v>
      </c>
      <c r="AE45" t="s">
        <v>4912</v>
      </c>
      <c r="AF45">
        <v>2</v>
      </c>
      <c r="AG45" t="s">
        <v>3263</v>
      </c>
      <c r="AH45" t="s">
        <v>5827</v>
      </c>
      <c r="AI45">
        <v>4</v>
      </c>
      <c r="AJ45">
        <v>2</v>
      </c>
      <c r="AK45">
        <v>1</v>
      </c>
      <c r="AL45">
        <v>65.04000000000001</v>
      </c>
      <c r="AO45" t="s">
        <v>5843</v>
      </c>
      <c r="AP45">
        <v>13872</v>
      </c>
      <c r="AV45">
        <v>0.55</v>
      </c>
      <c r="AW45" t="s">
        <v>269</v>
      </c>
      <c r="AX45" t="s">
        <v>62</v>
      </c>
    </row>
    <row r="46" spans="1:50">
      <c r="A46" s="1">
        <f>HYPERLINK("https://lsnyc.legalserver.org/matter/dynamic-profile/view/1906982","19-1906982")</f>
        <v>0</v>
      </c>
      <c r="B46" t="s">
        <v>63</v>
      </c>
      <c r="C46" t="s">
        <v>192</v>
      </c>
      <c r="D46" t="s">
        <v>226</v>
      </c>
      <c r="E46" t="s">
        <v>268</v>
      </c>
      <c r="F46" t="s">
        <v>452</v>
      </c>
      <c r="G46" t="s">
        <v>1224</v>
      </c>
      <c r="H46" t="s">
        <v>2000</v>
      </c>
      <c r="I46" t="s">
        <v>2820</v>
      </c>
      <c r="J46" t="s">
        <v>3147</v>
      </c>
      <c r="K46">
        <v>10452</v>
      </c>
      <c r="L46" t="s">
        <v>3185</v>
      </c>
      <c r="M46" t="s">
        <v>3189</v>
      </c>
      <c r="N46" t="s">
        <v>3186</v>
      </c>
      <c r="P46" t="s">
        <v>3257</v>
      </c>
      <c r="Q46" t="s">
        <v>3634</v>
      </c>
      <c r="R46" t="s">
        <v>3642</v>
      </c>
      <c r="S46" t="s">
        <v>225</v>
      </c>
      <c r="T46" t="s">
        <v>3660</v>
      </c>
      <c r="U46" t="s">
        <v>3184</v>
      </c>
      <c r="W46" t="s">
        <v>3670</v>
      </c>
      <c r="Y46">
        <v>811.24</v>
      </c>
      <c r="Z46" t="s">
        <v>3690</v>
      </c>
      <c r="AA46" t="s">
        <v>3700</v>
      </c>
      <c r="AB46" t="s">
        <v>3712</v>
      </c>
      <c r="AC46" t="s">
        <v>3764</v>
      </c>
      <c r="AE46" t="s">
        <v>4913</v>
      </c>
      <c r="AF46">
        <v>53</v>
      </c>
      <c r="AG46" t="s">
        <v>5813</v>
      </c>
      <c r="AH46" t="s">
        <v>5825</v>
      </c>
      <c r="AI46">
        <v>34</v>
      </c>
      <c r="AJ46">
        <v>1</v>
      </c>
      <c r="AK46">
        <v>2</v>
      </c>
      <c r="AL46">
        <v>41.24</v>
      </c>
      <c r="AO46" t="s">
        <v>5844</v>
      </c>
      <c r="AP46">
        <v>8796</v>
      </c>
      <c r="AV46">
        <v>1.4</v>
      </c>
      <c r="AW46" t="s">
        <v>268</v>
      </c>
      <c r="AX46" t="s">
        <v>63</v>
      </c>
    </row>
    <row r="47" spans="1:50">
      <c r="A47" s="1">
        <f>HYPERLINK("https://lsnyc.legalserver.org/matter/dynamic-profile/view/1906917","19-1906917")</f>
        <v>0</v>
      </c>
      <c r="B47" t="s">
        <v>63</v>
      </c>
      <c r="C47" t="s">
        <v>192</v>
      </c>
      <c r="D47" t="s">
        <v>226</v>
      </c>
      <c r="E47" t="s">
        <v>268</v>
      </c>
      <c r="F47" t="s">
        <v>478</v>
      </c>
      <c r="G47" t="s">
        <v>1225</v>
      </c>
      <c r="H47" t="s">
        <v>2001</v>
      </c>
      <c r="I47" t="s">
        <v>2842</v>
      </c>
      <c r="J47" t="s">
        <v>3147</v>
      </c>
      <c r="K47">
        <v>10452</v>
      </c>
      <c r="L47" t="s">
        <v>3185</v>
      </c>
      <c r="M47" t="s">
        <v>3189</v>
      </c>
      <c r="N47" t="s">
        <v>3186</v>
      </c>
      <c r="P47" t="s">
        <v>3257</v>
      </c>
      <c r="Q47" t="s">
        <v>3636</v>
      </c>
      <c r="R47" t="s">
        <v>3643</v>
      </c>
      <c r="S47" t="s">
        <v>225</v>
      </c>
      <c r="T47" t="s">
        <v>3660</v>
      </c>
      <c r="U47" t="s">
        <v>3184</v>
      </c>
      <c r="W47" t="s">
        <v>3670</v>
      </c>
      <c r="Y47">
        <v>422.23</v>
      </c>
      <c r="Z47" t="s">
        <v>3690</v>
      </c>
      <c r="AA47" t="s">
        <v>3700</v>
      </c>
      <c r="AB47" t="s">
        <v>3713</v>
      </c>
      <c r="AC47" t="s">
        <v>3765</v>
      </c>
      <c r="AE47" t="s">
        <v>4914</v>
      </c>
      <c r="AF47">
        <v>60</v>
      </c>
      <c r="AG47" t="s">
        <v>5811</v>
      </c>
      <c r="AH47" t="s">
        <v>5826</v>
      </c>
      <c r="AI47">
        <v>0</v>
      </c>
      <c r="AJ47">
        <v>1</v>
      </c>
      <c r="AK47">
        <v>0</v>
      </c>
      <c r="AL47">
        <v>79.06999999999999</v>
      </c>
      <c r="AO47" t="s">
        <v>5844</v>
      </c>
      <c r="AP47">
        <v>9876</v>
      </c>
      <c r="AV47">
        <v>1.4</v>
      </c>
      <c r="AW47" t="s">
        <v>268</v>
      </c>
      <c r="AX47" t="s">
        <v>63</v>
      </c>
    </row>
    <row r="48" spans="1:50">
      <c r="A48" s="1">
        <f>HYPERLINK("https://lsnyc.legalserver.org/matter/dynamic-profile/view/1906984","19-1906984")</f>
        <v>0</v>
      </c>
      <c r="B48" t="s">
        <v>63</v>
      </c>
      <c r="C48" t="s">
        <v>192</v>
      </c>
      <c r="D48" t="s">
        <v>226</v>
      </c>
      <c r="E48" t="s">
        <v>268</v>
      </c>
      <c r="F48" t="s">
        <v>445</v>
      </c>
      <c r="G48" t="s">
        <v>996</v>
      </c>
      <c r="H48" t="s">
        <v>2002</v>
      </c>
      <c r="I48" t="s">
        <v>2843</v>
      </c>
      <c r="J48" t="s">
        <v>3147</v>
      </c>
      <c r="K48">
        <v>10475</v>
      </c>
      <c r="L48" t="s">
        <v>3185</v>
      </c>
      <c r="M48" t="s">
        <v>3189</v>
      </c>
      <c r="N48" t="s">
        <v>3186</v>
      </c>
      <c r="P48" t="s">
        <v>3609</v>
      </c>
      <c r="Q48" t="s">
        <v>3636</v>
      </c>
      <c r="R48" t="s">
        <v>3643</v>
      </c>
      <c r="S48" t="s">
        <v>225</v>
      </c>
      <c r="T48" t="s">
        <v>3660</v>
      </c>
      <c r="U48" t="s">
        <v>3184</v>
      </c>
      <c r="W48" t="s">
        <v>3670</v>
      </c>
      <c r="Y48">
        <v>801.79</v>
      </c>
      <c r="Z48" t="s">
        <v>3690</v>
      </c>
      <c r="AA48" t="s">
        <v>3700</v>
      </c>
      <c r="AB48" t="s">
        <v>3716</v>
      </c>
      <c r="AC48" t="s">
        <v>3766</v>
      </c>
      <c r="AE48" t="s">
        <v>4915</v>
      </c>
      <c r="AF48">
        <v>10914</v>
      </c>
      <c r="AG48" t="s">
        <v>5815</v>
      </c>
      <c r="AH48" t="s">
        <v>3188</v>
      </c>
      <c r="AI48">
        <v>5</v>
      </c>
      <c r="AJ48">
        <v>1</v>
      </c>
      <c r="AK48">
        <v>0</v>
      </c>
      <c r="AL48">
        <v>186.87</v>
      </c>
      <c r="AO48" t="s">
        <v>5843</v>
      </c>
      <c r="AP48">
        <v>23340</v>
      </c>
      <c r="AV48">
        <v>1.4</v>
      </c>
      <c r="AW48" t="s">
        <v>268</v>
      </c>
      <c r="AX48" t="s">
        <v>63</v>
      </c>
    </row>
    <row r="49" spans="1:50">
      <c r="A49" s="1">
        <f>HYPERLINK("https://lsnyc.legalserver.org/matter/dynamic-profile/view/1907244","19-1907244")</f>
        <v>0</v>
      </c>
      <c r="B49" t="s">
        <v>63</v>
      </c>
      <c r="C49" t="s">
        <v>191</v>
      </c>
      <c r="D49" t="s">
        <v>227</v>
      </c>
      <c r="F49" t="s">
        <v>479</v>
      </c>
      <c r="G49" t="s">
        <v>1226</v>
      </c>
      <c r="H49" t="s">
        <v>2003</v>
      </c>
      <c r="I49" t="s">
        <v>2844</v>
      </c>
      <c r="J49" t="s">
        <v>3147</v>
      </c>
      <c r="K49">
        <v>10470</v>
      </c>
      <c r="L49" t="s">
        <v>3185</v>
      </c>
      <c r="M49" t="s">
        <v>3189</v>
      </c>
      <c r="N49" t="s">
        <v>3186</v>
      </c>
      <c r="O49" t="s">
        <v>3218</v>
      </c>
      <c r="P49" t="s">
        <v>3257</v>
      </c>
      <c r="Q49" t="s">
        <v>3634</v>
      </c>
      <c r="S49" t="s">
        <v>251</v>
      </c>
      <c r="T49" t="s">
        <v>3660</v>
      </c>
      <c r="U49" t="s">
        <v>3184</v>
      </c>
      <c r="W49" t="s">
        <v>3670</v>
      </c>
      <c r="Y49">
        <v>1486.4</v>
      </c>
      <c r="Z49" t="s">
        <v>3690</v>
      </c>
      <c r="AA49" t="s">
        <v>3700</v>
      </c>
      <c r="AC49" t="s">
        <v>3767</v>
      </c>
      <c r="AF49">
        <v>84</v>
      </c>
      <c r="AG49" t="s">
        <v>5813</v>
      </c>
      <c r="AH49" t="s">
        <v>3188</v>
      </c>
      <c r="AI49">
        <v>12</v>
      </c>
      <c r="AJ49">
        <v>1</v>
      </c>
      <c r="AK49">
        <v>0</v>
      </c>
      <c r="AL49">
        <v>0</v>
      </c>
      <c r="AO49" t="s">
        <v>5843</v>
      </c>
      <c r="AP49">
        <v>0</v>
      </c>
      <c r="AV49">
        <v>1.8</v>
      </c>
      <c r="AW49" t="s">
        <v>227</v>
      </c>
      <c r="AX49" t="s">
        <v>63</v>
      </c>
    </row>
    <row r="50" spans="1:50">
      <c r="A50" s="1">
        <f>HYPERLINK("https://lsnyc.legalserver.org/matter/dynamic-profile/view/1909129","19-1909129")</f>
        <v>0</v>
      </c>
      <c r="B50" t="s">
        <v>63</v>
      </c>
      <c r="C50" t="s">
        <v>191</v>
      </c>
      <c r="D50" t="s">
        <v>228</v>
      </c>
      <c r="F50" t="s">
        <v>480</v>
      </c>
      <c r="G50" t="s">
        <v>1227</v>
      </c>
      <c r="H50" t="s">
        <v>2004</v>
      </c>
      <c r="I50" t="s">
        <v>2845</v>
      </c>
      <c r="J50" t="s">
        <v>3147</v>
      </c>
      <c r="K50">
        <v>10452</v>
      </c>
      <c r="L50" t="s">
        <v>3185</v>
      </c>
      <c r="M50" t="s">
        <v>3189</v>
      </c>
      <c r="N50" t="s">
        <v>3186</v>
      </c>
      <c r="P50" t="s">
        <v>3257</v>
      </c>
      <c r="Q50" t="s">
        <v>3636</v>
      </c>
      <c r="T50" t="s">
        <v>3660</v>
      </c>
      <c r="U50" t="s">
        <v>3184</v>
      </c>
      <c r="W50" t="s">
        <v>3670</v>
      </c>
      <c r="Y50">
        <v>1428.24</v>
      </c>
      <c r="Z50" t="s">
        <v>3690</v>
      </c>
      <c r="AA50" t="s">
        <v>3696</v>
      </c>
      <c r="AC50" t="s">
        <v>3768</v>
      </c>
      <c r="AF50">
        <v>92</v>
      </c>
      <c r="AG50" t="s">
        <v>5813</v>
      </c>
      <c r="AH50" t="s">
        <v>5827</v>
      </c>
      <c r="AI50">
        <v>9</v>
      </c>
      <c r="AJ50">
        <v>2</v>
      </c>
      <c r="AK50">
        <v>0</v>
      </c>
      <c r="AL50">
        <v>0</v>
      </c>
      <c r="AO50" t="s">
        <v>5843</v>
      </c>
      <c r="AP50">
        <v>0</v>
      </c>
      <c r="AV50">
        <v>2</v>
      </c>
      <c r="AW50" t="s">
        <v>211</v>
      </c>
      <c r="AX50" t="s">
        <v>63</v>
      </c>
    </row>
    <row r="51" spans="1:50">
      <c r="A51" s="1">
        <f>HYPERLINK("https://lsnyc.legalserver.org/matter/dynamic-profile/view/1910139","19-1910139")</f>
        <v>0</v>
      </c>
      <c r="B51" t="s">
        <v>63</v>
      </c>
      <c r="C51" t="s">
        <v>191</v>
      </c>
      <c r="D51" t="s">
        <v>198</v>
      </c>
      <c r="F51" t="s">
        <v>481</v>
      </c>
      <c r="G51" t="s">
        <v>1228</v>
      </c>
      <c r="H51" t="s">
        <v>2005</v>
      </c>
      <c r="I51" t="s">
        <v>2846</v>
      </c>
      <c r="J51" t="s">
        <v>3147</v>
      </c>
      <c r="K51">
        <v>10451</v>
      </c>
      <c r="L51" t="s">
        <v>3185</v>
      </c>
      <c r="M51" t="s">
        <v>3189</v>
      </c>
      <c r="N51" t="s">
        <v>3186</v>
      </c>
      <c r="P51" t="s">
        <v>3257</v>
      </c>
      <c r="Q51" t="s">
        <v>3634</v>
      </c>
      <c r="T51" t="s">
        <v>3660</v>
      </c>
      <c r="U51" t="s">
        <v>3184</v>
      </c>
      <c r="W51" t="s">
        <v>3670</v>
      </c>
      <c r="Y51">
        <v>1061</v>
      </c>
      <c r="Z51" t="s">
        <v>3690</v>
      </c>
      <c r="AA51" t="s">
        <v>3700</v>
      </c>
      <c r="AC51" t="s">
        <v>3769</v>
      </c>
      <c r="AE51" t="s">
        <v>4916</v>
      </c>
      <c r="AF51">
        <v>176</v>
      </c>
      <c r="AG51" t="s">
        <v>5813</v>
      </c>
      <c r="AH51" t="s">
        <v>5829</v>
      </c>
      <c r="AI51">
        <v>3</v>
      </c>
      <c r="AJ51">
        <v>2</v>
      </c>
      <c r="AK51">
        <v>0</v>
      </c>
      <c r="AL51">
        <v>73.73</v>
      </c>
      <c r="AO51" t="s">
        <v>5843</v>
      </c>
      <c r="AP51">
        <v>12468</v>
      </c>
      <c r="AV51">
        <v>1.2</v>
      </c>
      <c r="AW51" t="s">
        <v>221</v>
      </c>
      <c r="AX51" t="s">
        <v>63</v>
      </c>
    </row>
    <row r="52" spans="1:50">
      <c r="A52" s="1">
        <f>HYPERLINK("https://lsnyc.legalserver.org/matter/dynamic-profile/view/1908942","19-1908942")</f>
        <v>0</v>
      </c>
      <c r="B52" t="s">
        <v>63</v>
      </c>
      <c r="C52" t="s">
        <v>191</v>
      </c>
      <c r="D52" t="s">
        <v>211</v>
      </c>
      <c r="F52" t="s">
        <v>482</v>
      </c>
      <c r="G52" t="s">
        <v>1229</v>
      </c>
      <c r="H52" t="s">
        <v>2006</v>
      </c>
      <c r="I52" t="s">
        <v>2819</v>
      </c>
      <c r="J52" t="s">
        <v>3147</v>
      </c>
      <c r="K52">
        <v>10460</v>
      </c>
      <c r="L52" t="s">
        <v>3185</v>
      </c>
      <c r="M52" t="s">
        <v>3189</v>
      </c>
      <c r="N52" t="s">
        <v>3186</v>
      </c>
      <c r="P52" t="s">
        <v>3257</v>
      </c>
      <c r="Q52" t="s">
        <v>3634</v>
      </c>
      <c r="T52" t="s">
        <v>3660</v>
      </c>
      <c r="U52" t="s">
        <v>3184</v>
      </c>
      <c r="W52" t="s">
        <v>3670</v>
      </c>
      <c r="Y52">
        <v>818.75</v>
      </c>
      <c r="Z52" t="s">
        <v>3690</v>
      </c>
      <c r="AA52" t="s">
        <v>3700</v>
      </c>
      <c r="AC52" t="s">
        <v>3770</v>
      </c>
      <c r="AE52" t="s">
        <v>4917</v>
      </c>
      <c r="AF52">
        <v>20</v>
      </c>
      <c r="AG52" t="s">
        <v>5817</v>
      </c>
      <c r="AH52" t="s">
        <v>3188</v>
      </c>
      <c r="AI52">
        <v>15</v>
      </c>
      <c r="AJ52">
        <v>2</v>
      </c>
      <c r="AK52">
        <v>0</v>
      </c>
      <c r="AL52">
        <v>86.22</v>
      </c>
      <c r="AO52" t="s">
        <v>5843</v>
      </c>
      <c r="AP52">
        <v>14580</v>
      </c>
      <c r="AV52">
        <v>2.7</v>
      </c>
      <c r="AW52" t="s">
        <v>252</v>
      </c>
      <c r="AX52" t="s">
        <v>63</v>
      </c>
    </row>
    <row r="53" spans="1:50">
      <c r="A53" s="1">
        <f>HYPERLINK("https://lsnyc.legalserver.org/matter/dynamic-profile/view/1908992","19-1908992")</f>
        <v>0</v>
      </c>
      <c r="B53" t="s">
        <v>63</v>
      </c>
      <c r="C53" t="s">
        <v>191</v>
      </c>
      <c r="D53" t="s">
        <v>211</v>
      </c>
      <c r="F53" t="s">
        <v>483</v>
      </c>
      <c r="G53" t="s">
        <v>1230</v>
      </c>
      <c r="H53" t="s">
        <v>2007</v>
      </c>
      <c r="I53" t="s">
        <v>2826</v>
      </c>
      <c r="J53" t="s">
        <v>3147</v>
      </c>
      <c r="K53">
        <v>10457</v>
      </c>
      <c r="L53" t="s">
        <v>3185</v>
      </c>
      <c r="M53" t="s">
        <v>3189</v>
      </c>
      <c r="N53" t="s">
        <v>3186</v>
      </c>
      <c r="P53" t="s">
        <v>3257</v>
      </c>
      <c r="Q53" t="s">
        <v>3636</v>
      </c>
      <c r="T53" t="s">
        <v>3660</v>
      </c>
      <c r="U53" t="s">
        <v>3184</v>
      </c>
      <c r="W53" t="s">
        <v>3670</v>
      </c>
      <c r="Y53">
        <v>2268</v>
      </c>
      <c r="Z53" t="s">
        <v>3690</v>
      </c>
      <c r="AA53" t="s">
        <v>3700</v>
      </c>
      <c r="AC53" t="s">
        <v>3771</v>
      </c>
      <c r="AE53" t="s">
        <v>4918</v>
      </c>
      <c r="AF53">
        <v>3</v>
      </c>
      <c r="AG53" t="s">
        <v>5814</v>
      </c>
      <c r="AH53" t="s">
        <v>5827</v>
      </c>
      <c r="AI53">
        <v>1</v>
      </c>
      <c r="AJ53">
        <v>1</v>
      </c>
      <c r="AK53">
        <v>0</v>
      </c>
      <c r="AL53">
        <v>89.45</v>
      </c>
      <c r="AO53" t="s">
        <v>5844</v>
      </c>
      <c r="AP53">
        <v>11172</v>
      </c>
      <c r="AV53">
        <v>2.2</v>
      </c>
      <c r="AW53" t="s">
        <v>228</v>
      </c>
      <c r="AX53" t="s">
        <v>63</v>
      </c>
    </row>
    <row r="54" spans="1:50">
      <c r="A54" s="1">
        <f>HYPERLINK("https://lsnyc.legalserver.org/matter/dynamic-profile/view/1910130","19-1910130")</f>
        <v>0</v>
      </c>
      <c r="B54" t="s">
        <v>63</v>
      </c>
      <c r="C54" t="s">
        <v>191</v>
      </c>
      <c r="D54" t="s">
        <v>198</v>
      </c>
      <c r="F54" t="s">
        <v>484</v>
      </c>
      <c r="G54" t="s">
        <v>1231</v>
      </c>
      <c r="H54" t="s">
        <v>2008</v>
      </c>
      <c r="I54" t="s">
        <v>2847</v>
      </c>
      <c r="J54" t="s">
        <v>3147</v>
      </c>
      <c r="K54">
        <v>10452</v>
      </c>
      <c r="L54" t="s">
        <v>3185</v>
      </c>
      <c r="M54" t="s">
        <v>3189</v>
      </c>
      <c r="N54" t="s">
        <v>3186</v>
      </c>
      <c r="P54" t="s">
        <v>3257</v>
      </c>
      <c r="Q54" t="s">
        <v>3634</v>
      </c>
      <c r="T54" t="s">
        <v>3660</v>
      </c>
      <c r="U54" t="s">
        <v>3184</v>
      </c>
      <c r="W54" t="s">
        <v>3670</v>
      </c>
      <c r="Y54">
        <v>640</v>
      </c>
      <c r="Z54" t="s">
        <v>3690</v>
      </c>
      <c r="AA54" t="s">
        <v>3700</v>
      </c>
      <c r="AC54" t="s">
        <v>3772</v>
      </c>
      <c r="AF54">
        <v>59</v>
      </c>
      <c r="AG54" t="s">
        <v>5818</v>
      </c>
      <c r="AH54" t="s">
        <v>3188</v>
      </c>
      <c r="AI54">
        <v>1</v>
      </c>
      <c r="AJ54">
        <v>1</v>
      </c>
      <c r="AK54">
        <v>1</v>
      </c>
      <c r="AL54">
        <v>92.25</v>
      </c>
      <c r="AO54" t="s">
        <v>5844</v>
      </c>
      <c r="AP54">
        <v>15600</v>
      </c>
      <c r="AV54">
        <v>1.2</v>
      </c>
      <c r="AW54" t="s">
        <v>221</v>
      </c>
      <c r="AX54" t="s">
        <v>63</v>
      </c>
    </row>
    <row r="55" spans="1:50">
      <c r="A55" s="1">
        <f>HYPERLINK("https://lsnyc.legalserver.org/matter/dynamic-profile/view/1908975","19-1908975")</f>
        <v>0</v>
      </c>
      <c r="B55" t="s">
        <v>63</v>
      </c>
      <c r="C55" t="s">
        <v>191</v>
      </c>
      <c r="D55" t="s">
        <v>211</v>
      </c>
      <c r="F55" t="s">
        <v>485</v>
      </c>
      <c r="G55" t="s">
        <v>1232</v>
      </c>
      <c r="H55" t="s">
        <v>2009</v>
      </c>
      <c r="I55" t="s">
        <v>2848</v>
      </c>
      <c r="J55" t="s">
        <v>3147</v>
      </c>
      <c r="K55">
        <v>10459</v>
      </c>
      <c r="L55" t="s">
        <v>3185</v>
      </c>
      <c r="M55" t="s">
        <v>3189</v>
      </c>
      <c r="N55" t="s">
        <v>3186</v>
      </c>
      <c r="P55" t="s">
        <v>3257</v>
      </c>
      <c r="Q55" t="s">
        <v>3634</v>
      </c>
      <c r="T55" t="s">
        <v>3660</v>
      </c>
      <c r="U55" t="s">
        <v>3184</v>
      </c>
      <c r="W55" t="s">
        <v>3670</v>
      </c>
      <c r="Y55">
        <v>441</v>
      </c>
      <c r="Z55" t="s">
        <v>3690</v>
      </c>
      <c r="AA55" t="s">
        <v>3700</v>
      </c>
      <c r="AC55" t="s">
        <v>3773</v>
      </c>
      <c r="AE55" t="s">
        <v>4919</v>
      </c>
      <c r="AF55">
        <v>39</v>
      </c>
      <c r="AG55" t="s">
        <v>5816</v>
      </c>
      <c r="AH55" t="s">
        <v>5830</v>
      </c>
      <c r="AI55">
        <v>14</v>
      </c>
      <c r="AJ55">
        <v>2</v>
      </c>
      <c r="AK55">
        <v>0</v>
      </c>
      <c r="AL55">
        <v>124.19</v>
      </c>
      <c r="AO55" t="s">
        <v>5843</v>
      </c>
      <c r="AP55">
        <v>21000</v>
      </c>
      <c r="AV55">
        <v>1.7</v>
      </c>
      <c r="AW55" t="s">
        <v>228</v>
      </c>
      <c r="AX55" t="s">
        <v>63</v>
      </c>
    </row>
    <row r="56" spans="1:50">
      <c r="A56" s="1">
        <f>HYPERLINK("https://lsnyc.legalserver.org/matter/dynamic-profile/view/1910082","19-1910082")</f>
        <v>0</v>
      </c>
      <c r="B56" t="s">
        <v>63</v>
      </c>
      <c r="C56" t="s">
        <v>191</v>
      </c>
      <c r="D56" t="s">
        <v>198</v>
      </c>
      <c r="F56" t="s">
        <v>486</v>
      </c>
      <c r="G56" t="s">
        <v>1233</v>
      </c>
      <c r="H56" t="s">
        <v>2010</v>
      </c>
      <c r="I56" t="s">
        <v>2849</v>
      </c>
      <c r="J56" t="s">
        <v>3147</v>
      </c>
      <c r="K56">
        <v>10452</v>
      </c>
      <c r="L56" t="s">
        <v>3185</v>
      </c>
      <c r="M56" t="s">
        <v>3189</v>
      </c>
      <c r="N56" t="s">
        <v>3186</v>
      </c>
      <c r="P56" t="s">
        <v>3257</v>
      </c>
      <c r="Q56" t="s">
        <v>3634</v>
      </c>
      <c r="T56" t="s">
        <v>3660</v>
      </c>
      <c r="U56" t="s">
        <v>3184</v>
      </c>
      <c r="W56" t="s">
        <v>3670</v>
      </c>
      <c r="Y56">
        <v>1350</v>
      </c>
      <c r="Z56" t="s">
        <v>3690</v>
      </c>
      <c r="AA56" t="s">
        <v>3700</v>
      </c>
      <c r="AC56" t="s">
        <v>3774</v>
      </c>
      <c r="AE56" t="s">
        <v>4920</v>
      </c>
      <c r="AF56">
        <v>67</v>
      </c>
      <c r="AG56" t="s">
        <v>5813</v>
      </c>
      <c r="AH56" t="s">
        <v>3188</v>
      </c>
      <c r="AI56">
        <v>3</v>
      </c>
      <c r="AJ56">
        <v>1</v>
      </c>
      <c r="AK56">
        <v>0</v>
      </c>
      <c r="AL56">
        <v>187.35</v>
      </c>
      <c r="AO56" t="s">
        <v>5843</v>
      </c>
      <c r="AP56">
        <v>23400</v>
      </c>
      <c r="AV56">
        <v>1.2</v>
      </c>
      <c r="AW56" t="s">
        <v>221</v>
      </c>
      <c r="AX56" t="s">
        <v>63</v>
      </c>
    </row>
    <row r="57" spans="1:50">
      <c r="A57" s="1">
        <f>HYPERLINK("https://lsnyc.legalserver.org/matter/dynamic-profile/view/1908982","19-1908982")</f>
        <v>0</v>
      </c>
      <c r="B57" t="s">
        <v>63</v>
      </c>
      <c r="C57" t="s">
        <v>191</v>
      </c>
      <c r="D57" t="s">
        <v>211</v>
      </c>
      <c r="F57" t="s">
        <v>487</v>
      </c>
      <c r="G57" t="s">
        <v>1234</v>
      </c>
      <c r="H57" t="s">
        <v>2011</v>
      </c>
      <c r="I57" t="s">
        <v>2850</v>
      </c>
      <c r="J57" t="s">
        <v>3147</v>
      </c>
      <c r="K57">
        <v>10453</v>
      </c>
      <c r="L57" t="s">
        <v>3185</v>
      </c>
      <c r="M57" t="s">
        <v>3189</v>
      </c>
      <c r="N57" t="s">
        <v>3186</v>
      </c>
      <c r="P57" t="s">
        <v>3257</v>
      </c>
      <c r="Q57" t="s">
        <v>3634</v>
      </c>
      <c r="T57" t="s">
        <v>3660</v>
      </c>
      <c r="U57" t="s">
        <v>3184</v>
      </c>
      <c r="W57" t="s">
        <v>3670</v>
      </c>
      <c r="Y57">
        <v>1336.76</v>
      </c>
      <c r="Z57" t="s">
        <v>3690</v>
      </c>
      <c r="AA57" t="s">
        <v>3696</v>
      </c>
      <c r="AC57" t="s">
        <v>3775</v>
      </c>
      <c r="AF57">
        <v>170</v>
      </c>
      <c r="AG57" t="s">
        <v>5813</v>
      </c>
      <c r="AH57" t="s">
        <v>3188</v>
      </c>
      <c r="AI57">
        <v>3</v>
      </c>
      <c r="AJ57">
        <v>2</v>
      </c>
      <c r="AK57">
        <v>0</v>
      </c>
      <c r="AL57">
        <v>223.54</v>
      </c>
      <c r="AO57" t="s">
        <v>5844</v>
      </c>
      <c r="AP57">
        <v>37800</v>
      </c>
      <c r="AV57">
        <v>0.7</v>
      </c>
      <c r="AW57" t="s">
        <v>222</v>
      </c>
      <c r="AX57" t="s">
        <v>63</v>
      </c>
    </row>
    <row r="58" spans="1:50">
      <c r="A58" s="1">
        <f>HYPERLINK("https://lsnyc.legalserver.org/matter/dynamic-profile/view/1910096","19-1910096")</f>
        <v>0</v>
      </c>
      <c r="B58" t="s">
        <v>63</v>
      </c>
      <c r="C58" t="s">
        <v>191</v>
      </c>
      <c r="D58" t="s">
        <v>198</v>
      </c>
      <c r="F58" t="s">
        <v>478</v>
      </c>
      <c r="G58" t="s">
        <v>1235</v>
      </c>
      <c r="H58" t="s">
        <v>2012</v>
      </c>
      <c r="I58" t="s">
        <v>2820</v>
      </c>
      <c r="J58" t="s">
        <v>3147</v>
      </c>
      <c r="K58">
        <v>10453</v>
      </c>
      <c r="L58" t="s">
        <v>3185</v>
      </c>
      <c r="M58" t="s">
        <v>3189</v>
      </c>
      <c r="N58" t="s">
        <v>3186</v>
      </c>
      <c r="P58" t="s">
        <v>3257</v>
      </c>
      <c r="Q58" t="s">
        <v>3634</v>
      </c>
      <c r="T58" t="s">
        <v>3660</v>
      </c>
      <c r="U58" t="s">
        <v>3184</v>
      </c>
      <c r="W58" t="s">
        <v>3670</v>
      </c>
      <c r="Y58">
        <v>668.79</v>
      </c>
      <c r="Z58" t="s">
        <v>3690</v>
      </c>
      <c r="AA58" t="s">
        <v>3700</v>
      </c>
      <c r="AC58" t="s">
        <v>3776</v>
      </c>
      <c r="AE58" t="s">
        <v>4921</v>
      </c>
      <c r="AF58">
        <v>58</v>
      </c>
      <c r="AG58" t="s">
        <v>5817</v>
      </c>
      <c r="AH58" t="s">
        <v>5827</v>
      </c>
      <c r="AI58">
        <v>35</v>
      </c>
      <c r="AJ58">
        <v>1</v>
      </c>
      <c r="AK58">
        <v>0</v>
      </c>
      <c r="AL58">
        <v>231.48</v>
      </c>
      <c r="AO58" t="s">
        <v>5843</v>
      </c>
      <c r="AP58">
        <v>28912</v>
      </c>
      <c r="AV58">
        <v>1.2</v>
      </c>
      <c r="AW58" t="s">
        <v>221</v>
      </c>
      <c r="AX58" t="s">
        <v>63</v>
      </c>
    </row>
    <row r="59" spans="1:50">
      <c r="A59" s="1">
        <f>HYPERLINK("https://lsnyc.legalserver.org/matter/dynamic-profile/view/1910061","19-1910061")</f>
        <v>0</v>
      </c>
      <c r="B59" t="s">
        <v>63</v>
      </c>
      <c r="C59" t="s">
        <v>191</v>
      </c>
      <c r="D59" t="s">
        <v>198</v>
      </c>
      <c r="F59" t="s">
        <v>488</v>
      </c>
      <c r="G59" t="s">
        <v>1236</v>
      </c>
      <c r="H59" t="s">
        <v>2013</v>
      </c>
      <c r="I59" t="s">
        <v>2832</v>
      </c>
      <c r="J59" t="s">
        <v>3147</v>
      </c>
      <c r="K59">
        <v>10452</v>
      </c>
      <c r="L59" t="s">
        <v>3185</v>
      </c>
      <c r="M59" t="s">
        <v>3189</v>
      </c>
      <c r="N59" t="s">
        <v>3186</v>
      </c>
      <c r="P59" t="s">
        <v>3257</v>
      </c>
      <c r="Q59" t="s">
        <v>3636</v>
      </c>
      <c r="T59" t="s">
        <v>3660</v>
      </c>
      <c r="U59" t="s">
        <v>3184</v>
      </c>
      <c r="W59" t="s">
        <v>3670</v>
      </c>
      <c r="Y59">
        <v>930.77</v>
      </c>
      <c r="Z59" t="s">
        <v>3690</v>
      </c>
      <c r="AA59" t="s">
        <v>3700</v>
      </c>
      <c r="AC59" t="s">
        <v>3777</v>
      </c>
      <c r="AE59" t="s">
        <v>4922</v>
      </c>
      <c r="AF59">
        <v>63</v>
      </c>
      <c r="AG59" t="s">
        <v>5813</v>
      </c>
      <c r="AH59" t="s">
        <v>3188</v>
      </c>
      <c r="AI59">
        <v>30</v>
      </c>
      <c r="AJ59">
        <v>1</v>
      </c>
      <c r="AK59">
        <v>0</v>
      </c>
      <c r="AL59">
        <v>547.64</v>
      </c>
      <c r="AO59" t="s">
        <v>5843</v>
      </c>
      <c r="AP59">
        <v>68400</v>
      </c>
      <c r="AV59">
        <v>3.2</v>
      </c>
      <c r="AW59" t="s">
        <v>221</v>
      </c>
      <c r="AX59" t="s">
        <v>63</v>
      </c>
    </row>
    <row r="60" spans="1:50">
      <c r="A60" s="1">
        <f>HYPERLINK("https://lsnyc.legalserver.org/matter/dynamic-profile/view/1906390","19-1906390")</f>
        <v>0</v>
      </c>
      <c r="B60" t="s">
        <v>64</v>
      </c>
      <c r="C60" t="s">
        <v>191</v>
      </c>
      <c r="D60" t="s">
        <v>229</v>
      </c>
      <c r="F60" t="s">
        <v>489</v>
      </c>
      <c r="G60" t="s">
        <v>1203</v>
      </c>
      <c r="H60" t="s">
        <v>2014</v>
      </c>
      <c r="I60" t="s">
        <v>2851</v>
      </c>
      <c r="J60" t="s">
        <v>3146</v>
      </c>
      <c r="K60">
        <v>10009</v>
      </c>
      <c r="L60" t="s">
        <v>3185</v>
      </c>
      <c r="M60" t="s">
        <v>3189</v>
      </c>
      <c r="N60" t="s">
        <v>3186</v>
      </c>
      <c r="P60" t="s">
        <v>3257</v>
      </c>
      <c r="Q60" t="s">
        <v>3637</v>
      </c>
      <c r="S60" t="s">
        <v>229</v>
      </c>
      <c r="T60" t="s">
        <v>3660</v>
      </c>
      <c r="U60" t="s">
        <v>3184</v>
      </c>
      <c r="W60" t="s">
        <v>3673</v>
      </c>
      <c r="Y60">
        <v>400</v>
      </c>
      <c r="Z60" t="s">
        <v>3689</v>
      </c>
      <c r="AA60" t="s">
        <v>3694</v>
      </c>
      <c r="AC60" t="s">
        <v>3778</v>
      </c>
      <c r="AE60" t="s">
        <v>4923</v>
      </c>
      <c r="AF60">
        <v>0</v>
      </c>
      <c r="AG60" t="s">
        <v>5812</v>
      </c>
      <c r="AH60" t="s">
        <v>3188</v>
      </c>
      <c r="AI60">
        <v>41</v>
      </c>
      <c r="AJ60">
        <v>1</v>
      </c>
      <c r="AK60">
        <v>1</v>
      </c>
      <c r="AL60">
        <v>56.27</v>
      </c>
      <c r="AO60" t="s">
        <v>5844</v>
      </c>
      <c r="AP60">
        <v>9516</v>
      </c>
      <c r="AV60">
        <v>1</v>
      </c>
      <c r="AW60" t="s">
        <v>252</v>
      </c>
      <c r="AX60" t="s">
        <v>6020</v>
      </c>
    </row>
    <row r="61" spans="1:50">
      <c r="A61" s="1">
        <f>HYPERLINK("https://lsnyc.legalserver.org/matter/dynamic-profile/view/1857520","18-1857520")</f>
        <v>0</v>
      </c>
      <c r="B61" t="s">
        <v>60</v>
      </c>
      <c r="C61" t="s">
        <v>191</v>
      </c>
      <c r="D61" t="s">
        <v>230</v>
      </c>
      <c r="F61" t="s">
        <v>475</v>
      </c>
      <c r="G61" t="s">
        <v>1222</v>
      </c>
      <c r="H61" t="s">
        <v>1997</v>
      </c>
      <c r="I61" t="s">
        <v>2840</v>
      </c>
      <c r="J61" t="s">
        <v>3147</v>
      </c>
      <c r="K61">
        <v>10452</v>
      </c>
      <c r="L61" t="s">
        <v>3186</v>
      </c>
      <c r="N61" t="s">
        <v>3186</v>
      </c>
      <c r="O61" t="s">
        <v>3219</v>
      </c>
      <c r="P61" t="s">
        <v>3618</v>
      </c>
      <c r="Q61" t="s">
        <v>3639</v>
      </c>
      <c r="T61" t="s">
        <v>3660</v>
      </c>
      <c r="U61" t="s">
        <v>3185</v>
      </c>
      <c r="W61" t="s">
        <v>3670</v>
      </c>
      <c r="Y61">
        <v>855.3099999999999</v>
      </c>
      <c r="Z61" t="s">
        <v>3690</v>
      </c>
      <c r="AA61" t="s">
        <v>3700</v>
      </c>
      <c r="AC61" t="s">
        <v>3761</v>
      </c>
      <c r="AF61">
        <v>122</v>
      </c>
      <c r="AG61" t="s">
        <v>5813</v>
      </c>
      <c r="AI61">
        <v>0</v>
      </c>
      <c r="AJ61">
        <v>2</v>
      </c>
      <c r="AK61">
        <v>0</v>
      </c>
      <c r="AL61">
        <v>0</v>
      </c>
      <c r="AO61" t="s">
        <v>5843</v>
      </c>
      <c r="AP61">
        <v>0</v>
      </c>
      <c r="AV61">
        <v>0</v>
      </c>
      <c r="AX61" t="s">
        <v>6019</v>
      </c>
    </row>
    <row r="62" spans="1:50">
      <c r="A62" s="1">
        <f>HYPERLINK("https://lsnyc.legalserver.org/matter/dynamic-profile/view/1908589","19-1908589")</f>
        <v>0</v>
      </c>
      <c r="B62" t="s">
        <v>65</v>
      </c>
      <c r="C62" t="s">
        <v>191</v>
      </c>
      <c r="D62" t="s">
        <v>231</v>
      </c>
      <c r="F62" t="s">
        <v>490</v>
      </c>
      <c r="G62" t="s">
        <v>1237</v>
      </c>
      <c r="H62" t="s">
        <v>2015</v>
      </c>
      <c r="I62" t="s">
        <v>2852</v>
      </c>
      <c r="J62" t="s">
        <v>3146</v>
      </c>
      <c r="K62">
        <v>10035</v>
      </c>
      <c r="L62" t="s">
        <v>3185</v>
      </c>
      <c r="M62" t="s">
        <v>3189</v>
      </c>
      <c r="N62" t="s">
        <v>3186</v>
      </c>
      <c r="O62" t="s">
        <v>3220</v>
      </c>
      <c r="P62" t="s">
        <v>3610</v>
      </c>
      <c r="Q62" t="s">
        <v>3638</v>
      </c>
      <c r="S62" t="s">
        <v>225</v>
      </c>
      <c r="T62" t="s">
        <v>3660</v>
      </c>
      <c r="U62" t="s">
        <v>3184</v>
      </c>
      <c r="W62" t="s">
        <v>3670</v>
      </c>
      <c r="X62" t="s">
        <v>3681</v>
      </c>
      <c r="Y62">
        <v>1794</v>
      </c>
      <c r="Z62" t="s">
        <v>3689</v>
      </c>
      <c r="AA62" t="s">
        <v>3704</v>
      </c>
      <c r="AC62" t="s">
        <v>3779</v>
      </c>
      <c r="AE62" t="s">
        <v>4924</v>
      </c>
      <c r="AF62">
        <v>72</v>
      </c>
      <c r="AG62" t="s">
        <v>5813</v>
      </c>
      <c r="AH62" t="s">
        <v>5827</v>
      </c>
      <c r="AI62">
        <v>11</v>
      </c>
      <c r="AJ62">
        <v>4</v>
      </c>
      <c r="AK62">
        <v>0</v>
      </c>
      <c r="AL62">
        <v>202.73</v>
      </c>
      <c r="AO62" t="s">
        <v>5843</v>
      </c>
      <c r="AP62">
        <v>52204</v>
      </c>
      <c r="AV62">
        <v>2.5</v>
      </c>
      <c r="AW62" t="s">
        <v>198</v>
      </c>
      <c r="AX62" t="s">
        <v>6007</v>
      </c>
    </row>
    <row r="63" spans="1:50">
      <c r="A63" s="1">
        <f>HYPERLINK("https://lsnyc.legalserver.org/matter/dynamic-profile/view/1856982","18-1856982")</f>
        <v>0</v>
      </c>
      <c r="B63" t="s">
        <v>60</v>
      </c>
      <c r="C63" t="s">
        <v>191</v>
      </c>
      <c r="D63" t="s">
        <v>224</v>
      </c>
      <c r="F63" t="s">
        <v>491</v>
      </c>
      <c r="G63" t="s">
        <v>1238</v>
      </c>
      <c r="H63" t="s">
        <v>1997</v>
      </c>
      <c r="I63" t="s">
        <v>2853</v>
      </c>
      <c r="J63" t="s">
        <v>3147</v>
      </c>
      <c r="K63">
        <v>10452</v>
      </c>
      <c r="L63" t="s">
        <v>3186</v>
      </c>
      <c r="N63" t="s">
        <v>3185</v>
      </c>
      <c r="O63" t="s">
        <v>3216</v>
      </c>
      <c r="P63" t="s">
        <v>3618</v>
      </c>
      <c r="Q63" t="s">
        <v>3639</v>
      </c>
      <c r="T63" t="s">
        <v>3660</v>
      </c>
      <c r="U63" t="s">
        <v>3185</v>
      </c>
      <c r="W63" t="s">
        <v>3670</v>
      </c>
      <c r="Y63">
        <v>1197.41</v>
      </c>
      <c r="Z63" t="s">
        <v>3690</v>
      </c>
      <c r="AA63" t="s">
        <v>3700</v>
      </c>
      <c r="AC63" t="s">
        <v>3780</v>
      </c>
      <c r="AD63" t="s">
        <v>4770</v>
      </c>
      <c r="AF63">
        <v>0</v>
      </c>
      <c r="AI63">
        <v>0</v>
      </c>
      <c r="AJ63">
        <v>2</v>
      </c>
      <c r="AK63">
        <v>5</v>
      </c>
      <c r="AL63">
        <v>61.93</v>
      </c>
      <c r="AO63" t="s">
        <v>5843</v>
      </c>
      <c r="AP63">
        <v>23000.04</v>
      </c>
      <c r="AQ63" t="s">
        <v>5864</v>
      </c>
      <c r="AV63">
        <v>0</v>
      </c>
      <c r="AX63" t="s">
        <v>6019</v>
      </c>
    </row>
    <row r="64" spans="1:50">
      <c r="A64" s="1">
        <f>HYPERLINK("https://lsnyc.legalserver.org/matter/dynamic-profile/view/1904678","19-1904678")</f>
        <v>0</v>
      </c>
      <c r="B64" t="s">
        <v>66</v>
      </c>
      <c r="C64" t="s">
        <v>191</v>
      </c>
      <c r="D64" t="s">
        <v>214</v>
      </c>
      <c r="F64" t="s">
        <v>492</v>
      </c>
      <c r="G64" t="s">
        <v>1239</v>
      </c>
      <c r="H64" t="s">
        <v>2016</v>
      </c>
      <c r="I64" t="s">
        <v>2854</v>
      </c>
      <c r="J64" t="s">
        <v>3147</v>
      </c>
      <c r="K64">
        <v>10463</v>
      </c>
      <c r="L64" t="s">
        <v>3185</v>
      </c>
      <c r="M64" t="s">
        <v>3190</v>
      </c>
      <c r="N64" t="s">
        <v>3186</v>
      </c>
      <c r="O64" t="s">
        <v>3221</v>
      </c>
      <c r="P64" t="s">
        <v>3610</v>
      </c>
      <c r="Q64" t="s">
        <v>3637</v>
      </c>
      <c r="S64" t="s">
        <v>214</v>
      </c>
      <c r="T64" t="s">
        <v>3660</v>
      </c>
      <c r="U64" t="s">
        <v>3184</v>
      </c>
      <c r="W64" t="s">
        <v>3670</v>
      </c>
      <c r="Y64">
        <v>1133</v>
      </c>
      <c r="Z64" t="s">
        <v>3689</v>
      </c>
      <c r="AA64" t="s">
        <v>3632</v>
      </c>
      <c r="AC64" t="s">
        <v>3781</v>
      </c>
      <c r="AD64" t="s">
        <v>4771</v>
      </c>
      <c r="AE64" t="s">
        <v>4925</v>
      </c>
      <c r="AF64">
        <v>84</v>
      </c>
      <c r="AG64" t="s">
        <v>5813</v>
      </c>
      <c r="AH64" t="s">
        <v>3188</v>
      </c>
      <c r="AI64">
        <v>5</v>
      </c>
      <c r="AJ64">
        <v>1</v>
      </c>
      <c r="AK64">
        <v>1</v>
      </c>
      <c r="AL64">
        <v>60.86</v>
      </c>
      <c r="AO64" t="s">
        <v>5844</v>
      </c>
      <c r="AP64">
        <v>10292.04</v>
      </c>
      <c r="AV64">
        <v>8.9</v>
      </c>
      <c r="AW64" t="s">
        <v>207</v>
      </c>
      <c r="AX64" t="s">
        <v>6009</v>
      </c>
    </row>
    <row r="65" spans="1:50">
      <c r="A65" s="1">
        <f>HYPERLINK("https://lsnyc.legalserver.org/matter/dynamic-profile/view/1904621","19-1904621")</f>
        <v>0</v>
      </c>
      <c r="B65" t="s">
        <v>66</v>
      </c>
      <c r="C65" t="s">
        <v>191</v>
      </c>
      <c r="D65" t="s">
        <v>214</v>
      </c>
      <c r="F65" t="s">
        <v>493</v>
      </c>
      <c r="G65" t="s">
        <v>1240</v>
      </c>
      <c r="H65" t="s">
        <v>2017</v>
      </c>
      <c r="I65" t="s">
        <v>2855</v>
      </c>
      <c r="J65" t="s">
        <v>3146</v>
      </c>
      <c r="K65">
        <v>10033</v>
      </c>
      <c r="L65" t="s">
        <v>3185</v>
      </c>
      <c r="M65" t="s">
        <v>3189</v>
      </c>
      <c r="N65" t="s">
        <v>3186</v>
      </c>
      <c r="O65" t="s">
        <v>3222</v>
      </c>
      <c r="P65" t="s">
        <v>3610</v>
      </c>
      <c r="Q65" t="s">
        <v>3637</v>
      </c>
      <c r="S65" t="s">
        <v>214</v>
      </c>
      <c r="T65" t="s">
        <v>3660</v>
      </c>
      <c r="U65" t="s">
        <v>3184</v>
      </c>
      <c r="W65" t="s">
        <v>3670</v>
      </c>
      <c r="Y65">
        <v>868.62</v>
      </c>
      <c r="Z65" t="s">
        <v>3689</v>
      </c>
      <c r="AA65" t="s">
        <v>3698</v>
      </c>
      <c r="AC65" t="s">
        <v>3782</v>
      </c>
      <c r="AE65" t="s">
        <v>4926</v>
      </c>
      <c r="AF65">
        <v>39</v>
      </c>
      <c r="AG65" t="s">
        <v>5813</v>
      </c>
      <c r="AH65" t="s">
        <v>3188</v>
      </c>
      <c r="AI65">
        <v>46</v>
      </c>
      <c r="AJ65">
        <v>2</v>
      </c>
      <c r="AK65">
        <v>3</v>
      </c>
      <c r="AL65">
        <v>116.01</v>
      </c>
      <c r="AO65" t="s">
        <v>5843</v>
      </c>
      <c r="AP65">
        <v>35000</v>
      </c>
      <c r="AV65">
        <v>2.2</v>
      </c>
      <c r="AW65" t="s">
        <v>282</v>
      </c>
      <c r="AX65" t="s">
        <v>6009</v>
      </c>
    </row>
    <row r="66" spans="1:50">
      <c r="A66" s="1">
        <f>HYPERLINK("https://lsnyc.legalserver.org/matter/dynamic-profile/view/1857459","18-1857459")</f>
        <v>0</v>
      </c>
      <c r="B66" t="s">
        <v>60</v>
      </c>
      <c r="C66" t="s">
        <v>191</v>
      </c>
      <c r="D66" t="s">
        <v>230</v>
      </c>
      <c r="F66" t="s">
        <v>491</v>
      </c>
      <c r="G66" t="s">
        <v>1238</v>
      </c>
      <c r="H66" t="s">
        <v>1997</v>
      </c>
      <c r="I66" t="s">
        <v>2853</v>
      </c>
      <c r="J66" t="s">
        <v>3147</v>
      </c>
      <c r="K66">
        <v>10452</v>
      </c>
      <c r="L66" t="s">
        <v>3186</v>
      </c>
      <c r="N66" t="s">
        <v>3185</v>
      </c>
      <c r="O66" t="s">
        <v>3219</v>
      </c>
      <c r="P66" t="s">
        <v>3618</v>
      </c>
      <c r="Q66" t="s">
        <v>3639</v>
      </c>
      <c r="T66" t="s">
        <v>3660</v>
      </c>
      <c r="U66" t="s">
        <v>3185</v>
      </c>
      <c r="W66" t="s">
        <v>3670</v>
      </c>
      <c r="Y66">
        <v>1197.41</v>
      </c>
      <c r="Z66" t="s">
        <v>3690</v>
      </c>
      <c r="AA66" t="s">
        <v>3700</v>
      </c>
      <c r="AC66" t="s">
        <v>3780</v>
      </c>
      <c r="AD66" t="s">
        <v>4772</v>
      </c>
      <c r="AF66">
        <v>122</v>
      </c>
      <c r="AG66" t="s">
        <v>5813</v>
      </c>
      <c r="AH66" t="s">
        <v>3188</v>
      </c>
      <c r="AI66">
        <v>0</v>
      </c>
      <c r="AJ66">
        <v>2</v>
      </c>
      <c r="AK66">
        <v>5</v>
      </c>
      <c r="AL66">
        <v>61.93</v>
      </c>
      <c r="AO66" t="s">
        <v>5843</v>
      </c>
      <c r="AP66">
        <v>23000</v>
      </c>
      <c r="AQ66" t="s">
        <v>5864</v>
      </c>
      <c r="AV66">
        <v>0</v>
      </c>
      <c r="AX66" t="s">
        <v>6019</v>
      </c>
    </row>
    <row r="67" spans="1:50">
      <c r="A67" s="1">
        <f>HYPERLINK("https://lsnyc.legalserver.org/matter/dynamic-profile/view/1906227","19-1906227")</f>
        <v>0</v>
      </c>
      <c r="B67" t="s">
        <v>60</v>
      </c>
      <c r="C67" t="s">
        <v>191</v>
      </c>
      <c r="D67" t="s">
        <v>219</v>
      </c>
      <c r="F67" t="s">
        <v>494</v>
      </c>
      <c r="G67" t="s">
        <v>1241</v>
      </c>
      <c r="H67" t="s">
        <v>2018</v>
      </c>
      <c r="I67" t="s">
        <v>2844</v>
      </c>
      <c r="J67" t="s">
        <v>3147</v>
      </c>
      <c r="K67">
        <v>10451</v>
      </c>
      <c r="L67" t="s">
        <v>3186</v>
      </c>
      <c r="M67" t="s">
        <v>3190</v>
      </c>
      <c r="N67" t="s">
        <v>3186</v>
      </c>
      <c r="P67" t="s">
        <v>3612</v>
      </c>
      <c r="T67" t="s">
        <v>3660</v>
      </c>
      <c r="W67" t="s">
        <v>3670</v>
      </c>
      <c r="Y67">
        <v>1325</v>
      </c>
      <c r="Z67" t="s">
        <v>3690</v>
      </c>
      <c r="AA67" t="s">
        <v>3700</v>
      </c>
      <c r="AC67" t="s">
        <v>3783</v>
      </c>
      <c r="AD67" t="s">
        <v>4773</v>
      </c>
      <c r="AE67" t="s">
        <v>4927</v>
      </c>
      <c r="AF67">
        <v>0</v>
      </c>
      <c r="AG67" t="s">
        <v>5811</v>
      </c>
      <c r="AI67">
        <v>5</v>
      </c>
      <c r="AJ67">
        <v>1</v>
      </c>
      <c r="AK67">
        <v>3</v>
      </c>
      <c r="AL67">
        <v>20.97</v>
      </c>
      <c r="AO67" t="s">
        <v>5843</v>
      </c>
      <c r="AP67">
        <v>5400</v>
      </c>
      <c r="AV67">
        <v>0</v>
      </c>
      <c r="AX67" t="s">
        <v>6019</v>
      </c>
    </row>
    <row r="68" spans="1:50">
      <c r="A68" s="1">
        <f>HYPERLINK("https://lsnyc.legalserver.org/matter/dynamic-profile/view/1904892","19-1904892")</f>
        <v>0</v>
      </c>
      <c r="B68" t="s">
        <v>67</v>
      </c>
      <c r="C68" t="s">
        <v>192</v>
      </c>
      <c r="D68" t="s">
        <v>218</v>
      </c>
      <c r="E68" t="s">
        <v>265</v>
      </c>
      <c r="F68" t="s">
        <v>495</v>
      </c>
      <c r="G68" t="s">
        <v>1242</v>
      </c>
      <c r="H68" t="s">
        <v>2019</v>
      </c>
      <c r="I68" t="s">
        <v>2840</v>
      </c>
      <c r="J68" t="s">
        <v>3146</v>
      </c>
      <c r="K68">
        <v>10033</v>
      </c>
      <c r="L68" t="s">
        <v>3185</v>
      </c>
      <c r="M68" t="s">
        <v>3189</v>
      </c>
      <c r="N68" t="s">
        <v>3186</v>
      </c>
      <c r="P68" t="s">
        <v>3615</v>
      </c>
      <c r="Q68" t="s">
        <v>3634</v>
      </c>
      <c r="R68" t="s">
        <v>3642</v>
      </c>
      <c r="S68" t="s">
        <v>218</v>
      </c>
      <c r="T68" t="s">
        <v>3660</v>
      </c>
      <c r="U68" t="s">
        <v>3184</v>
      </c>
      <c r="W68" t="s">
        <v>3670</v>
      </c>
      <c r="Y68">
        <v>2100</v>
      </c>
      <c r="Z68" t="s">
        <v>3689</v>
      </c>
      <c r="AA68" t="s">
        <v>3697</v>
      </c>
      <c r="AB68" t="s">
        <v>3712</v>
      </c>
      <c r="AC68" t="s">
        <v>3784</v>
      </c>
      <c r="AE68" t="s">
        <v>4928</v>
      </c>
      <c r="AF68">
        <v>95</v>
      </c>
      <c r="AG68" t="s">
        <v>5813</v>
      </c>
      <c r="AH68" t="s">
        <v>3188</v>
      </c>
      <c r="AI68">
        <v>2</v>
      </c>
      <c r="AJ68">
        <v>2</v>
      </c>
      <c r="AK68">
        <v>0</v>
      </c>
      <c r="AL68">
        <v>709.64</v>
      </c>
      <c r="AO68" t="s">
        <v>5843</v>
      </c>
      <c r="AP68">
        <v>120000</v>
      </c>
      <c r="AV68">
        <v>1.1</v>
      </c>
      <c r="AW68" t="s">
        <v>272</v>
      </c>
      <c r="AX68" t="s">
        <v>108</v>
      </c>
    </row>
    <row r="69" spans="1:50">
      <c r="A69" s="1">
        <f>HYPERLINK("https://lsnyc.legalserver.org/matter/dynamic-profile/view/1910115","19-1910115")</f>
        <v>0</v>
      </c>
      <c r="B69" t="s">
        <v>67</v>
      </c>
      <c r="C69" t="s">
        <v>192</v>
      </c>
      <c r="D69" t="s">
        <v>198</v>
      </c>
      <c r="E69" t="s">
        <v>198</v>
      </c>
      <c r="F69" t="s">
        <v>496</v>
      </c>
      <c r="G69" t="s">
        <v>1243</v>
      </c>
      <c r="H69" t="s">
        <v>2020</v>
      </c>
      <c r="J69" t="s">
        <v>3146</v>
      </c>
      <c r="K69">
        <v>10033</v>
      </c>
      <c r="L69" t="s">
        <v>3185</v>
      </c>
      <c r="M69" t="s">
        <v>3189</v>
      </c>
      <c r="N69" t="s">
        <v>3186</v>
      </c>
      <c r="P69" t="s">
        <v>3612</v>
      </c>
      <c r="Q69" t="s">
        <v>3636</v>
      </c>
      <c r="R69" t="s">
        <v>3643</v>
      </c>
      <c r="S69" t="s">
        <v>198</v>
      </c>
      <c r="T69" t="s">
        <v>3660</v>
      </c>
      <c r="U69" t="s">
        <v>3184</v>
      </c>
      <c r="W69" t="s">
        <v>3670</v>
      </c>
      <c r="Y69">
        <v>1135</v>
      </c>
      <c r="Z69" t="s">
        <v>3689</v>
      </c>
      <c r="AA69" t="s">
        <v>3697</v>
      </c>
      <c r="AB69" t="s">
        <v>3716</v>
      </c>
      <c r="AC69" t="s">
        <v>3785</v>
      </c>
      <c r="AE69" t="s">
        <v>4929</v>
      </c>
      <c r="AF69">
        <v>12</v>
      </c>
      <c r="AG69" t="s">
        <v>5813</v>
      </c>
      <c r="AH69" t="s">
        <v>3188</v>
      </c>
      <c r="AI69">
        <v>39</v>
      </c>
      <c r="AJ69">
        <v>2</v>
      </c>
      <c r="AK69">
        <v>1</v>
      </c>
      <c r="AL69">
        <v>243.79</v>
      </c>
      <c r="AP69">
        <v>52000</v>
      </c>
      <c r="AV69">
        <v>0.7</v>
      </c>
      <c r="AW69" t="s">
        <v>198</v>
      </c>
      <c r="AX69" t="s">
        <v>108</v>
      </c>
    </row>
    <row r="70" spans="1:50">
      <c r="A70" s="1">
        <f>HYPERLINK("https://lsnyc.legalserver.org/matter/dynamic-profile/view/1903996","19-1903996")</f>
        <v>0</v>
      </c>
      <c r="B70" t="s">
        <v>67</v>
      </c>
      <c r="C70" t="s">
        <v>191</v>
      </c>
      <c r="D70" t="s">
        <v>232</v>
      </c>
      <c r="F70" t="s">
        <v>497</v>
      </c>
      <c r="G70" t="s">
        <v>1244</v>
      </c>
      <c r="H70" t="s">
        <v>2021</v>
      </c>
      <c r="I70" t="s">
        <v>2856</v>
      </c>
      <c r="J70" t="s">
        <v>3146</v>
      </c>
      <c r="K70">
        <v>10033</v>
      </c>
      <c r="L70" t="s">
        <v>3185</v>
      </c>
      <c r="M70" t="s">
        <v>3189</v>
      </c>
      <c r="N70" t="s">
        <v>3186</v>
      </c>
      <c r="P70" t="s">
        <v>3619</v>
      </c>
      <c r="Q70" t="s">
        <v>3636</v>
      </c>
      <c r="S70" t="s">
        <v>285</v>
      </c>
      <c r="T70" t="s">
        <v>3660</v>
      </c>
      <c r="U70" t="s">
        <v>3184</v>
      </c>
      <c r="W70" t="s">
        <v>3670</v>
      </c>
      <c r="X70" t="s">
        <v>3681</v>
      </c>
      <c r="Y70">
        <v>2500</v>
      </c>
      <c r="Z70" t="s">
        <v>3689</v>
      </c>
      <c r="AA70" t="s">
        <v>3697</v>
      </c>
      <c r="AC70" t="s">
        <v>3786</v>
      </c>
      <c r="AE70" t="s">
        <v>4930</v>
      </c>
      <c r="AF70">
        <v>95</v>
      </c>
      <c r="AG70" t="s">
        <v>5814</v>
      </c>
      <c r="AH70" t="s">
        <v>3188</v>
      </c>
      <c r="AI70">
        <v>7</v>
      </c>
      <c r="AJ70">
        <v>2</v>
      </c>
      <c r="AK70">
        <v>1</v>
      </c>
      <c r="AL70">
        <v>133.9</v>
      </c>
      <c r="AO70" t="s">
        <v>5843</v>
      </c>
      <c r="AP70">
        <v>28560</v>
      </c>
      <c r="AV70">
        <v>6.9</v>
      </c>
      <c r="AW70" t="s">
        <v>197</v>
      </c>
      <c r="AX70" t="s">
        <v>6007</v>
      </c>
    </row>
    <row r="71" spans="1:50">
      <c r="A71" s="1">
        <f>HYPERLINK("https://lsnyc.legalserver.org/matter/dynamic-profile/view/1904523","19-1904523")</f>
        <v>0</v>
      </c>
      <c r="B71" t="s">
        <v>67</v>
      </c>
      <c r="C71" t="s">
        <v>191</v>
      </c>
      <c r="D71" t="s">
        <v>233</v>
      </c>
      <c r="F71" t="s">
        <v>498</v>
      </c>
      <c r="G71" t="s">
        <v>1245</v>
      </c>
      <c r="H71" t="s">
        <v>2022</v>
      </c>
      <c r="I71">
        <v>31</v>
      </c>
      <c r="J71" t="s">
        <v>3146</v>
      </c>
      <c r="K71">
        <v>10034</v>
      </c>
      <c r="L71" t="s">
        <v>3185</v>
      </c>
      <c r="M71" t="s">
        <v>3189</v>
      </c>
      <c r="N71" t="s">
        <v>3186</v>
      </c>
      <c r="P71" t="s">
        <v>3620</v>
      </c>
      <c r="Q71" t="s">
        <v>3635</v>
      </c>
      <c r="S71" t="s">
        <v>233</v>
      </c>
      <c r="T71" t="s">
        <v>3660</v>
      </c>
      <c r="U71" t="s">
        <v>3184</v>
      </c>
      <c r="W71" t="s">
        <v>3670</v>
      </c>
      <c r="Y71">
        <v>1013.58</v>
      </c>
      <c r="Z71" t="s">
        <v>3689</v>
      </c>
      <c r="AA71" t="s">
        <v>3696</v>
      </c>
      <c r="AC71" t="s">
        <v>3787</v>
      </c>
      <c r="AE71" t="s">
        <v>4931</v>
      </c>
      <c r="AF71">
        <v>25</v>
      </c>
      <c r="AG71" t="s">
        <v>5813</v>
      </c>
      <c r="AH71" t="s">
        <v>5827</v>
      </c>
      <c r="AI71">
        <v>50</v>
      </c>
      <c r="AJ71">
        <v>2</v>
      </c>
      <c r="AK71">
        <v>0</v>
      </c>
      <c r="AL71">
        <v>105.38</v>
      </c>
      <c r="AN71" t="s">
        <v>5841</v>
      </c>
      <c r="AO71" t="s">
        <v>5844</v>
      </c>
      <c r="AP71">
        <v>17820</v>
      </c>
      <c r="AV71">
        <v>5.4</v>
      </c>
      <c r="AW71" t="s">
        <v>211</v>
      </c>
      <c r="AX71" t="s">
        <v>108</v>
      </c>
    </row>
    <row r="72" spans="1:50">
      <c r="A72" s="1">
        <f>HYPERLINK("https://lsnyc.legalserver.org/matter/dynamic-profile/view/1904896","19-1904896")</f>
        <v>0</v>
      </c>
      <c r="B72" t="s">
        <v>67</v>
      </c>
      <c r="C72" t="s">
        <v>191</v>
      </c>
      <c r="D72" t="s">
        <v>218</v>
      </c>
      <c r="F72" t="s">
        <v>463</v>
      </c>
      <c r="G72" t="s">
        <v>1246</v>
      </c>
      <c r="H72" t="s">
        <v>2023</v>
      </c>
      <c r="I72" t="s">
        <v>2857</v>
      </c>
      <c r="J72" t="s">
        <v>3146</v>
      </c>
      <c r="K72">
        <v>10034</v>
      </c>
      <c r="L72" t="s">
        <v>3185</v>
      </c>
      <c r="M72" t="s">
        <v>3189</v>
      </c>
      <c r="N72" t="s">
        <v>3186</v>
      </c>
      <c r="Q72" t="s">
        <v>3636</v>
      </c>
      <c r="S72" t="s">
        <v>218</v>
      </c>
      <c r="T72" t="s">
        <v>3660</v>
      </c>
      <c r="U72" t="s">
        <v>3184</v>
      </c>
      <c r="W72" t="s">
        <v>3670</v>
      </c>
      <c r="Y72">
        <v>1036.77</v>
      </c>
      <c r="Z72" t="s">
        <v>3689</v>
      </c>
      <c r="AA72" t="s">
        <v>3697</v>
      </c>
      <c r="AC72" t="s">
        <v>3788</v>
      </c>
      <c r="AE72" t="s">
        <v>4932</v>
      </c>
      <c r="AF72">
        <v>65</v>
      </c>
      <c r="AG72" t="s">
        <v>5813</v>
      </c>
      <c r="AH72" t="s">
        <v>3188</v>
      </c>
      <c r="AI72">
        <v>4</v>
      </c>
      <c r="AJ72">
        <v>1</v>
      </c>
      <c r="AK72">
        <v>0</v>
      </c>
      <c r="AL72">
        <v>76.86</v>
      </c>
      <c r="AO72" t="s">
        <v>5843</v>
      </c>
      <c r="AP72">
        <v>9600</v>
      </c>
      <c r="AV72">
        <v>1.9</v>
      </c>
      <c r="AW72" t="s">
        <v>251</v>
      </c>
      <c r="AX72" t="s">
        <v>108</v>
      </c>
    </row>
    <row r="73" spans="1:50">
      <c r="A73" s="1">
        <f>HYPERLINK("https://lsnyc.legalserver.org/matter/dynamic-profile/view/1904895","19-1904895")</f>
        <v>0</v>
      </c>
      <c r="B73" t="s">
        <v>67</v>
      </c>
      <c r="C73" t="s">
        <v>191</v>
      </c>
      <c r="D73" t="s">
        <v>218</v>
      </c>
      <c r="F73" t="s">
        <v>499</v>
      </c>
      <c r="G73" t="s">
        <v>1247</v>
      </c>
      <c r="H73" t="s">
        <v>2024</v>
      </c>
      <c r="I73" t="s">
        <v>2858</v>
      </c>
      <c r="J73" t="s">
        <v>3146</v>
      </c>
      <c r="K73">
        <v>10034</v>
      </c>
      <c r="L73" t="s">
        <v>3185</v>
      </c>
      <c r="M73" t="s">
        <v>3189</v>
      </c>
      <c r="N73" t="s">
        <v>3186</v>
      </c>
      <c r="Q73" t="s">
        <v>3636</v>
      </c>
      <c r="S73" t="s">
        <v>218</v>
      </c>
      <c r="T73" t="s">
        <v>3660</v>
      </c>
      <c r="U73" t="s">
        <v>3184</v>
      </c>
      <c r="W73" t="s">
        <v>3670</v>
      </c>
      <c r="Y73">
        <v>2350</v>
      </c>
      <c r="Z73" t="s">
        <v>3689</v>
      </c>
      <c r="AA73" t="s">
        <v>3697</v>
      </c>
      <c r="AC73" t="s">
        <v>3789</v>
      </c>
      <c r="AE73" t="s">
        <v>4933</v>
      </c>
      <c r="AF73">
        <v>41</v>
      </c>
      <c r="AG73" t="s">
        <v>5814</v>
      </c>
      <c r="AH73" t="s">
        <v>3188</v>
      </c>
      <c r="AI73">
        <v>3</v>
      </c>
      <c r="AJ73">
        <v>1</v>
      </c>
      <c r="AK73">
        <v>0</v>
      </c>
      <c r="AL73">
        <v>192.15</v>
      </c>
      <c r="AO73" t="s">
        <v>5843</v>
      </c>
      <c r="AP73">
        <v>24000</v>
      </c>
      <c r="AV73">
        <v>2.2</v>
      </c>
      <c r="AW73" t="s">
        <v>261</v>
      </c>
      <c r="AX73" t="s">
        <v>108</v>
      </c>
    </row>
    <row r="74" spans="1:50">
      <c r="A74" s="1">
        <f>HYPERLINK("https://lsnyc.legalserver.org/matter/dynamic-profile/view/1905954","19-1905954")</f>
        <v>0</v>
      </c>
      <c r="B74" t="s">
        <v>67</v>
      </c>
      <c r="C74" t="s">
        <v>191</v>
      </c>
      <c r="D74" t="s">
        <v>200</v>
      </c>
      <c r="F74" t="s">
        <v>463</v>
      </c>
      <c r="G74" t="s">
        <v>1248</v>
      </c>
      <c r="H74" t="s">
        <v>2025</v>
      </c>
      <c r="I74">
        <v>22</v>
      </c>
      <c r="J74" t="s">
        <v>3146</v>
      </c>
      <c r="K74">
        <v>10033</v>
      </c>
      <c r="L74" t="s">
        <v>3185</v>
      </c>
      <c r="M74" t="s">
        <v>3189</v>
      </c>
      <c r="N74" t="s">
        <v>3186</v>
      </c>
      <c r="P74" t="s">
        <v>3615</v>
      </c>
      <c r="Q74" t="s">
        <v>3634</v>
      </c>
      <c r="S74" t="s">
        <v>200</v>
      </c>
      <c r="T74" t="s">
        <v>3660</v>
      </c>
      <c r="U74" t="s">
        <v>3184</v>
      </c>
      <c r="W74" t="s">
        <v>3670</v>
      </c>
      <c r="Y74">
        <v>1296.98</v>
      </c>
      <c r="Z74" t="s">
        <v>3689</v>
      </c>
      <c r="AA74" t="s">
        <v>3705</v>
      </c>
      <c r="AB74" t="s">
        <v>3712</v>
      </c>
      <c r="AC74" t="s">
        <v>3790</v>
      </c>
      <c r="AE74" t="s">
        <v>4934</v>
      </c>
      <c r="AF74">
        <v>41</v>
      </c>
      <c r="AG74" t="s">
        <v>5813</v>
      </c>
      <c r="AH74" t="s">
        <v>3188</v>
      </c>
      <c r="AI74">
        <v>26</v>
      </c>
      <c r="AJ74">
        <v>1</v>
      </c>
      <c r="AK74">
        <v>0</v>
      </c>
      <c r="AL74">
        <v>74.72</v>
      </c>
      <c r="AO74" t="s">
        <v>5844</v>
      </c>
      <c r="AP74">
        <v>9332.440000000001</v>
      </c>
      <c r="AV74">
        <v>1.7</v>
      </c>
      <c r="AW74" t="s">
        <v>198</v>
      </c>
      <c r="AX74" t="s">
        <v>108</v>
      </c>
    </row>
    <row r="75" spans="1:50">
      <c r="A75" s="1">
        <f>HYPERLINK("https://lsnyc.legalserver.org/matter/dynamic-profile/view/1906049","19-1906049")</f>
        <v>0</v>
      </c>
      <c r="B75" t="s">
        <v>67</v>
      </c>
      <c r="C75" t="s">
        <v>191</v>
      </c>
      <c r="D75" t="s">
        <v>208</v>
      </c>
      <c r="F75" t="s">
        <v>500</v>
      </c>
      <c r="G75" t="s">
        <v>1249</v>
      </c>
      <c r="H75" t="s">
        <v>2026</v>
      </c>
      <c r="I75" t="s">
        <v>2859</v>
      </c>
      <c r="J75" t="s">
        <v>3146</v>
      </c>
      <c r="K75">
        <v>10033</v>
      </c>
      <c r="L75" t="s">
        <v>3185</v>
      </c>
      <c r="M75" t="s">
        <v>3189</v>
      </c>
      <c r="N75" t="s">
        <v>3186</v>
      </c>
      <c r="Q75" t="s">
        <v>3634</v>
      </c>
      <c r="S75" t="s">
        <v>208</v>
      </c>
      <c r="T75" t="s">
        <v>3660</v>
      </c>
      <c r="U75" t="s">
        <v>3184</v>
      </c>
      <c r="W75" t="s">
        <v>3670</v>
      </c>
      <c r="Y75">
        <v>2668</v>
      </c>
      <c r="Z75" t="s">
        <v>3689</v>
      </c>
      <c r="AA75" t="s">
        <v>3696</v>
      </c>
      <c r="AC75" t="s">
        <v>3791</v>
      </c>
      <c r="AE75" t="s">
        <v>4935</v>
      </c>
      <c r="AF75">
        <v>480</v>
      </c>
      <c r="AG75" t="s">
        <v>5813</v>
      </c>
      <c r="AH75" t="s">
        <v>3188</v>
      </c>
      <c r="AI75">
        <v>5</v>
      </c>
      <c r="AJ75">
        <v>1</v>
      </c>
      <c r="AK75">
        <v>0</v>
      </c>
      <c r="AL75">
        <v>60.53</v>
      </c>
      <c r="AO75" t="s">
        <v>5844</v>
      </c>
      <c r="AP75">
        <v>7560</v>
      </c>
      <c r="AV75">
        <v>1.9</v>
      </c>
      <c r="AW75" t="s">
        <v>208</v>
      </c>
      <c r="AX75" t="s">
        <v>108</v>
      </c>
    </row>
    <row r="76" spans="1:50">
      <c r="A76" s="1">
        <f>HYPERLINK("https://lsnyc.legalserver.org/matter/dynamic-profile/view/1906099","19-1906099")</f>
        <v>0</v>
      </c>
      <c r="B76" t="s">
        <v>67</v>
      </c>
      <c r="C76" t="s">
        <v>191</v>
      </c>
      <c r="D76" t="s">
        <v>208</v>
      </c>
      <c r="F76" t="s">
        <v>501</v>
      </c>
      <c r="G76" t="s">
        <v>1250</v>
      </c>
      <c r="H76" t="s">
        <v>2027</v>
      </c>
      <c r="I76" t="s">
        <v>2860</v>
      </c>
      <c r="J76" t="s">
        <v>3146</v>
      </c>
      <c r="K76">
        <v>10034</v>
      </c>
      <c r="L76" t="s">
        <v>3185</v>
      </c>
      <c r="M76" t="s">
        <v>3189</v>
      </c>
      <c r="N76" t="s">
        <v>3186</v>
      </c>
      <c r="P76" t="s">
        <v>3615</v>
      </c>
      <c r="Q76" t="s">
        <v>3636</v>
      </c>
      <c r="S76" t="s">
        <v>208</v>
      </c>
      <c r="T76" t="s">
        <v>3660</v>
      </c>
      <c r="U76" t="s">
        <v>3184</v>
      </c>
      <c r="W76" t="s">
        <v>3670</v>
      </c>
      <c r="Y76">
        <v>175</v>
      </c>
      <c r="Z76" t="s">
        <v>3689</v>
      </c>
      <c r="AC76" t="s">
        <v>3792</v>
      </c>
      <c r="AE76" t="s">
        <v>4936</v>
      </c>
      <c r="AF76">
        <v>30</v>
      </c>
      <c r="AG76" t="s">
        <v>5813</v>
      </c>
      <c r="AH76" t="s">
        <v>3188</v>
      </c>
      <c r="AI76">
        <v>6</v>
      </c>
      <c r="AJ76">
        <v>1</v>
      </c>
      <c r="AK76">
        <v>0</v>
      </c>
      <c r="AL76">
        <v>69.97</v>
      </c>
      <c r="AO76" t="s">
        <v>5843</v>
      </c>
      <c r="AP76">
        <v>8739</v>
      </c>
      <c r="AV76">
        <v>6.2</v>
      </c>
      <c r="AW76" t="s">
        <v>198</v>
      </c>
      <c r="AX76" t="s">
        <v>108</v>
      </c>
    </row>
    <row r="77" spans="1:50">
      <c r="A77" s="1">
        <f>HYPERLINK("https://lsnyc.legalserver.org/matter/dynamic-profile/view/1906125","19-1906125")</f>
        <v>0</v>
      </c>
      <c r="B77" t="s">
        <v>67</v>
      </c>
      <c r="C77" t="s">
        <v>191</v>
      </c>
      <c r="D77" t="s">
        <v>208</v>
      </c>
      <c r="F77" t="s">
        <v>502</v>
      </c>
      <c r="G77" t="s">
        <v>1251</v>
      </c>
      <c r="H77" t="s">
        <v>1965</v>
      </c>
      <c r="I77" t="s">
        <v>2829</v>
      </c>
      <c r="J77" t="s">
        <v>3146</v>
      </c>
      <c r="K77">
        <v>10040</v>
      </c>
      <c r="L77" t="s">
        <v>3185</v>
      </c>
      <c r="M77" t="s">
        <v>3189</v>
      </c>
      <c r="N77" t="s">
        <v>3186</v>
      </c>
      <c r="O77" t="s">
        <v>3223</v>
      </c>
      <c r="P77" t="s">
        <v>3610</v>
      </c>
      <c r="Q77" t="s">
        <v>3638</v>
      </c>
      <c r="S77" t="s">
        <v>208</v>
      </c>
      <c r="T77" t="s">
        <v>3660</v>
      </c>
      <c r="U77" t="s">
        <v>3184</v>
      </c>
      <c r="W77" t="s">
        <v>3670</v>
      </c>
      <c r="X77" t="s">
        <v>3681</v>
      </c>
      <c r="Y77">
        <v>1143.13</v>
      </c>
      <c r="Z77" t="s">
        <v>3689</v>
      </c>
      <c r="AA77" t="s">
        <v>3696</v>
      </c>
      <c r="AC77" t="s">
        <v>3793</v>
      </c>
      <c r="AE77" t="s">
        <v>4937</v>
      </c>
      <c r="AF77">
        <v>42</v>
      </c>
      <c r="AG77" t="s">
        <v>5813</v>
      </c>
      <c r="AH77" t="s">
        <v>5826</v>
      </c>
      <c r="AI77">
        <v>29</v>
      </c>
      <c r="AJ77">
        <v>1</v>
      </c>
      <c r="AK77">
        <v>0</v>
      </c>
      <c r="AL77">
        <v>72.06</v>
      </c>
      <c r="AO77" t="s">
        <v>5843</v>
      </c>
      <c r="AP77">
        <v>9000</v>
      </c>
      <c r="AV77">
        <v>11.8</v>
      </c>
      <c r="AW77" t="s">
        <v>199</v>
      </c>
      <c r="AX77" t="s">
        <v>108</v>
      </c>
    </row>
    <row r="78" spans="1:50">
      <c r="A78" s="1">
        <f>HYPERLINK("https://lsnyc.legalserver.org/matter/dynamic-profile/view/1907459","19-1907459")</f>
        <v>0</v>
      </c>
      <c r="B78" t="s">
        <v>67</v>
      </c>
      <c r="C78" t="s">
        <v>191</v>
      </c>
      <c r="D78" t="s">
        <v>234</v>
      </c>
      <c r="F78" t="s">
        <v>503</v>
      </c>
      <c r="G78" t="s">
        <v>1252</v>
      </c>
      <c r="H78" t="s">
        <v>2028</v>
      </c>
      <c r="I78">
        <v>4</v>
      </c>
      <c r="J78" t="s">
        <v>3146</v>
      </c>
      <c r="K78">
        <v>10034</v>
      </c>
      <c r="L78" t="s">
        <v>3185</v>
      </c>
      <c r="M78" t="s">
        <v>3189</v>
      </c>
      <c r="N78" t="s">
        <v>3186</v>
      </c>
      <c r="Q78" t="s">
        <v>3637</v>
      </c>
      <c r="S78" t="s">
        <v>234</v>
      </c>
      <c r="T78" t="s">
        <v>3660</v>
      </c>
      <c r="U78" t="s">
        <v>3184</v>
      </c>
      <c r="W78" t="s">
        <v>3670</v>
      </c>
      <c r="Y78">
        <v>1384</v>
      </c>
      <c r="Z78" t="s">
        <v>3689</v>
      </c>
      <c r="AA78" t="s">
        <v>3697</v>
      </c>
      <c r="AC78" t="s">
        <v>3794</v>
      </c>
      <c r="AE78" t="s">
        <v>4938</v>
      </c>
      <c r="AF78">
        <v>20</v>
      </c>
      <c r="AG78" t="s">
        <v>5813</v>
      </c>
      <c r="AH78" t="s">
        <v>3188</v>
      </c>
      <c r="AI78">
        <v>7</v>
      </c>
      <c r="AJ78">
        <v>4</v>
      </c>
      <c r="AK78">
        <v>1</v>
      </c>
      <c r="AL78">
        <v>271.79</v>
      </c>
      <c r="AO78" t="s">
        <v>5844</v>
      </c>
      <c r="AP78">
        <v>82000</v>
      </c>
      <c r="AV78">
        <v>17.85</v>
      </c>
      <c r="AW78" t="s">
        <v>269</v>
      </c>
      <c r="AX78" t="s">
        <v>108</v>
      </c>
    </row>
    <row r="79" spans="1:50">
      <c r="A79" s="1">
        <f>HYPERLINK("https://lsnyc.legalserver.org/matter/dynamic-profile/view/1907576","19-1907576")</f>
        <v>0</v>
      </c>
      <c r="B79" t="s">
        <v>67</v>
      </c>
      <c r="C79" t="s">
        <v>191</v>
      </c>
      <c r="D79" t="s">
        <v>206</v>
      </c>
      <c r="F79" t="s">
        <v>504</v>
      </c>
      <c r="G79" t="s">
        <v>1253</v>
      </c>
      <c r="H79" t="s">
        <v>2029</v>
      </c>
      <c r="I79" t="s">
        <v>2861</v>
      </c>
      <c r="J79" t="s">
        <v>3146</v>
      </c>
      <c r="K79">
        <v>10034</v>
      </c>
      <c r="L79" t="s">
        <v>3185</v>
      </c>
      <c r="M79" t="s">
        <v>3189</v>
      </c>
      <c r="N79" t="s">
        <v>3186</v>
      </c>
      <c r="Q79" t="s">
        <v>3636</v>
      </c>
      <c r="S79" t="s">
        <v>206</v>
      </c>
      <c r="T79" t="s">
        <v>3660</v>
      </c>
      <c r="U79" t="s">
        <v>3184</v>
      </c>
      <c r="W79" t="s">
        <v>3670</v>
      </c>
      <c r="Y79">
        <v>0</v>
      </c>
      <c r="Z79" t="s">
        <v>3689</v>
      </c>
      <c r="AA79" t="s">
        <v>3697</v>
      </c>
      <c r="AC79" t="s">
        <v>3795</v>
      </c>
      <c r="AE79" t="s">
        <v>4939</v>
      </c>
      <c r="AF79">
        <v>25</v>
      </c>
      <c r="AG79" t="s">
        <v>5813</v>
      </c>
      <c r="AH79" t="s">
        <v>3188</v>
      </c>
      <c r="AI79">
        <v>14</v>
      </c>
      <c r="AJ79">
        <v>3</v>
      </c>
      <c r="AK79">
        <v>0</v>
      </c>
      <c r="AL79">
        <v>141.77</v>
      </c>
      <c r="AO79" t="s">
        <v>5844</v>
      </c>
      <c r="AP79">
        <v>30240</v>
      </c>
      <c r="AV79">
        <v>1.7</v>
      </c>
      <c r="AW79" t="s">
        <v>221</v>
      </c>
      <c r="AX79" t="s">
        <v>108</v>
      </c>
    </row>
    <row r="80" spans="1:50">
      <c r="A80" s="1">
        <f>HYPERLINK("https://lsnyc.legalserver.org/matter/dynamic-profile/view/1907581","19-1907581")</f>
        <v>0</v>
      </c>
      <c r="B80" t="s">
        <v>67</v>
      </c>
      <c r="C80" t="s">
        <v>191</v>
      </c>
      <c r="D80" t="s">
        <v>206</v>
      </c>
      <c r="F80" t="s">
        <v>505</v>
      </c>
      <c r="G80" t="s">
        <v>1254</v>
      </c>
      <c r="H80" t="s">
        <v>2030</v>
      </c>
      <c r="I80" t="s">
        <v>2862</v>
      </c>
      <c r="J80" t="s">
        <v>3146</v>
      </c>
      <c r="K80">
        <v>10034</v>
      </c>
      <c r="L80" t="s">
        <v>3185</v>
      </c>
      <c r="M80" t="s">
        <v>3189</v>
      </c>
      <c r="N80" t="s">
        <v>3186</v>
      </c>
      <c r="P80" t="s">
        <v>3615</v>
      </c>
      <c r="Q80" t="s">
        <v>3634</v>
      </c>
      <c r="S80" t="s">
        <v>206</v>
      </c>
      <c r="T80" t="s">
        <v>3660</v>
      </c>
      <c r="U80" t="s">
        <v>3184</v>
      </c>
      <c r="W80" t="s">
        <v>3670</v>
      </c>
      <c r="Y80">
        <v>2700</v>
      </c>
      <c r="Z80" t="s">
        <v>3689</v>
      </c>
      <c r="AA80" t="s">
        <v>3697</v>
      </c>
      <c r="AC80" t="s">
        <v>3796</v>
      </c>
      <c r="AF80">
        <v>65</v>
      </c>
      <c r="AG80" t="s">
        <v>5813</v>
      </c>
      <c r="AH80" t="s">
        <v>3188</v>
      </c>
      <c r="AI80">
        <v>25</v>
      </c>
      <c r="AJ80">
        <v>2</v>
      </c>
      <c r="AK80">
        <v>0</v>
      </c>
      <c r="AL80">
        <v>305.14</v>
      </c>
      <c r="AO80" t="s">
        <v>5845</v>
      </c>
      <c r="AP80">
        <v>51600</v>
      </c>
      <c r="AV80">
        <v>1.4</v>
      </c>
      <c r="AW80" t="s">
        <v>253</v>
      </c>
      <c r="AX80" t="s">
        <v>108</v>
      </c>
    </row>
    <row r="81" spans="1:50">
      <c r="A81" s="1">
        <f>HYPERLINK("https://lsnyc.legalserver.org/matter/dynamic-profile/view/1897622","19-1897622")</f>
        <v>0</v>
      </c>
      <c r="B81" t="s">
        <v>67</v>
      </c>
      <c r="C81" t="s">
        <v>191</v>
      </c>
      <c r="D81" t="s">
        <v>235</v>
      </c>
      <c r="F81" t="s">
        <v>506</v>
      </c>
      <c r="G81" t="s">
        <v>840</v>
      </c>
      <c r="H81" t="s">
        <v>2031</v>
      </c>
      <c r="I81">
        <v>24</v>
      </c>
      <c r="J81" t="s">
        <v>3146</v>
      </c>
      <c r="K81">
        <v>10033</v>
      </c>
      <c r="L81" t="s">
        <v>3185</v>
      </c>
      <c r="M81" t="s">
        <v>3189</v>
      </c>
      <c r="N81" t="s">
        <v>3185</v>
      </c>
      <c r="O81" t="s">
        <v>3224</v>
      </c>
      <c r="P81" t="s">
        <v>3610</v>
      </c>
      <c r="Q81" t="s">
        <v>3638</v>
      </c>
      <c r="S81" t="s">
        <v>251</v>
      </c>
      <c r="T81" t="s">
        <v>3660</v>
      </c>
      <c r="U81" t="s">
        <v>3184</v>
      </c>
      <c r="W81" t="s">
        <v>3670</v>
      </c>
      <c r="Y81">
        <v>816.66</v>
      </c>
      <c r="Z81" t="s">
        <v>3689</v>
      </c>
      <c r="AA81" t="s">
        <v>3697</v>
      </c>
      <c r="AC81" t="s">
        <v>3797</v>
      </c>
      <c r="AE81" t="s">
        <v>4940</v>
      </c>
      <c r="AF81">
        <v>20</v>
      </c>
      <c r="AG81" t="s">
        <v>5813</v>
      </c>
      <c r="AH81" t="s">
        <v>3188</v>
      </c>
      <c r="AI81">
        <v>23</v>
      </c>
      <c r="AJ81">
        <v>1</v>
      </c>
      <c r="AK81">
        <v>0</v>
      </c>
      <c r="AL81">
        <v>38.24</v>
      </c>
      <c r="AO81" t="s">
        <v>5844</v>
      </c>
      <c r="AP81">
        <v>4776</v>
      </c>
      <c r="AV81">
        <v>10.7</v>
      </c>
      <c r="AW81" t="s">
        <v>5974</v>
      </c>
      <c r="AX81" t="s">
        <v>108</v>
      </c>
    </row>
    <row r="82" spans="1:50">
      <c r="A82" s="1">
        <f>HYPERLINK("https://lsnyc.legalserver.org/matter/dynamic-profile/view/1909353","19-1909353")</f>
        <v>0</v>
      </c>
      <c r="B82" t="s">
        <v>67</v>
      </c>
      <c r="C82" t="s">
        <v>191</v>
      </c>
      <c r="D82" t="s">
        <v>222</v>
      </c>
      <c r="F82" t="s">
        <v>507</v>
      </c>
      <c r="G82" t="s">
        <v>1255</v>
      </c>
      <c r="H82" t="s">
        <v>2032</v>
      </c>
      <c r="I82" t="s">
        <v>2814</v>
      </c>
      <c r="J82" t="s">
        <v>3146</v>
      </c>
      <c r="K82">
        <v>10034</v>
      </c>
      <c r="L82" t="s">
        <v>3185</v>
      </c>
      <c r="M82" t="s">
        <v>3189</v>
      </c>
      <c r="N82" t="s">
        <v>3186</v>
      </c>
      <c r="Q82" t="s">
        <v>3637</v>
      </c>
      <c r="S82" t="s">
        <v>222</v>
      </c>
      <c r="T82" t="s">
        <v>3660</v>
      </c>
      <c r="U82" t="s">
        <v>3184</v>
      </c>
      <c r="W82" t="s">
        <v>3670</v>
      </c>
      <c r="Y82">
        <v>0</v>
      </c>
      <c r="Z82" t="s">
        <v>3689</v>
      </c>
      <c r="AA82" t="s">
        <v>3697</v>
      </c>
      <c r="AC82" t="s">
        <v>3798</v>
      </c>
      <c r="AE82" t="s">
        <v>4941</v>
      </c>
      <c r="AF82">
        <v>22</v>
      </c>
      <c r="AG82" t="s">
        <v>5813</v>
      </c>
      <c r="AH82" t="s">
        <v>3188</v>
      </c>
      <c r="AI82">
        <v>15</v>
      </c>
      <c r="AJ82">
        <v>1</v>
      </c>
      <c r="AK82">
        <v>0</v>
      </c>
      <c r="AL82">
        <v>119.23</v>
      </c>
      <c r="AO82" t="s">
        <v>5844</v>
      </c>
      <c r="AP82">
        <v>14892</v>
      </c>
      <c r="AV82">
        <v>2</v>
      </c>
      <c r="AW82" t="s">
        <v>221</v>
      </c>
      <c r="AX82" t="s">
        <v>108</v>
      </c>
    </row>
    <row r="83" spans="1:50">
      <c r="A83" s="1">
        <f>HYPERLINK("https://lsnyc.legalserver.org/matter/dynamic-profile/view/1910113","19-1910113")</f>
        <v>0</v>
      </c>
      <c r="B83" t="s">
        <v>67</v>
      </c>
      <c r="C83" t="s">
        <v>191</v>
      </c>
      <c r="D83" t="s">
        <v>198</v>
      </c>
      <c r="F83" t="s">
        <v>508</v>
      </c>
      <c r="G83" t="s">
        <v>1256</v>
      </c>
      <c r="H83" t="s">
        <v>1966</v>
      </c>
      <c r="J83" t="s">
        <v>3146</v>
      </c>
      <c r="K83">
        <v>10033</v>
      </c>
      <c r="L83" t="s">
        <v>3185</v>
      </c>
      <c r="M83" t="s">
        <v>3189</v>
      </c>
      <c r="N83" t="s">
        <v>3186</v>
      </c>
      <c r="P83" t="s">
        <v>3612</v>
      </c>
      <c r="Q83" t="s">
        <v>3636</v>
      </c>
      <c r="S83" t="s">
        <v>198</v>
      </c>
      <c r="T83" t="s">
        <v>3660</v>
      </c>
      <c r="U83" t="s">
        <v>3185</v>
      </c>
      <c r="W83" t="s">
        <v>3670</v>
      </c>
      <c r="Y83">
        <v>650</v>
      </c>
      <c r="Z83" t="s">
        <v>3689</v>
      </c>
      <c r="AA83" t="s">
        <v>3697</v>
      </c>
      <c r="AC83" t="s">
        <v>3799</v>
      </c>
      <c r="AE83" t="s">
        <v>4942</v>
      </c>
      <c r="AF83">
        <v>12</v>
      </c>
      <c r="AG83" t="s">
        <v>5813</v>
      </c>
      <c r="AH83" t="s">
        <v>3188</v>
      </c>
      <c r="AI83">
        <v>1</v>
      </c>
      <c r="AJ83">
        <v>1</v>
      </c>
      <c r="AK83">
        <v>0</v>
      </c>
      <c r="AL83">
        <v>135.31</v>
      </c>
      <c r="AO83" t="s">
        <v>5843</v>
      </c>
      <c r="AP83">
        <v>16900</v>
      </c>
      <c r="AV83">
        <v>0</v>
      </c>
      <c r="AX83" t="s">
        <v>108</v>
      </c>
    </row>
    <row r="84" spans="1:50">
      <c r="A84" s="1">
        <f>HYPERLINK("https://lsnyc.legalserver.org/matter/dynamic-profile/view/1857032","18-1857032")</f>
        <v>0</v>
      </c>
      <c r="B84" t="s">
        <v>60</v>
      </c>
      <c r="C84" t="s">
        <v>191</v>
      </c>
      <c r="D84" t="s">
        <v>224</v>
      </c>
      <c r="F84" t="s">
        <v>509</v>
      </c>
      <c r="G84" t="s">
        <v>1257</v>
      </c>
      <c r="H84" t="s">
        <v>1997</v>
      </c>
      <c r="I84" t="s">
        <v>2863</v>
      </c>
      <c r="J84" t="s">
        <v>3147</v>
      </c>
      <c r="K84">
        <v>10452</v>
      </c>
      <c r="L84" t="s">
        <v>3186</v>
      </c>
      <c r="N84" t="s">
        <v>3186</v>
      </c>
      <c r="P84" t="s">
        <v>3618</v>
      </c>
      <c r="Q84" t="s">
        <v>3639</v>
      </c>
      <c r="T84" t="s">
        <v>3660</v>
      </c>
      <c r="U84" t="s">
        <v>3185</v>
      </c>
      <c r="W84" t="s">
        <v>3670</v>
      </c>
      <c r="Y84">
        <v>1050</v>
      </c>
      <c r="Z84" t="s">
        <v>3690</v>
      </c>
      <c r="AA84" t="s">
        <v>3700</v>
      </c>
      <c r="AC84" t="s">
        <v>3800</v>
      </c>
      <c r="AE84" t="s">
        <v>4943</v>
      </c>
      <c r="AF84">
        <v>122</v>
      </c>
      <c r="AG84" t="s">
        <v>5813</v>
      </c>
      <c r="AH84" t="s">
        <v>3188</v>
      </c>
      <c r="AI84">
        <v>2</v>
      </c>
      <c r="AJ84">
        <v>1</v>
      </c>
      <c r="AK84">
        <v>0</v>
      </c>
      <c r="AL84">
        <v>271.64</v>
      </c>
      <c r="AO84" t="s">
        <v>5843</v>
      </c>
      <c r="AP84">
        <v>32760</v>
      </c>
      <c r="AV84">
        <v>0</v>
      </c>
      <c r="AX84" t="s">
        <v>6019</v>
      </c>
    </row>
    <row r="85" spans="1:50">
      <c r="A85" s="1">
        <f>HYPERLINK("https://lsnyc.legalserver.org/matter/dynamic-profile/view/1857478","18-1857478")</f>
        <v>0</v>
      </c>
      <c r="B85" t="s">
        <v>60</v>
      </c>
      <c r="C85" t="s">
        <v>191</v>
      </c>
      <c r="D85" t="s">
        <v>230</v>
      </c>
      <c r="F85" t="s">
        <v>509</v>
      </c>
      <c r="G85" t="s">
        <v>1257</v>
      </c>
      <c r="H85" t="s">
        <v>1997</v>
      </c>
      <c r="I85" t="s">
        <v>2863</v>
      </c>
      <c r="J85" t="s">
        <v>3147</v>
      </c>
      <c r="K85">
        <v>10452</v>
      </c>
      <c r="L85" t="s">
        <v>3186</v>
      </c>
      <c r="N85" t="s">
        <v>3186</v>
      </c>
      <c r="O85" t="s">
        <v>3219</v>
      </c>
      <c r="P85" t="s">
        <v>3618</v>
      </c>
      <c r="Q85" t="s">
        <v>3639</v>
      </c>
      <c r="T85" t="s">
        <v>3660</v>
      </c>
      <c r="U85" t="s">
        <v>3185</v>
      </c>
      <c r="W85" t="s">
        <v>3670</v>
      </c>
      <c r="Y85">
        <v>1050</v>
      </c>
      <c r="Z85" t="s">
        <v>3690</v>
      </c>
      <c r="AA85" t="s">
        <v>3700</v>
      </c>
      <c r="AC85" t="s">
        <v>3800</v>
      </c>
      <c r="AE85" t="s">
        <v>4943</v>
      </c>
      <c r="AF85">
        <v>122</v>
      </c>
      <c r="AG85" t="s">
        <v>5813</v>
      </c>
      <c r="AH85" t="s">
        <v>3188</v>
      </c>
      <c r="AI85">
        <v>2</v>
      </c>
      <c r="AJ85">
        <v>1</v>
      </c>
      <c r="AK85">
        <v>0</v>
      </c>
      <c r="AL85">
        <v>271.64</v>
      </c>
      <c r="AO85" t="s">
        <v>5843</v>
      </c>
      <c r="AP85">
        <v>32760</v>
      </c>
      <c r="AV85">
        <v>0.1</v>
      </c>
      <c r="AW85" t="s">
        <v>376</v>
      </c>
      <c r="AX85" t="s">
        <v>6019</v>
      </c>
    </row>
    <row r="86" spans="1:50">
      <c r="A86" s="1">
        <f>HYPERLINK("https://lsnyc.legalserver.org/matter/dynamic-profile/view/1904013","19-1904013")</f>
        <v>0</v>
      </c>
      <c r="B86" t="s">
        <v>60</v>
      </c>
      <c r="C86" t="s">
        <v>191</v>
      </c>
      <c r="D86" t="s">
        <v>232</v>
      </c>
      <c r="F86" t="s">
        <v>510</v>
      </c>
      <c r="G86" t="s">
        <v>1258</v>
      </c>
      <c r="H86" t="s">
        <v>2033</v>
      </c>
      <c r="I86">
        <v>2</v>
      </c>
      <c r="J86" t="s">
        <v>3147</v>
      </c>
      <c r="K86">
        <v>10460</v>
      </c>
      <c r="L86" t="s">
        <v>3186</v>
      </c>
      <c r="N86" t="s">
        <v>3186</v>
      </c>
      <c r="O86" t="s">
        <v>3225</v>
      </c>
      <c r="P86" t="s">
        <v>3610</v>
      </c>
      <c r="T86" t="s">
        <v>3660</v>
      </c>
      <c r="W86" t="s">
        <v>3670</v>
      </c>
      <c r="Y86">
        <v>1179</v>
      </c>
      <c r="Z86" t="s">
        <v>3690</v>
      </c>
      <c r="AA86" t="s">
        <v>3696</v>
      </c>
      <c r="AC86" t="s">
        <v>3801</v>
      </c>
      <c r="AE86" t="s">
        <v>4944</v>
      </c>
      <c r="AF86">
        <v>25</v>
      </c>
      <c r="AG86" t="s">
        <v>5813</v>
      </c>
      <c r="AH86" t="s">
        <v>3188</v>
      </c>
      <c r="AI86">
        <v>14</v>
      </c>
      <c r="AJ86">
        <v>1</v>
      </c>
      <c r="AK86">
        <v>0</v>
      </c>
      <c r="AL86">
        <v>99.92</v>
      </c>
      <c r="AO86" t="s">
        <v>5843</v>
      </c>
      <c r="AP86">
        <v>12480</v>
      </c>
      <c r="AV86">
        <v>0.6</v>
      </c>
      <c r="AW86" t="s">
        <v>232</v>
      </c>
      <c r="AX86" t="s">
        <v>6021</v>
      </c>
    </row>
    <row r="87" spans="1:50">
      <c r="A87" s="1">
        <f>HYPERLINK("https://lsnyc.legalserver.org/matter/dynamic-profile/view/1906460","19-1906460")</f>
        <v>0</v>
      </c>
      <c r="B87" t="s">
        <v>68</v>
      </c>
      <c r="C87" t="s">
        <v>192</v>
      </c>
      <c r="D87" t="s">
        <v>212</v>
      </c>
      <c r="E87" t="s">
        <v>212</v>
      </c>
      <c r="F87" t="s">
        <v>445</v>
      </c>
      <c r="G87" t="s">
        <v>1259</v>
      </c>
      <c r="H87" t="s">
        <v>2034</v>
      </c>
      <c r="J87" t="s">
        <v>3147</v>
      </c>
      <c r="K87">
        <v>10452</v>
      </c>
      <c r="L87" t="s">
        <v>3186</v>
      </c>
      <c r="N87" t="s">
        <v>3186</v>
      </c>
      <c r="Q87" t="s">
        <v>3634</v>
      </c>
      <c r="R87" t="s">
        <v>3642</v>
      </c>
      <c r="T87" t="s">
        <v>3660</v>
      </c>
      <c r="W87" t="s">
        <v>3670</v>
      </c>
      <c r="Y87">
        <v>0</v>
      </c>
      <c r="Z87" t="s">
        <v>3690</v>
      </c>
      <c r="AB87" t="s">
        <v>3712</v>
      </c>
      <c r="AC87" t="s">
        <v>3802</v>
      </c>
      <c r="AE87" t="s">
        <v>4945</v>
      </c>
      <c r="AF87">
        <v>0</v>
      </c>
      <c r="AI87">
        <v>0</v>
      </c>
      <c r="AJ87">
        <v>3</v>
      </c>
      <c r="AK87">
        <v>1</v>
      </c>
      <c r="AL87">
        <v>149.13</v>
      </c>
      <c r="AO87" t="s">
        <v>5844</v>
      </c>
      <c r="AP87">
        <v>38400</v>
      </c>
      <c r="AV87">
        <v>1.75</v>
      </c>
      <c r="AW87" t="s">
        <v>212</v>
      </c>
      <c r="AX87" t="s">
        <v>68</v>
      </c>
    </row>
    <row r="88" spans="1:50">
      <c r="A88" s="1">
        <f>HYPERLINK("https://lsnyc.legalserver.org/matter/dynamic-profile/view/1899373","19-1899373")</f>
        <v>0</v>
      </c>
      <c r="B88" t="s">
        <v>69</v>
      </c>
      <c r="C88" t="s">
        <v>192</v>
      </c>
      <c r="D88" t="s">
        <v>202</v>
      </c>
      <c r="E88" t="s">
        <v>202</v>
      </c>
      <c r="F88" t="s">
        <v>511</v>
      </c>
      <c r="G88" t="s">
        <v>1260</v>
      </c>
      <c r="H88" t="s">
        <v>2035</v>
      </c>
      <c r="I88">
        <v>513</v>
      </c>
      <c r="J88" t="s">
        <v>3159</v>
      </c>
      <c r="K88">
        <v>10304</v>
      </c>
      <c r="L88" t="s">
        <v>3185</v>
      </c>
      <c r="M88" t="s">
        <v>3189</v>
      </c>
      <c r="N88" t="s">
        <v>3186</v>
      </c>
      <c r="P88" t="s">
        <v>3257</v>
      </c>
      <c r="R88" t="s">
        <v>3642</v>
      </c>
      <c r="T88" t="s">
        <v>3660</v>
      </c>
      <c r="U88" t="s">
        <v>3184</v>
      </c>
      <c r="W88" t="s">
        <v>3670</v>
      </c>
      <c r="Y88">
        <v>1202</v>
      </c>
      <c r="Z88" t="s">
        <v>3692</v>
      </c>
      <c r="AA88" t="s">
        <v>3697</v>
      </c>
      <c r="AB88" t="s">
        <v>3712</v>
      </c>
      <c r="AC88" t="s">
        <v>3803</v>
      </c>
      <c r="AE88" t="s">
        <v>4946</v>
      </c>
      <c r="AF88">
        <v>105</v>
      </c>
      <c r="AG88" t="s">
        <v>5813</v>
      </c>
      <c r="AH88" t="s">
        <v>5831</v>
      </c>
      <c r="AI88">
        <v>8</v>
      </c>
      <c r="AJ88">
        <v>1</v>
      </c>
      <c r="AK88">
        <v>0</v>
      </c>
      <c r="AL88">
        <v>83.59</v>
      </c>
      <c r="AO88" t="s">
        <v>5843</v>
      </c>
      <c r="AP88">
        <v>10440</v>
      </c>
      <c r="AS88" t="s">
        <v>3632</v>
      </c>
      <c r="AV88">
        <v>0.5</v>
      </c>
      <c r="AW88" t="s">
        <v>202</v>
      </c>
      <c r="AX88" t="s">
        <v>6017</v>
      </c>
    </row>
    <row r="89" spans="1:50">
      <c r="A89" s="1">
        <f>HYPERLINK("https://lsnyc.legalserver.org/matter/dynamic-profile/view/1897698","19-1897698")</f>
        <v>0</v>
      </c>
      <c r="B89" t="s">
        <v>69</v>
      </c>
      <c r="C89" t="s">
        <v>192</v>
      </c>
      <c r="D89" t="s">
        <v>236</v>
      </c>
      <c r="E89" t="s">
        <v>202</v>
      </c>
      <c r="F89" t="s">
        <v>499</v>
      </c>
      <c r="G89" t="s">
        <v>1221</v>
      </c>
      <c r="H89" t="s">
        <v>2036</v>
      </c>
      <c r="J89" t="s">
        <v>3159</v>
      </c>
      <c r="K89">
        <v>10305</v>
      </c>
      <c r="L89" t="s">
        <v>3185</v>
      </c>
      <c r="M89" t="s">
        <v>3189</v>
      </c>
      <c r="N89" t="s">
        <v>3186</v>
      </c>
      <c r="O89" t="s">
        <v>3226</v>
      </c>
      <c r="P89" t="s">
        <v>3613</v>
      </c>
      <c r="Q89" t="s">
        <v>3634</v>
      </c>
      <c r="R89" t="s">
        <v>3642</v>
      </c>
      <c r="T89" t="s">
        <v>3660</v>
      </c>
      <c r="U89" t="s">
        <v>3184</v>
      </c>
      <c r="W89" t="s">
        <v>3670</v>
      </c>
      <c r="X89" t="s">
        <v>3681</v>
      </c>
      <c r="Y89">
        <v>0</v>
      </c>
      <c r="Z89" t="s">
        <v>3692</v>
      </c>
      <c r="AA89" t="s">
        <v>3706</v>
      </c>
      <c r="AB89" t="s">
        <v>3712</v>
      </c>
      <c r="AC89" t="s">
        <v>3804</v>
      </c>
      <c r="AE89" t="s">
        <v>4947</v>
      </c>
      <c r="AF89">
        <v>3</v>
      </c>
      <c r="AG89" t="s">
        <v>5814</v>
      </c>
      <c r="AH89" t="s">
        <v>3188</v>
      </c>
      <c r="AI89">
        <v>1</v>
      </c>
      <c r="AJ89">
        <v>2</v>
      </c>
      <c r="AK89">
        <v>0</v>
      </c>
      <c r="AL89">
        <v>42.58</v>
      </c>
      <c r="AO89" t="s">
        <v>5843</v>
      </c>
      <c r="AP89">
        <v>7200</v>
      </c>
      <c r="AS89" t="s">
        <v>3632</v>
      </c>
      <c r="AT89" t="s">
        <v>5947</v>
      </c>
      <c r="AV89">
        <v>3</v>
      </c>
      <c r="AW89" t="s">
        <v>202</v>
      </c>
      <c r="AX89" t="s">
        <v>6017</v>
      </c>
    </row>
    <row r="90" spans="1:50">
      <c r="A90" s="1">
        <f>HYPERLINK("https://lsnyc.legalserver.org/matter/dynamic-profile/view/1898467","19-1898467")</f>
        <v>0</v>
      </c>
      <c r="B90" t="s">
        <v>69</v>
      </c>
      <c r="C90" t="s">
        <v>192</v>
      </c>
      <c r="D90" t="s">
        <v>237</v>
      </c>
      <c r="E90" t="s">
        <v>202</v>
      </c>
      <c r="F90" t="s">
        <v>512</v>
      </c>
      <c r="G90" t="s">
        <v>740</v>
      </c>
      <c r="H90" t="s">
        <v>2037</v>
      </c>
      <c r="I90">
        <v>1</v>
      </c>
      <c r="J90" t="s">
        <v>3159</v>
      </c>
      <c r="K90">
        <v>10301</v>
      </c>
      <c r="L90" t="s">
        <v>3185</v>
      </c>
      <c r="M90" t="s">
        <v>3189</v>
      </c>
      <c r="N90" t="s">
        <v>3186</v>
      </c>
      <c r="O90" t="s">
        <v>3227</v>
      </c>
      <c r="P90" t="s">
        <v>3613</v>
      </c>
      <c r="Q90" t="s">
        <v>3634</v>
      </c>
      <c r="R90" t="s">
        <v>3642</v>
      </c>
      <c r="T90" t="s">
        <v>3660</v>
      </c>
      <c r="U90" t="s">
        <v>3184</v>
      </c>
      <c r="W90" t="s">
        <v>3670</v>
      </c>
      <c r="X90" t="s">
        <v>3682</v>
      </c>
      <c r="Y90">
        <v>1305</v>
      </c>
      <c r="Z90" t="s">
        <v>3692</v>
      </c>
      <c r="AA90" t="s">
        <v>3706</v>
      </c>
      <c r="AB90" t="s">
        <v>3712</v>
      </c>
      <c r="AC90" t="s">
        <v>3805</v>
      </c>
      <c r="AE90" t="s">
        <v>4948</v>
      </c>
      <c r="AF90">
        <v>2</v>
      </c>
      <c r="AG90" t="s">
        <v>5814</v>
      </c>
      <c r="AH90" t="s">
        <v>5827</v>
      </c>
      <c r="AI90">
        <v>9</v>
      </c>
      <c r="AJ90">
        <v>1</v>
      </c>
      <c r="AK90">
        <v>0</v>
      </c>
      <c r="AL90">
        <v>74.08</v>
      </c>
      <c r="AO90" t="s">
        <v>5843</v>
      </c>
      <c r="AP90">
        <v>9252</v>
      </c>
      <c r="AS90" t="s">
        <v>3632</v>
      </c>
      <c r="AV90">
        <v>0.5</v>
      </c>
      <c r="AW90" t="s">
        <v>202</v>
      </c>
      <c r="AX90" t="s">
        <v>6017</v>
      </c>
    </row>
    <row r="91" spans="1:50">
      <c r="A91" s="1">
        <f>HYPERLINK("https://lsnyc.legalserver.org/matter/dynamic-profile/view/1908883","19-1908883")</f>
        <v>0</v>
      </c>
      <c r="B91" t="s">
        <v>70</v>
      </c>
      <c r="C91" t="s">
        <v>191</v>
      </c>
      <c r="D91" t="s">
        <v>211</v>
      </c>
      <c r="F91" t="s">
        <v>513</v>
      </c>
      <c r="G91" t="s">
        <v>625</v>
      </c>
      <c r="H91" t="s">
        <v>2038</v>
      </c>
      <c r="I91">
        <v>4</v>
      </c>
      <c r="J91" t="s">
        <v>3147</v>
      </c>
      <c r="K91">
        <v>10470</v>
      </c>
      <c r="L91" t="s">
        <v>3186</v>
      </c>
      <c r="N91" t="s">
        <v>3186</v>
      </c>
      <c r="T91" t="s">
        <v>3660</v>
      </c>
      <c r="W91" t="s">
        <v>3670</v>
      </c>
      <c r="Y91">
        <v>0</v>
      </c>
      <c r="Z91" t="s">
        <v>3689</v>
      </c>
      <c r="AC91" t="s">
        <v>3806</v>
      </c>
      <c r="AE91" t="s">
        <v>4949</v>
      </c>
      <c r="AF91">
        <v>0</v>
      </c>
      <c r="AI91">
        <v>0</v>
      </c>
      <c r="AJ91">
        <v>1</v>
      </c>
      <c r="AK91">
        <v>0</v>
      </c>
      <c r="AL91">
        <v>187.35</v>
      </c>
      <c r="AO91" t="s">
        <v>5843</v>
      </c>
      <c r="AP91">
        <v>23400</v>
      </c>
      <c r="AV91">
        <v>0.7</v>
      </c>
      <c r="AW91" t="s">
        <v>211</v>
      </c>
      <c r="AX91" t="s">
        <v>6022</v>
      </c>
    </row>
    <row r="92" spans="1:50">
      <c r="A92" s="1">
        <f>HYPERLINK("https://lsnyc.legalserver.org/matter/dynamic-profile/view/1897258","19-1897258")</f>
        <v>0</v>
      </c>
      <c r="B92" t="s">
        <v>69</v>
      </c>
      <c r="C92" t="s">
        <v>192</v>
      </c>
      <c r="D92" t="s">
        <v>238</v>
      </c>
      <c r="E92" t="s">
        <v>202</v>
      </c>
      <c r="F92" t="s">
        <v>514</v>
      </c>
      <c r="G92" t="s">
        <v>1261</v>
      </c>
      <c r="H92" t="s">
        <v>2039</v>
      </c>
      <c r="I92" t="s">
        <v>2864</v>
      </c>
      <c r="J92" t="s">
        <v>3159</v>
      </c>
      <c r="K92">
        <v>10304</v>
      </c>
      <c r="L92" t="s">
        <v>3185</v>
      </c>
      <c r="M92" t="s">
        <v>3189</v>
      </c>
      <c r="N92" t="s">
        <v>3186</v>
      </c>
      <c r="O92" t="s">
        <v>3228</v>
      </c>
      <c r="P92" t="s">
        <v>3610</v>
      </c>
      <c r="Q92" t="s">
        <v>3638</v>
      </c>
      <c r="R92" t="s">
        <v>3644</v>
      </c>
      <c r="T92" t="s">
        <v>3660</v>
      </c>
      <c r="U92" t="s">
        <v>3184</v>
      </c>
      <c r="W92" t="s">
        <v>3670</v>
      </c>
      <c r="X92" t="s">
        <v>3681</v>
      </c>
      <c r="Y92">
        <v>2900</v>
      </c>
      <c r="Z92" t="s">
        <v>3692</v>
      </c>
      <c r="AA92" t="s">
        <v>3707</v>
      </c>
      <c r="AB92" t="s">
        <v>3717</v>
      </c>
      <c r="AC92" t="s">
        <v>3807</v>
      </c>
      <c r="AE92" t="s">
        <v>4950</v>
      </c>
      <c r="AF92">
        <v>900</v>
      </c>
      <c r="AG92" t="s">
        <v>5813</v>
      </c>
      <c r="AH92" t="s">
        <v>3188</v>
      </c>
      <c r="AI92">
        <v>-1</v>
      </c>
      <c r="AJ92">
        <v>2</v>
      </c>
      <c r="AK92">
        <v>0</v>
      </c>
      <c r="AL92">
        <v>70.95999999999999</v>
      </c>
      <c r="AO92" t="s">
        <v>5843</v>
      </c>
      <c r="AP92">
        <v>12000</v>
      </c>
      <c r="AS92" t="s">
        <v>3632</v>
      </c>
      <c r="AT92" t="s">
        <v>5947</v>
      </c>
      <c r="AV92">
        <v>14.5</v>
      </c>
      <c r="AW92" t="s">
        <v>202</v>
      </c>
      <c r="AX92" t="s">
        <v>6017</v>
      </c>
    </row>
    <row r="93" spans="1:50">
      <c r="A93" s="1">
        <f>HYPERLINK("https://lsnyc.legalserver.org/matter/dynamic-profile/view/1895291","19-1895291")</f>
        <v>0</v>
      </c>
      <c r="B93" t="s">
        <v>69</v>
      </c>
      <c r="C93" t="s">
        <v>192</v>
      </c>
      <c r="D93" t="s">
        <v>239</v>
      </c>
      <c r="E93" t="s">
        <v>260</v>
      </c>
      <c r="F93" t="s">
        <v>515</v>
      </c>
      <c r="G93" t="s">
        <v>1262</v>
      </c>
      <c r="H93" t="s">
        <v>2040</v>
      </c>
      <c r="J93" t="s">
        <v>3159</v>
      </c>
      <c r="K93">
        <v>10312</v>
      </c>
      <c r="L93" t="s">
        <v>3185</v>
      </c>
      <c r="M93" t="s">
        <v>3189</v>
      </c>
      <c r="N93" t="s">
        <v>3186</v>
      </c>
      <c r="O93" t="s">
        <v>3229</v>
      </c>
      <c r="P93" t="s">
        <v>3613</v>
      </c>
      <c r="Q93" t="s">
        <v>3638</v>
      </c>
      <c r="R93" t="s">
        <v>3644</v>
      </c>
      <c r="T93" t="s">
        <v>3660</v>
      </c>
      <c r="U93" t="s">
        <v>3184</v>
      </c>
      <c r="W93" t="s">
        <v>3670</v>
      </c>
      <c r="X93" t="s">
        <v>3681</v>
      </c>
      <c r="Y93">
        <v>1400</v>
      </c>
      <c r="Z93" t="s">
        <v>3692</v>
      </c>
      <c r="AA93" t="s">
        <v>3632</v>
      </c>
      <c r="AB93" t="s">
        <v>3711</v>
      </c>
      <c r="AC93" t="s">
        <v>3808</v>
      </c>
      <c r="AE93" t="s">
        <v>4951</v>
      </c>
      <c r="AF93">
        <v>2</v>
      </c>
      <c r="AG93" t="s">
        <v>5814</v>
      </c>
      <c r="AH93" t="s">
        <v>5827</v>
      </c>
      <c r="AI93">
        <v>1</v>
      </c>
      <c r="AJ93">
        <v>1</v>
      </c>
      <c r="AK93">
        <v>0</v>
      </c>
      <c r="AL93">
        <v>76.86</v>
      </c>
      <c r="AO93" t="s">
        <v>5843</v>
      </c>
      <c r="AP93">
        <v>9600</v>
      </c>
      <c r="AR93" t="s">
        <v>5930</v>
      </c>
      <c r="AS93" t="s">
        <v>3632</v>
      </c>
      <c r="AT93" t="s">
        <v>5947</v>
      </c>
      <c r="AV93">
        <v>10.5</v>
      </c>
      <c r="AW93" t="s">
        <v>202</v>
      </c>
      <c r="AX93" t="s">
        <v>6017</v>
      </c>
    </row>
    <row r="94" spans="1:50">
      <c r="A94" s="1">
        <f>HYPERLINK("https://lsnyc.legalserver.org/matter/dynamic-profile/view/1898558","19-1898558")</f>
        <v>0</v>
      </c>
      <c r="B94" t="s">
        <v>69</v>
      </c>
      <c r="C94" t="s">
        <v>192</v>
      </c>
      <c r="D94" t="s">
        <v>240</v>
      </c>
      <c r="E94" t="s">
        <v>202</v>
      </c>
      <c r="F94" t="s">
        <v>516</v>
      </c>
      <c r="G94" t="s">
        <v>1263</v>
      </c>
      <c r="H94" t="s">
        <v>2041</v>
      </c>
      <c r="I94" t="s">
        <v>2814</v>
      </c>
      <c r="J94" t="s">
        <v>3159</v>
      </c>
      <c r="K94">
        <v>10304</v>
      </c>
      <c r="L94" t="s">
        <v>3185</v>
      </c>
      <c r="M94" t="s">
        <v>3189</v>
      </c>
      <c r="N94" t="s">
        <v>3186</v>
      </c>
      <c r="O94" t="s">
        <v>3230</v>
      </c>
      <c r="P94" t="s">
        <v>3610</v>
      </c>
      <c r="Q94" t="s">
        <v>3638</v>
      </c>
      <c r="R94" t="s">
        <v>3644</v>
      </c>
      <c r="T94" t="s">
        <v>3660</v>
      </c>
      <c r="U94" t="s">
        <v>3184</v>
      </c>
      <c r="W94" t="s">
        <v>3670</v>
      </c>
      <c r="Y94">
        <v>183</v>
      </c>
      <c r="Z94" t="s">
        <v>3692</v>
      </c>
      <c r="AA94" t="s">
        <v>3706</v>
      </c>
      <c r="AB94" t="s">
        <v>3714</v>
      </c>
      <c r="AC94" t="s">
        <v>3809</v>
      </c>
      <c r="AE94" t="s">
        <v>4952</v>
      </c>
      <c r="AF94">
        <v>305</v>
      </c>
      <c r="AG94" t="s">
        <v>5812</v>
      </c>
      <c r="AH94" t="s">
        <v>3188</v>
      </c>
      <c r="AI94">
        <v>20</v>
      </c>
      <c r="AJ94">
        <v>1</v>
      </c>
      <c r="AK94">
        <v>0</v>
      </c>
      <c r="AL94">
        <v>91.27</v>
      </c>
      <c r="AO94" t="s">
        <v>5843</v>
      </c>
      <c r="AP94">
        <v>11400</v>
      </c>
      <c r="AR94" t="s">
        <v>5931</v>
      </c>
      <c r="AS94" t="s">
        <v>5937</v>
      </c>
      <c r="AT94" t="s">
        <v>5946</v>
      </c>
      <c r="AV94">
        <v>12</v>
      </c>
      <c r="AW94" t="s">
        <v>202</v>
      </c>
      <c r="AX94" t="s">
        <v>6017</v>
      </c>
    </row>
    <row r="95" spans="1:50">
      <c r="A95" s="1">
        <f>HYPERLINK("https://lsnyc.legalserver.org/matter/dynamic-profile/view/1893501","19-1893501")</f>
        <v>0</v>
      </c>
      <c r="B95" t="s">
        <v>69</v>
      </c>
      <c r="C95" t="s">
        <v>192</v>
      </c>
      <c r="D95" t="s">
        <v>241</v>
      </c>
      <c r="E95" t="s">
        <v>202</v>
      </c>
      <c r="F95" t="s">
        <v>517</v>
      </c>
      <c r="G95" t="s">
        <v>1264</v>
      </c>
      <c r="H95" t="s">
        <v>2042</v>
      </c>
      <c r="I95" t="s">
        <v>2865</v>
      </c>
      <c r="J95" t="s">
        <v>3159</v>
      </c>
      <c r="K95">
        <v>10304</v>
      </c>
      <c r="L95" t="s">
        <v>3185</v>
      </c>
      <c r="M95" t="s">
        <v>3189</v>
      </c>
      <c r="N95" t="s">
        <v>3184</v>
      </c>
      <c r="O95" t="s">
        <v>3231</v>
      </c>
      <c r="P95" t="s">
        <v>3613</v>
      </c>
      <c r="Q95" t="s">
        <v>3640</v>
      </c>
      <c r="R95" t="s">
        <v>3644</v>
      </c>
      <c r="T95" t="s">
        <v>3660</v>
      </c>
      <c r="U95" t="s">
        <v>3184</v>
      </c>
      <c r="W95" t="s">
        <v>3670</v>
      </c>
      <c r="X95" t="s">
        <v>3681</v>
      </c>
      <c r="Y95">
        <v>1515</v>
      </c>
      <c r="Z95" t="s">
        <v>3692</v>
      </c>
      <c r="AA95" t="s">
        <v>3706</v>
      </c>
      <c r="AB95" t="s">
        <v>3711</v>
      </c>
      <c r="AC95" t="s">
        <v>3810</v>
      </c>
      <c r="AE95" t="s">
        <v>4953</v>
      </c>
      <c r="AF95">
        <v>2</v>
      </c>
      <c r="AG95" t="s">
        <v>5814</v>
      </c>
      <c r="AH95" t="s">
        <v>5825</v>
      </c>
      <c r="AI95">
        <v>1</v>
      </c>
      <c r="AJ95">
        <v>1</v>
      </c>
      <c r="AK95">
        <v>2</v>
      </c>
      <c r="AL95">
        <v>156.02</v>
      </c>
      <c r="AO95" t="s">
        <v>5843</v>
      </c>
      <c r="AP95">
        <v>33280</v>
      </c>
      <c r="AR95" t="s">
        <v>5931</v>
      </c>
      <c r="AS95" t="s">
        <v>3632</v>
      </c>
      <c r="AT95" t="s">
        <v>5947</v>
      </c>
      <c r="AV95">
        <v>9.25</v>
      </c>
      <c r="AW95" t="s">
        <v>210</v>
      </c>
      <c r="AX95" t="s">
        <v>6017</v>
      </c>
    </row>
    <row r="96" spans="1:50">
      <c r="A96" s="1">
        <f>HYPERLINK("https://lsnyc.legalserver.org/matter/dynamic-profile/view/1894440","19-1894440")</f>
        <v>0</v>
      </c>
      <c r="B96" t="s">
        <v>69</v>
      </c>
      <c r="C96" t="s">
        <v>191</v>
      </c>
      <c r="D96" t="s">
        <v>242</v>
      </c>
      <c r="F96" t="s">
        <v>518</v>
      </c>
      <c r="G96" t="s">
        <v>1265</v>
      </c>
      <c r="H96" t="s">
        <v>2035</v>
      </c>
      <c r="I96">
        <v>216</v>
      </c>
      <c r="J96" t="s">
        <v>3159</v>
      </c>
      <c r="K96">
        <v>10304</v>
      </c>
      <c r="L96" t="s">
        <v>3185</v>
      </c>
      <c r="M96" t="s">
        <v>3189</v>
      </c>
      <c r="N96" t="s">
        <v>3186</v>
      </c>
      <c r="O96" t="s">
        <v>3232</v>
      </c>
      <c r="P96" t="s">
        <v>3610</v>
      </c>
      <c r="T96" t="s">
        <v>3660</v>
      </c>
      <c r="U96" t="s">
        <v>3184</v>
      </c>
      <c r="W96" t="s">
        <v>3670</v>
      </c>
      <c r="Y96">
        <v>1268</v>
      </c>
      <c r="Z96" t="s">
        <v>3692</v>
      </c>
      <c r="AA96" t="s">
        <v>3706</v>
      </c>
      <c r="AC96" t="s">
        <v>3811</v>
      </c>
      <c r="AE96" t="s">
        <v>4954</v>
      </c>
      <c r="AF96">
        <v>0</v>
      </c>
      <c r="AG96" t="s">
        <v>5813</v>
      </c>
      <c r="AI96">
        <v>1</v>
      </c>
      <c r="AJ96">
        <v>1</v>
      </c>
      <c r="AK96">
        <v>1</v>
      </c>
      <c r="AL96">
        <v>0</v>
      </c>
      <c r="AO96" t="s">
        <v>5843</v>
      </c>
      <c r="AP96">
        <v>0</v>
      </c>
      <c r="AV96">
        <v>30.7</v>
      </c>
      <c r="AW96" t="s">
        <v>198</v>
      </c>
      <c r="AX96" t="s">
        <v>6017</v>
      </c>
    </row>
    <row r="97" spans="1:50">
      <c r="A97" s="1">
        <f>HYPERLINK("https://lsnyc.legalserver.org/matter/dynamic-profile/view/1910016","19-1910016")</f>
        <v>0</v>
      </c>
      <c r="B97" t="s">
        <v>71</v>
      </c>
      <c r="C97" t="s">
        <v>191</v>
      </c>
      <c r="D97" t="s">
        <v>243</v>
      </c>
      <c r="F97" t="s">
        <v>519</v>
      </c>
      <c r="G97" t="s">
        <v>1266</v>
      </c>
      <c r="H97" t="s">
        <v>2043</v>
      </c>
      <c r="I97" t="s">
        <v>2866</v>
      </c>
      <c r="J97" t="s">
        <v>3147</v>
      </c>
      <c r="K97">
        <v>10451</v>
      </c>
      <c r="L97" t="s">
        <v>3186</v>
      </c>
      <c r="N97" t="s">
        <v>3186</v>
      </c>
      <c r="T97" t="s">
        <v>3660</v>
      </c>
      <c r="W97" t="s">
        <v>3671</v>
      </c>
      <c r="Y97">
        <v>0</v>
      </c>
      <c r="Z97" t="s">
        <v>3690</v>
      </c>
      <c r="AC97" t="s">
        <v>3812</v>
      </c>
      <c r="AE97" t="s">
        <v>4955</v>
      </c>
      <c r="AF97">
        <v>0</v>
      </c>
      <c r="AI97">
        <v>0</v>
      </c>
      <c r="AJ97">
        <v>1</v>
      </c>
      <c r="AK97">
        <v>0</v>
      </c>
      <c r="AL97">
        <v>104.01</v>
      </c>
      <c r="AO97" t="s">
        <v>5843</v>
      </c>
      <c r="AP97">
        <v>12991.2</v>
      </c>
      <c r="AV97">
        <v>0.25</v>
      </c>
      <c r="AW97" t="s">
        <v>243</v>
      </c>
      <c r="AX97" t="s">
        <v>6023</v>
      </c>
    </row>
    <row r="98" spans="1:50">
      <c r="A98" s="1">
        <f>HYPERLINK("https://lsnyc.legalserver.org/matter/dynamic-profile/view/1907544","19-1907544")</f>
        <v>0</v>
      </c>
      <c r="B98" t="s">
        <v>69</v>
      </c>
      <c r="C98" t="s">
        <v>191</v>
      </c>
      <c r="D98" t="s">
        <v>244</v>
      </c>
      <c r="F98" t="s">
        <v>520</v>
      </c>
      <c r="G98" t="s">
        <v>1267</v>
      </c>
      <c r="H98" t="s">
        <v>2044</v>
      </c>
      <c r="I98" t="s">
        <v>2835</v>
      </c>
      <c r="J98" t="s">
        <v>3159</v>
      </c>
      <c r="K98">
        <v>10312</v>
      </c>
      <c r="L98" t="s">
        <v>3185</v>
      </c>
      <c r="M98" t="s">
        <v>3189</v>
      </c>
      <c r="N98" t="s">
        <v>3186</v>
      </c>
      <c r="O98" t="s">
        <v>3233</v>
      </c>
      <c r="P98" t="s">
        <v>3613</v>
      </c>
      <c r="T98" t="s">
        <v>3660</v>
      </c>
      <c r="U98" t="s">
        <v>3184</v>
      </c>
      <c r="W98" t="s">
        <v>3670</v>
      </c>
      <c r="X98" t="s">
        <v>3681</v>
      </c>
      <c r="Y98">
        <v>1534</v>
      </c>
      <c r="Z98" t="s">
        <v>3692</v>
      </c>
      <c r="AA98" t="s">
        <v>3706</v>
      </c>
      <c r="AC98" t="s">
        <v>3813</v>
      </c>
      <c r="AE98" t="s">
        <v>4956</v>
      </c>
      <c r="AF98">
        <v>2</v>
      </c>
      <c r="AG98" t="s">
        <v>5814</v>
      </c>
      <c r="AH98" t="s">
        <v>5828</v>
      </c>
      <c r="AI98">
        <v>1</v>
      </c>
      <c r="AJ98">
        <v>1</v>
      </c>
      <c r="AK98">
        <v>2</v>
      </c>
      <c r="AL98">
        <v>52.55</v>
      </c>
      <c r="AO98" t="s">
        <v>5846</v>
      </c>
      <c r="AP98">
        <v>11208</v>
      </c>
      <c r="AV98">
        <v>4.5</v>
      </c>
      <c r="AW98" t="s">
        <v>269</v>
      </c>
      <c r="AX98" t="s">
        <v>6017</v>
      </c>
    </row>
    <row r="99" spans="1:50">
      <c r="A99" s="1">
        <f>HYPERLINK("https://lsnyc.legalserver.org/matter/dynamic-profile/view/1905515","19-1905515")</f>
        <v>0</v>
      </c>
      <c r="B99" t="s">
        <v>72</v>
      </c>
      <c r="C99" t="s">
        <v>191</v>
      </c>
      <c r="D99" t="s">
        <v>217</v>
      </c>
      <c r="F99" t="s">
        <v>521</v>
      </c>
      <c r="G99" t="s">
        <v>979</v>
      </c>
      <c r="H99" t="s">
        <v>2045</v>
      </c>
      <c r="I99" t="s">
        <v>2867</v>
      </c>
      <c r="J99" t="s">
        <v>3147</v>
      </c>
      <c r="K99">
        <v>10452</v>
      </c>
      <c r="L99" t="s">
        <v>3186</v>
      </c>
      <c r="N99" t="s">
        <v>3186</v>
      </c>
      <c r="O99" t="s">
        <v>3234</v>
      </c>
      <c r="P99" t="s">
        <v>3612</v>
      </c>
      <c r="Q99" t="s">
        <v>3638</v>
      </c>
      <c r="T99" t="s">
        <v>3660</v>
      </c>
      <c r="U99" t="s">
        <v>3184</v>
      </c>
      <c r="W99" t="s">
        <v>3670</v>
      </c>
      <c r="Y99">
        <v>1078.15</v>
      </c>
      <c r="Z99" t="s">
        <v>3690</v>
      </c>
      <c r="AA99" t="s">
        <v>3700</v>
      </c>
      <c r="AC99" t="s">
        <v>3814</v>
      </c>
      <c r="AE99" t="s">
        <v>4957</v>
      </c>
      <c r="AF99">
        <v>59</v>
      </c>
      <c r="AG99" t="s">
        <v>5813</v>
      </c>
      <c r="AI99">
        <v>30</v>
      </c>
      <c r="AJ99">
        <v>1</v>
      </c>
      <c r="AK99">
        <v>1</v>
      </c>
      <c r="AL99">
        <v>71.59999999999999</v>
      </c>
      <c r="AO99" t="s">
        <v>5843</v>
      </c>
      <c r="AP99">
        <v>12108</v>
      </c>
      <c r="AQ99" t="s">
        <v>5865</v>
      </c>
      <c r="AV99">
        <v>3.1</v>
      </c>
      <c r="AW99" t="s">
        <v>212</v>
      </c>
      <c r="AX99" t="s">
        <v>72</v>
      </c>
    </row>
    <row r="100" spans="1:50">
      <c r="A100" s="1">
        <f>HYPERLINK("https://lsnyc.legalserver.org/matter/dynamic-profile/view/1904971","19-1904971")</f>
        <v>0</v>
      </c>
      <c r="B100" t="s">
        <v>72</v>
      </c>
      <c r="C100" t="s">
        <v>191</v>
      </c>
      <c r="D100" t="s">
        <v>218</v>
      </c>
      <c r="F100" t="s">
        <v>478</v>
      </c>
      <c r="G100" t="s">
        <v>1199</v>
      </c>
      <c r="H100" t="s">
        <v>2046</v>
      </c>
      <c r="I100" t="s">
        <v>2868</v>
      </c>
      <c r="J100" t="s">
        <v>3147</v>
      </c>
      <c r="K100">
        <v>10457</v>
      </c>
      <c r="L100" t="s">
        <v>3186</v>
      </c>
      <c r="M100" t="s">
        <v>3190</v>
      </c>
      <c r="N100" t="s">
        <v>3186</v>
      </c>
      <c r="P100" t="s">
        <v>3620</v>
      </c>
      <c r="Q100" t="s">
        <v>3635</v>
      </c>
      <c r="T100" t="s">
        <v>3660</v>
      </c>
      <c r="U100" t="s">
        <v>3184</v>
      </c>
      <c r="W100" t="s">
        <v>3673</v>
      </c>
      <c r="Y100">
        <v>0</v>
      </c>
      <c r="Z100" t="s">
        <v>3690</v>
      </c>
      <c r="AA100" t="s">
        <v>3697</v>
      </c>
      <c r="AC100" t="s">
        <v>3815</v>
      </c>
      <c r="AD100" t="s">
        <v>4774</v>
      </c>
      <c r="AE100" t="s">
        <v>4958</v>
      </c>
      <c r="AF100">
        <v>71</v>
      </c>
      <c r="AG100" t="s">
        <v>5813</v>
      </c>
      <c r="AH100" t="s">
        <v>5827</v>
      </c>
      <c r="AI100">
        <v>39</v>
      </c>
      <c r="AJ100">
        <v>1</v>
      </c>
      <c r="AK100">
        <v>0</v>
      </c>
      <c r="AL100">
        <v>74.08</v>
      </c>
      <c r="AO100" t="s">
        <v>5844</v>
      </c>
      <c r="AP100">
        <v>9252</v>
      </c>
      <c r="AV100">
        <v>5.7</v>
      </c>
      <c r="AW100" t="s">
        <v>269</v>
      </c>
      <c r="AX100" t="s">
        <v>6021</v>
      </c>
    </row>
    <row r="101" spans="1:50">
      <c r="A101" s="1">
        <f>HYPERLINK("https://lsnyc.legalserver.org/matter/dynamic-profile/view/1904832","19-1904832")</f>
        <v>0</v>
      </c>
      <c r="B101" t="s">
        <v>72</v>
      </c>
      <c r="C101" t="s">
        <v>191</v>
      </c>
      <c r="D101" t="s">
        <v>245</v>
      </c>
      <c r="F101" t="s">
        <v>522</v>
      </c>
      <c r="G101" t="s">
        <v>1268</v>
      </c>
      <c r="H101" t="s">
        <v>2047</v>
      </c>
      <c r="I101" t="s">
        <v>2869</v>
      </c>
      <c r="J101" t="s">
        <v>3147</v>
      </c>
      <c r="K101">
        <v>10452</v>
      </c>
      <c r="L101" t="s">
        <v>3186</v>
      </c>
      <c r="N101" t="s">
        <v>3186</v>
      </c>
      <c r="O101" t="s">
        <v>3235</v>
      </c>
      <c r="P101" t="s">
        <v>3610</v>
      </c>
      <c r="Q101" t="s">
        <v>3638</v>
      </c>
      <c r="T101" t="s">
        <v>3660</v>
      </c>
      <c r="U101" t="s">
        <v>3184</v>
      </c>
      <c r="W101" t="s">
        <v>3670</v>
      </c>
      <c r="X101" t="s">
        <v>3683</v>
      </c>
      <c r="Y101">
        <v>952</v>
      </c>
      <c r="Z101" t="s">
        <v>3690</v>
      </c>
      <c r="AA101" t="s">
        <v>3696</v>
      </c>
      <c r="AC101" t="s">
        <v>3816</v>
      </c>
      <c r="AD101" t="s">
        <v>4775</v>
      </c>
      <c r="AE101" t="s">
        <v>4959</v>
      </c>
      <c r="AF101">
        <v>15000</v>
      </c>
      <c r="AG101" t="s">
        <v>5813</v>
      </c>
      <c r="AH101" t="s">
        <v>5831</v>
      </c>
      <c r="AI101">
        <v>31</v>
      </c>
      <c r="AJ101">
        <v>1</v>
      </c>
      <c r="AK101">
        <v>0</v>
      </c>
      <c r="AL101">
        <v>137.29</v>
      </c>
      <c r="AO101" t="s">
        <v>5843</v>
      </c>
      <c r="AP101">
        <v>17148</v>
      </c>
      <c r="AV101">
        <v>24.9</v>
      </c>
      <c r="AW101" t="s">
        <v>197</v>
      </c>
      <c r="AX101" t="s">
        <v>6014</v>
      </c>
    </row>
    <row r="102" spans="1:50">
      <c r="A102" s="1">
        <f>HYPERLINK("https://lsnyc.legalserver.org/matter/dynamic-profile/view/1909549","19-1909549")</f>
        <v>0</v>
      </c>
      <c r="B102" t="s">
        <v>72</v>
      </c>
      <c r="C102" t="s">
        <v>191</v>
      </c>
      <c r="D102" t="s">
        <v>197</v>
      </c>
      <c r="F102" t="s">
        <v>523</v>
      </c>
      <c r="G102" t="s">
        <v>1269</v>
      </c>
      <c r="H102" t="s">
        <v>2048</v>
      </c>
      <c r="I102" t="s">
        <v>2820</v>
      </c>
      <c r="J102" t="s">
        <v>3147</v>
      </c>
      <c r="K102">
        <v>10452</v>
      </c>
      <c r="L102" t="s">
        <v>3186</v>
      </c>
      <c r="N102" t="s">
        <v>3186</v>
      </c>
      <c r="O102" t="s">
        <v>3236</v>
      </c>
      <c r="P102" t="s">
        <v>3610</v>
      </c>
      <c r="T102" t="s">
        <v>3660</v>
      </c>
      <c r="U102" t="s">
        <v>3184</v>
      </c>
      <c r="W102" t="s">
        <v>3670</v>
      </c>
      <c r="Y102">
        <v>1839.53</v>
      </c>
      <c r="Z102" t="s">
        <v>3690</v>
      </c>
      <c r="AA102" t="s">
        <v>3696</v>
      </c>
      <c r="AC102" t="s">
        <v>3817</v>
      </c>
      <c r="AE102" t="s">
        <v>4960</v>
      </c>
      <c r="AF102">
        <v>24</v>
      </c>
      <c r="AG102" t="s">
        <v>5813</v>
      </c>
      <c r="AH102" t="s">
        <v>5827</v>
      </c>
      <c r="AI102">
        <v>4</v>
      </c>
      <c r="AJ102">
        <v>2</v>
      </c>
      <c r="AK102">
        <v>2</v>
      </c>
      <c r="AL102">
        <v>121.17</v>
      </c>
      <c r="AO102" t="s">
        <v>5843</v>
      </c>
      <c r="AP102">
        <v>31200</v>
      </c>
      <c r="AV102">
        <v>0.4</v>
      </c>
      <c r="AW102" t="s">
        <v>275</v>
      </c>
      <c r="AX102" t="s">
        <v>6024</v>
      </c>
    </row>
    <row r="103" spans="1:50">
      <c r="A103" s="1">
        <f>HYPERLINK("https://lsnyc.legalserver.org/matter/dynamic-profile/view/1907729","19-1907729")</f>
        <v>0</v>
      </c>
      <c r="B103" t="s">
        <v>72</v>
      </c>
      <c r="C103" t="s">
        <v>191</v>
      </c>
      <c r="D103" t="s">
        <v>246</v>
      </c>
      <c r="F103" t="s">
        <v>522</v>
      </c>
      <c r="G103" t="s">
        <v>1268</v>
      </c>
      <c r="H103" t="s">
        <v>2047</v>
      </c>
      <c r="I103" t="s">
        <v>2869</v>
      </c>
      <c r="J103" t="s">
        <v>3147</v>
      </c>
      <c r="K103">
        <v>10452</v>
      </c>
      <c r="L103" t="s">
        <v>3186</v>
      </c>
      <c r="N103" t="s">
        <v>3186</v>
      </c>
      <c r="T103" t="s">
        <v>3660</v>
      </c>
      <c r="W103" t="s">
        <v>3672</v>
      </c>
      <c r="Y103">
        <v>0</v>
      </c>
      <c r="Z103" t="s">
        <v>3690</v>
      </c>
      <c r="AC103" t="s">
        <v>3816</v>
      </c>
      <c r="AE103" t="s">
        <v>4959</v>
      </c>
      <c r="AF103">
        <v>0</v>
      </c>
      <c r="AI103">
        <v>0</v>
      </c>
      <c r="AJ103">
        <v>1</v>
      </c>
      <c r="AK103">
        <v>0</v>
      </c>
      <c r="AL103">
        <v>137.29</v>
      </c>
      <c r="AO103" t="s">
        <v>5843</v>
      </c>
      <c r="AP103">
        <v>17148</v>
      </c>
      <c r="AV103">
        <v>1.25</v>
      </c>
      <c r="AW103" t="s">
        <v>281</v>
      </c>
      <c r="AX103" t="s">
        <v>72</v>
      </c>
    </row>
    <row r="104" spans="1:50">
      <c r="A104" s="1">
        <f>HYPERLINK("https://lsnyc.legalserver.org/matter/dynamic-profile/view/1895579","19-1895579")</f>
        <v>0</v>
      </c>
      <c r="B104" t="s">
        <v>69</v>
      </c>
      <c r="C104" t="s">
        <v>191</v>
      </c>
      <c r="D104" t="s">
        <v>235</v>
      </c>
      <c r="F104" t="s">
        <v>524</v>
      </c>
      <c r="G104" t="s">
        <v>1270</v>
      </c>
      <c r="H104" t="s">
        <v>2049</v>
      </c>
      <c r="J104" t="s">
        <v>3159</v>
      </c>
      <c r="K104">
        <v>10305</v>
      </c>
      <c r="L104" t="s">
        <v>3185</v>
      </c>
      <c r="M104" t="s">
        <v>3189</v>
      </c>
      <c r="N104" t="s">
        <v>3186</v>
      </c>
      <c r="O104" t="s">
        <v>3237</v>
      </c>
      <c r="P104" t="s">
        <v>3613</v>
      </c>
      <c r="T104" t="s">
        <v>3660</v>
      </c>
      <c r="U104" t="s">
        <v>3184</v>
      </c>
      <c r="W104" t="s">
        <v>3670</v>
      </c>
      <c r="Y104">
        <v>0</v>
      </c>
      <c r="Z104" t="s">
        <v>3692</v>
      </c>
      <c r="AA104" t="s">
        <v>3632</v>
      </c>
      <c r="AC104" t="s">
        <v>3818</v>
      </c>
      <c r="AE104" t="s">
        <v>4961</v>
      </c>
      <c r="AF104">
        <v>1</v>
      </c>
      <c r="AG104" t="s">
        <v>5814</v>
      </c>
      <c r="AH104" t="s">
        <v>3188</v>
      </c>
      <c r="AI104">
        <v>10</v>
      </c>
      <c r="AJ104">
        <v>4</v>
      </c>
      <c r="AK104">
        <v>2</v>
      </c>
      <c r="AL104">
        <v>112.75</v>
      </c>
      <c r="AO104" t="s">
        <v>5843</v>
      </c>
      <c r="AP104">
        <v>39000</v>
      </c>
      <c r="AV104">
        <v>9.6</v>
      </c>
      <c r="AW104" t="s">
        <v>273</v>
      </c>
      <c r="AX104" t="s">
        <v>6025</v>
      </c>
    </row>
    <row r="105" spans="1:50">
      <c r="A105" s="1">
        <f>HYPERLINK("https://lsnyc.legalserver.org/matter/dynamic-profile/view/1909220","19-1909220")</f>
        <v>0</v>
      </c>
      <c r="B105" t="s">
        <v>73</v>
      </c>
      <c r="C105" t="s">
        <v>191</v>
      </c>
      <c r="D105" t="s">
        <v>228</v>
      </c>
      <c r="F105" t="s">
        <v>525</v>
      </c>
      <c r="G105" t="s">
        <v>1271</v>
      </c>
      <c r="H105" t="s">
        <v>2050</v>
      </c>
      <c r="I105">
        <v>5</v>
      </c>
      <c r="J105" t="s">
        <v>3147</v>
      </c>
      <c r="K105">
        <v>10452</v>
      </c>
      <c r="L105" t="s">
        <v>3186</v>
      </c>
      <c r="N105" t="s">
        <v>3186</v>
      </c>
      <c r="O105" t="s">
        <v>3238</v>
      </c>
      <c r="P105" t="s">
        <v>3610</v>
      </c>
      <c r="Q105" t="s">
        <v>3634</v>
      </c>
      <c r="T105" t="s">
        <v>3660</v>
      </c>
      <c r="W105" t="s">
        <v>3670</v>
      </c>
      <c r="Y105">
        <v>938</v>
      </c>
      <c r="Z105" t="s">
        <v>3690</v>
      </c>
      <c r="AA105" t="s">
        <v>3695</v>
      </c>
      <c r="AC105" t="s">
        <v>3819</v>
      </c>
      <c r="AE105" t="s">
        <v>4962</v>
      </c>
      <c r="AF105">
        <v>30</v>
      </c>
      <c r="AI105">
        <v>34</v>
      </c>
      <c r="AJ105">
        <v>1</v>
      </c>
      <c r="AK105">
        <v>0</v>
      </c>
      <c r="AL105">
        <v>72.06</v>
      </c>
      <c r="AO105" t="s">
        <v>5844</v>
      </c>
      <c r="AP105">
        <v>9000</v>
      </c>
      <c r="AV105">
        <v>1</v>
      </c>
      <c r="AW105" t="s">
        <v>228</v>
      </c>
      <c r="AX105" t="s">
        <v>6008</v>
      </c>
    </row>
    <row r="106" spans="1:50">
      <c r="A106" s="1">
        <f>HYPERLINK("https://lsnyc.legalserver.org/matter/dynamic-profile/view/1889748","19-1889748")</f>
        <v>0</v>
      </c>
      <c r="B106" t="s">
        <v>69</v>
      </c>
      <c r="C106" t="s">
        <v>191</v>
      </c>
      <c r="D106" t="s">
        <v>247</v>
      </c>
      <c r="F106" t="s">
        <v>526</v>
      </c>
      <c r="G106" t="s">
        <v>1272</v>
      </c>
      <c r="H106" t="s">
        <v>2051</v>
      </c>
      <c r="I106" t="s">
        <v>2831</v>
      </c>
      <c r="J106" t="s">
        <v>3159</v>
      </c>
      <c r="K106">
        <v>10301</v>
      </c>
      <c r="L106" t="s">
        <v>3185</v>
      </c>
      <c r="M106" t="s">
        <v>3189</v>
      </c>
      <c r="N106" t="s">
        <v>3186</v>
      </c>
      <c r="T106" t="s">
        <v>3660</v>
      </c>
      <c r="W106" t="s">
        <v>3670</v>
      </c>
      <c r="Y106">
        <v>0</v>
      </c>
      <c r="Z106" t="s">
        <v>3692</v>
      </c>
      <c r="AC106" t="s">
        <v>3820</v>
      </c>
      <c r="AE106" t="s">
        <v>4963</v>
      </c>
      <c r="AF106">
        <v>0</v>
      </c>
      <c r="AI106">
        <v>0</v>
      </c>
      <c r="AJ106">
        <v>2</v>
      </c>
      <c r="AK106">
        <v>1</v>
      </c>
      <c r="AL106">
        <v>134.08</v>
      </c>
      <c r="AO106" t="s">
        <v>5843</v>
      </c>
      <c r="AP106">
        <v>28600</v>
      </c>
      <c r="AV106">
        <v>18.75</v>
      </c>
      <c r="AW106" t="s">
        <v>197</v>
      </c>
      <c r="AX106" t="s">
        <v>6026</v>
      </c>
    </row>
    <row r="107" spans="1:50">
      <c r="A107" s="1">
        <f>HYPERLINK("https://lsnyc.legalserver.org/matter/dynamic-profile/view/1894945","19-1894945")</f>
        <v>0</v>
      </c>
      <c r="B107" t="s">
        <v>69</v>
      </c>
      <c r="C107" t="s">
        <v>191</v>
      </c>
      <c r="D107" t="s">
        <v>248</v>
      </c>
      <c r="F107" t="s">
        <v>527</v>
      </c>
      <c r="G107" t="s">
        <v>1273</v>
      </c>
      <c r="H107" t="s">
        <v>2052</v>
      </c>
      <c r="I107" t="s">
        <v>2870</v>
      </c>
      <c r="J107" t="s">
        <v>3159</v>
      </c>
      <c r="K107">
        <v>10301</v>
      </c>
      <c r="L107" t="s">
        <v>3185</v>
      </c>
      <c r="M107" t="s">
        <v>3189</v>
      </c>
      <c r="N107" t="s">
        <v>3186</v>
      </c>
      <c r="O107" t="s">
        <v>3239</v>
      </c>
      <c r="P107" t="s">
        <v>3612</v>
      </c>
      <c r="T107" t="s">
        <v>3660</v>
      </c>
      <c r="U107" t="s">
        <v>3184</v>
      </c>
      <c r="W107" t="s">
        <v>3670</v>
      </c>
      <c r="X107" t="s">
        <v>3681</v>
      </c>
      <c r="Y107">
        <v>1121.2</v>
      </c>
      <c r="Z107" t="s">
        <v>3692</v>
      </c>
      <c r="AA107" t="s">
        <v>3706</v>
      </c>
      <c r="AC107" t="s">
        <v>3821</v>
      </c>
      <c r="AE107" t="s">
        <v>4964</v>
      </c>
      <c r="AF107">
        <v>120</v>
      </c>
      <c r="AG107" t="s">
        <v>5813</v>
      </c>
      <c r="AH107" t="s">
        <v>3188</v>
      </c>
      <c r="AI107">
        <v>17</v>
      </c>
      <c r="AJ107">
        <v>1</v>
      </c>
      <c r="AK107">
        <v>0</v>
      </c>
      <c r="AL107">
        <v>249.8</v>
      </c>
      <c r="AO107" t="s">
        <v>5843</v>
      </c>
      <c r="AP107">
        <v>31200</v>
      </c>
      <c r="AV107">
        <v>17.05</v>
      </c>
      <c r="AW107" t="s">
        <v>199</v>
      </c>
      <c r="AX107" t="s">
        <v>6017</v>
      </c>
    </row>
    <row r="108" spans="1:50">
      <c r="A108" s="1">
        <f>HYPERLINK("https://lsnyc.legalserver.org/matter/dynamic-profile/view/1905088","19-1905088")</f>
        <v>0</v>
      </c>
      <c r="B108" t="s">
        <v>74</v>
      </c>
      <c r="C108" t="s">
        <v>191</v>
      </c>
      <c r="D108" t="s">
        <v>249</v>
      </c>
      <c r="F108" t="s">
        <v>528</v>
      </c>
      <c r="G108" t="s">
        <v>1274</v>
      </c>
      <c r="H108" t="s">
        <v>2053</v>
      </c>
      <c r="I108" t="s">
        <v>2871</v>
      </c>
      <c r="J108" t="s">
        <v>3147</v>
      </c>
      <c r="K108">
        <v>10452</v>
      </c>
      <c r="L108" t="s">
        <v>3186</v>
      </c>
      <c r="N108" t="s">
        <v>3186</v>
      </c>
      <c r="Q108" t="s">
        <v>3634</v>
      </c>
      <c r="T108" t="s">
        <v>3660</v>
      </c>
      <c r="W108" t="s">
        <v>3670</v>
      </c>
      <c r="Y108">
        <v>1270</v>
      </c>
      <c r="Z108" t="s">
        <v>3690</v>
      </c>
      <c r="AC108" t="s">
        <v>3822</v>
      </c>
      <c r="AE108" t="s">
        <v>4965</v>
      </c>
      <c r="AF108">
        <v>40</v>
      </c>
      <c r="AI108">
        <v>6</v>
      </c>
      <c r="AJ108">
        <v>2</v>
      </c>
      <c r="AK108">
        <v>0</v>
      </c>
      <c r="AL108">
        <v>20.58</v>
      </c>
      <c r="AO108" t="s">
        <v>5844</v>
      </c>
      <c r="AP108">
        <v>3480</v>
      </c>
      <c r="AV108">
        <v>1.7</v>
      </c>
      <c r="AW108" t="s">
        <v>243</v>
      </c>
      <c r="AX108" t="s">
        <v>6012</v>
      </c>
    </row>
    <row r="109" spans="1:50">
      <c r="A109" s="1">
        <f>HYPERLINK("https://lsnyc.legalserver.org/matter/dynamic-profile/view/1909921","19-1909921")</f>
        <v>0</v>
      </c>
      <c r="B109" t="s">
        <v>69</v>
      </c>
      <c r="C109" t="s">
        <v>191</v>
      </c>
      <c r="D109" t="s">
        <v>198</v>
      </c>
      <c r="F109" t="s">
        <v>529</v>
      </c>
      <c r="G109" t="s">
        <v>1275</v>
      </c>
      <c r="H109" t="s">
        <v>2054</v>
      </c>
      <c r="J109" t="s">
        <v>3159</v>
      </c>
      <c r="K109">
        <v>10301</v>
      </c>
      <c r="L109" t="s">
        <v>3185</v>
      </c>
      <c r="M109" t="s">
        <v>3189</v>
      </c>
      <c r="N109" t="s">
        <v>3186</v>
      </c>
      <c r="O109" t="s">
        <v>3240</v>
      </c>
      <c r="P109" t="s">
        <v>3610</v>
      </c>
      <c r="Q109" t="s">
        <v>3638</v>
      </c>
      <c r="S109" t="s">
        <v>243</v>
      </c>
      <c r="T109" t="s">
        <v>3660</v>
      </c>
      <c r="U109" t="s">
        <v>3184</v>
      </c>
      <c r="W109" t="s">
        <v>3670</v>
      </c>
      <c r="X109" t="s">
        <v>3681</v>
      </c>
      <c r="Y109">
        <v>2500</v>
      </c>
      <c r="Z109" t="s">
        <v>3692</v>
      </c>
      <c r="AA109" t="s">
        <v>3697</v>
      </c>
      <c r="AC109" t="s">
        <v>3823</v>
      </c>
      <c r="AE109" t="s">
        <v>4966</v>
      </c>
      <c r="AF109">
        <v>1</v>
      </c>
      <c r="AG109" t="s">
        <v>5814</v>
      </c>
      <c r="AI109">
        <v>1</v>
      </c>
      <c r="AJ109">
        <v>1</v>
      </c>
      <c r="AK109">
        <v>0</v>
      </c>
      <c r="AL109">
        <v>162.37</v>
      </c>
      <c r="AO109" t="s">
        <v>5843</v>
      </c>
      <c r="AP109">
        <v>20280</v>
      </c>
      <c r="AV109">
        <v>0.3</v>
      </c>
      <c r="AW109" t="s">
        <v>221</v>
      </c>
      <c r="AX109" t="s">
        <v>6027</v>
      </c>
    </row>
    <row r="110" spans="1:50">
      <c r="A110" s="1">
        <f>HYPERLINK("https://lsnyc.legalserver.org/matter/dynamic-profile/view/1906235","19-1906235")</f>
        <v>0</v>
      </c>
      <c r="B110" t="s">
        <v>75</v>
      </c>
      <c r="C110" t="s">
        <v>191</v>
      </c>
      <c r="D110" t="s">
        <v>219</v>
      </c>
      <c r="F110" t="s">
        <v>445</v>
      </c>
      <c r="G110" t="s">
        <v>1276</v>
      </c>
      <c r="H110" t="s">
        <v>2055</v>
      </c>
      <c r="I110" t="s">
        <v>2872</v>
      </c>
      <c r="J110" t="s">
        <v>3147</v>
      </c>
      <c r="K110">
        <v>10455</v>
      </c>
      <c r="L110" t="s">
        <v>3186</v>
      </c>
      <c r="N110" t="s">
        <v>3186</v>
      </c>
      <c r="Q110" t="s">
        <v>3639</v>
      </c>
      <c r="T110" t="s">
        <v>3660</v>
      </c>
      <c r="W110" t="s">
        <v>3670</v>
      </c>
      <c r="Y110">
        <v>0</v>
      </c>
      <c r="Z110" t="s">
        <v>3690</v>
      </c>
      <c r="AC110" t="s">
        <v>3824</v>
      </c>
      <c r="AE110" t="s">
        <v>4967</v>
      </c>
      <c r="AF110">
        <v>0</v>
      </c>
      <c r="AI110">
        <v>0</v>
      </c>
      <c r="AJ110">
        <v>1</v>
      </c>
      <c r="AK110">
        <v>3</v>
      </c>
      <c r="AL110">
        <v>18.92</v>
      </c>
      <c r="AO110" t="s">
        <v>5843</v>
      </c>
      <c r="AP110">
        <v>4870.8</v>
      </c>
      <c r="AV110">
        <v>0</v>
      </c>
      <c r="AX110" t="s">
        <v>75</v>
      </c>
    </row>
    <row r="111" spans="1:50">
      <c r="A111" s="1">
        <f>HYPERLINK("https://lsnyc.legalserver.org/matter/dynamic-profile/view/1901574","19-1901574")</f>
        <v>0</v>
      </c>
      <c r="B111" t="s">
        <v>69</v>
      </c>
      <c r="C111" t="s">
        <v>191</v>
      </c>
      <c r="D111" t="s">
        <v>250</v>
      </c>
      <c r="F111" t="s">
        <v>530</v>
      </c>
      <c r="G111" t="s">
        <v>1186</v>
      </c>
      <c r="H111" t="s">
        <v>2056</v>
      </c>
      <c r="I111">
        <v>1</v>
      </c>
      <c r="J111" t="s">
        <v>3159</v>
      </c>
      <c r="K111">
        <v>10302</v>
      </c>
      <c r="L111" t="s">
        <v>3185</v>
      </c>
      <c r="N111" t="s">
        <v>3186</v>
      </c>
      <c r="P111" t="s">
        <v>3613</v>
      </c>
      <c r="Q111" t="s">
        <v>3637</v>
      </c>
      <c r="T111" t="s">
        <v>3661</v>
      </c>
      <c r="W111" t="s">
        <v>3670</v>
      </c>
      <c r="Y111">
        <v>1300</v>
      </c>
      <c r="Z111" t="s">
        <v>3692</v>
      </c>
      <c r="AA111" t="s">
        <v>3696</v>
      </c>
      <c r="AC111" t="s">
        <v>3825</v>
      </c>
      <c r="AF111">
        <v>0</v>
      </c>
      <c r="AI111">
        <v>6</v>
      </c>
      <c r="AJ111">
        <v>4</v>
      </c>
      <c r="AK111">
        <v>2</v>
      </c>
      <c r="AL111">
        <v>38.16</v>
      </c>
      <c r="AM111" t="s">
        <v>5835</v>
      </c>
      <c r="AN111" t="s">
        <v>5840</v>
      </c>
      <c r="AO111" t="s">
        <v>5844</v>
      </c>
      <c r="AP111">
        <v>13200</v>
      </c>
      <c r="AV111">
        <v>1</v>
      </c>
      <c r="AW111" t="s">
        <v>309</v>
      </c>
      <c r="AX111" t="s">
        <v>69</v>
      </c>
    </row>
    <row r="112" spans="1:50">
      <c r="A112" s="1">
        <f>HYPERLINK("https://lsnyc.legalserver.org/matter/dynamic-profile/view/1904129","19-1904129")</f>
        <v>0</v>
      </c>
      <c r="B112" t="s">
        <v>76</v>
      </c>
      <c r="C112" t="s">
        <v>192</v>
      </c>
      <c r="D112" t="s">
        <v>213</v>
      </c>
      <c r="E112" t="s">
        <v>213</v>
      </c>
      <c r="F112" t="s">
        <v>531</v>
      </c>
      <c r="G112" t="s">
        <v>1277</v>
      </c>
      <c r="H112" t="s">
        <v>2057</v>
      </c>
      <c r="I112">
        <v>614</v>
      </c>
      <c r="J112" t="s">
        <v>3147</v>
      </c>
      <c r="K112">
        <v>10457</v>
      </c>
      <c r="L112" t="s">
        <v>3185</v>
      </c>
      <c r="M112" t="s">
        <v>3189</v>
      </c>
      <c r="N112" t="s">
        <v>3186</v>
      </c>
      <c r="O112" t="s">
        <v>3241</v>
      </c>
      <c r="P112" t="s">
        <v>3610</v>
      </c>
      <c r="Q112" t="s">
        <v>3636</v>
      </c>
      <c r="R112" t="s">
        <v>3643</v>
      </c>
      <c r="S112" t="s">
        <v>285</v>
      </c>
      <c r="T112" t="s">
        <v>3660</v>
      </c>
      <c r="U112" t="s">
        <v>3184</v>
      </c>
      <c r="W112" t="s">
        <v>3670</v>
      </c>
      <c r="X112" t="s">
        <v>3681</v>
      </c>
      <c r="Y112">
        <v>1268</v>
      </c>
      <c r="Z112" t="s">
        <v>3690</v>
      </c>
      <c r="AA112" t="s">
        <v>3696</v>
      </c>
      <c r="AB112" t="s">
        <v>3718</v>
      </c>
      <c r="AC112" t="s">
        <v>3826</v>
      </c>
      <c r="AD112" t="s">
        <v>4776</v>
      </c>
      <c r="AE112" t="s">
        <v>4968</v>
      </c>
      <c r="AF112">
        <v>99</v>
      </c>
      <c r="AG112" t="s">
        <v>5819</v>
      </c>
      <c r="AH112" t="s">
        <v>5825</v>
      </c>
      <c r="AI112">
        <v>1</v>
      </c>
      <c r="AJ112">
        <v>1</v>
      </c>
      <c r="AK112">
        <v>1</v>
      </c>
      <c r="AL112">
        <v>52.66</v>
      </c>
      <c r="AO112" t="s">
        <v>5843</v>
      </c>
      <c r="AP112">
        <v>8904</v>
      </c>
      <c r="AV112">
        <v>0.5</v>
      </c>
      <c r="AW112" t="s">
        <v>213</v>
      </c>
      <c r="AX112" t="s">
        <v>78</v>
      </c>
    </row>
    <row r="113" spans="1:50">
      <c r="A113" s="1">
        <f>HYPERLINK("https://lsnyc.legalserver.org/matter/dynamic-profile/view/1904528","19-1904528")</f>
        <v>0</v>
      </c>
      <c r="B113" t="s">
        <v>76</v>
      </c>
      <c r="C113" t="s">
        <v>192</v>
      </c>
      <c r="D113" t="s">
        <v>233</v>
      </c>
      <c r="E113" t="s">
        <v>214</v>
      </c>
      <c r="F113" t="s">
        <v>532</v>
      </c>
      <c r="G113" t="s">
        <v>1278</v>
      </c>
      <c r="H113" t="s">
        <v>2058</v>
      </c>
      <c r="I113" t="s">
        <v>2854</v>
      </c>
      <c r="J113" t="s">
        <v>3147</v>
      </c>
      <c r="K113">
        <v>10467</v>
      </c>
      <c r="L113" t="s">
        <v>3185</v>
      </c>
      <c r="M113" t="s">
        <v>3189</v>
      </c>
      <c r="N113" t="s">
        <v>3186</v>
      </c>
      <c r="O113" t="s">
        <v>3242</v>
      </c>
      <c r="P113" t="s">
        <v>3609</v>
      </c>
      <c r="Q113" t="s">
        <v>3636</v>
      </c>
      <c r="R113" t="s">
        <v>3643</v>
      </c>
      <c r="S113" t="s">
        <v>285</v>
      </c>
      <c r="T113" t="s">
        <v>3660</v>
      </c>
      <c r="U113" t="s">
        <v>3184</v>
      </c>
      <c r="W113" t="s">
        <v>3671</v>
      </c>
      <c r="Y113">
        <v>811</v>
      </c>
      <c r="Z113" t="s">
        <v>3690</v>
      </c>
      <c r="AA113" t="s">
        <v>3696</v>
      </c>
      <c r="AB113" t="s">
        <v>3716</v>
      </c>
      <c r="AC113" t="s">
        <v>3827</v>
      </c>
      <c r="AE113" t="s">
        <v>4969</v>
      </c>
      <c r="AF113">
        <v>53</v>
      </c>
      <c r="AG113" t="s">
        <v>5813</v>
      </c>
      <c r="AH113" t="s">
        <v>5826</v>
      </c>
      <c r="AI113">
        <v>42</v>
      </c>
      <c r="AJ113">
        <v>1</v>
      </c>
      <c r="AK113">
        <v>0</v>
      </c>
      <c r="AL113">
        <v>73.02</v>
      </c>
      <c r="AO113" t="s">
        <v>5844</v>
      </c>
      <c r="AP113">
        <v>9120</v>
      </c>
      <c r="AV113">
        <v>1.5</v>
      </c>
      <c r="AW113" t="s">
        <v>214</v>
      </c>
      <c r="AX113" t="s">
        <v>78</v>
      </c>
    </row>
    <row r="114" spans="1:50">
      <c r="A114" s="1">
        <f>HYPERLINK("https://lsnyc.legalserver.org/matter/dynamic-profile/view/1906045","19-1906045")</f>
        <v>0</v>
      </c>
      <c r="B114" t="s">
        <v>76</v>
      </c>
      <c r="C114" t="s">
        <v>192</v>
      </c>
      <c r="D114" t="s">
        <v>208</v>
      </c>
      <c r="E114" t="s">
        <v>219</v>
      </c>
      <c r="F114" t="s">
        <v>533</v>
      </c>
      <c r="G114" t="s">
        <v>1278</v>
      </c>
      <c r="H114" t="s">
        <v>2058</v>
      </c>
      <c r="I114" t="s">
        <v>2854</v>
      </c>
      <c r="J114" t="s">
        <v>3147</v>
      </c>
      <c r="K114">
        <v>10467</v>
      </c>
      <c r="L114" t="s">
        <v>3185</v>
      </c>
      <c r="M114" t="s">
        <v>3189</v>
      </c>
      <c r="N114" t="s">
        <v>3186</v>
      </c>
      <c r="O114" t="s">
        <v>3242</v>
      </c>
      <c r="P114" t="s">
        <v>3616</v>
      </c>
      <c r="Q114" t="s">
        <v>3636</v>
      </c>
      <c r="R114" t="s">
        <v>3643</v>
      </c>
      <c r="S114" t="s">
        <v>229</v>
      </c>
      <c r="T114" t="s">
        <v>3660</v>
      </c>
      <c r="U114" t="s">
        <v>3184</v>
      </c>
      <c r="W114" t="s">
        <v>3671</v>
      </c>
      <c r="Y114">
        <v>811</v>
      </c>
      <c r="Z114" t="s">
        <v>3690</v>
      </c>
      <c r="AA114" t="s">
        <v>3696</v>
      </c>
      <c r="AB114" t="s">
        <v>3712</v>
      </c>
      <c r="AC114" t="s">
        <v>3827</v>
      </c>
      <c r="AE114" t="s">
        <v>4969</v>
      </c>
      <c r="AF114">
        <v>53</v>
      </c>
      <c r="AG114" t="s">
        <v>5813</v>
      </c>
      <c r="AH114" t="s">
        <v>5826</v>
      </c>
      <c r="AI114">
        <v>42</v>
      </c>
      <c r="AJ114">
        <v>1</v>
      </c>
      <c r="AK114">
        <v>0</v>
      </c>
      <c r="AL114">
        <v>73.02</v>
      </c>
      <c r="AO114" t="s">
        <v>5844</v>
      </c>
      <c r="AP114">
        <v>9120</v>
      </c>
      <c r="AV114">
        <v>0.6</v>
      </c>
      <c r="AW114" t="s">
        <v>208</v>
      </c>
      <c r="AX114" t="s">
        <v>78</v>
      </c>
    </row>
    <row r="115" spans="1:50">
      <c r="A115" s="1">
        <f>HYPERLINK("https://lsnyc.legalserver.org/matter/dynamic-profile/view/1907973","19-1907973")</f>
        <v>0</v>
      </c>
      <c r="B115" t="s">
        <v>76</v>
      </c>
      <c r="C115" t="s">
        <v>192</v>
      </c>
      <c r="D115" t="s">
        <v>251</v>
      </c>
      <c r="E115" t="s">
        <v>195</v>
      </c>
      <c r="F115" t="s">
        <v>534</v>
      </c>
      <c r="G115" t="s">
        <v>1186</v>
      </c>
      <c r="H115" t="s">
        <v>2059</v>
      </c>
      <c r="I115" t="s">
        <v>2873</v>
      </c>
      <c r="J115" t="s">
        <v>3147</v>
      </c>
      <c r="K115">
        <v>10458</v>
      </c>
      <c r="L115" t="s">
        <v>3185</v>
      </c>
      <c r="N115" t="s">
        <v>3186</v>
      </c>
      <c r="O115" t="s">
        <v>3243</v>
      </c>
      <c r="P115" t="s">
        <v>3610</v>
      </c>
      <c r="Q115" t="s">
        <v>3636</v>
      </c>
      <c r="R115" t="s">
        <v>3643</v>
      </c>
      <c r="T115" t="s">
        <v>3660</v>
      </c>
      <c r="U115" t="s">
        <v>3185</v>
      </c>
      <c r="W115" t="s">
        <v>3670</v>
      </c>
      <c r="X115" t="s">
        <v>3681</v>
      </c>
      <c r="Y115">
        <v>1071</v>
      </c>
      <c r="Z115" t="s">
        <v>3690</v>
      </c>
      <c r="AA115" t="s">
        <v>3696</v>
      </c>
      <c r="AB115" t="s">
        <v>3712</v>
      </c>
      <c r="AC115" t="s">
        <v>3828</v>
      </c>
      <c r="AE115" t="s">
        <v>4970</v>
      </c>
      <c r="AF115">
        <v>136</v>
      </c>
      <c r="AG115" t="s">
        <v>5813</v>
      </c>
      <c r="AH115" t="s">
        <v>3188</v>
      </c>
      <c r="AI115">
        <v>18</v>
      </c>
      <c r="AJ115">
        <v>5</v>
      </c>
      <c r="AK115">
        <v>0</v>
      </c>
      <c r="AL115">
        <v>261.55</v>
      </c>
      <c r="AO115" t="s">
        <v>5844</v>
      </c>
      <c r="AP115">
        <v>78910</v>
      </c>
      <c r="AV115">
        <v>1</v>
      </c>
      <c r="AW115" t="s">
        <v>251</v>
      </c>
      <c r="AX115" t="s">
        <v>78</v>
      </c>
    </row>
    <row r="116" spans="1:50">
      <c r="A116" s="1">
        <f>HYPERLINK("https://lsnyc.legalserver.org/matter/dynamic-profile/view/1904525","19-1904525")</f>
        <v>0</v>
      </c>
      <c r="B116" t="s">
        <v>76</v>
      </c>
      <c r="C116" t="s">
        <v>192</v>
      </c>
      <c r="D116" t="s">
        <v>233</v>
      </c>
      <c r="E116" t="s">
        <v>203</v>
      </c>
      <c r="F116" t="s">
        <v>532</v>
      </c>
      <c r="G116" t="s">
        <v>1278</v>
      </c>
      <c r="H116" t="s">
        <v>2058</v>
      </c>
      <c r="I116" t="s">
        <v>2854</v>
      </c>
      <c r="J116" t="s">
        <v>3147</v>
      </c>
      <c r="K116">
        <v>10467</v>
      </c>
      <c r="L116" t="s">
        <v>3185</v>
      </c>
      <c r="M116" t="s">
        <v>3189</v>
      </c>
      <c r="N116" t="s">
        <v>3186</v>
      </c>
      <c r="O116" t="s">
        <v>3242</v>
      </c>
      <c r="P116" t="s">
        <v>3613</v>
      </c>
      <c r="Q116" t="s">
        <v>3638</v>
      </c>
      <c r="R116" t="s">
        <v>3644</v>
      </c>
      <c r="S116" t="s">
        <v>285</v>
      </c>
      <c r="T116" t="s">
        <v>3660</v>
      </c>
      <c r="U116" t="s">
        <v>3184</v>
      </c>
      <c r="W116" t="s">
        <v>3670</v>
      </c>
      <c r="X116" t="s">
        <v>3681</v>
      </c>
      <c r="Y116">
        <v>811</v>
      </c>
      <c r="Z116" t="s">
        <v>3690</v>
      </c>
      <c r="AA116" t="s">
        <v>3696</v>
      </c>
      <c r="AB116" t="s">
        <v>3714</v>
      </c>
      <c r="AC116" t="s">
        <v>3827</v>
      </c>
      <c r="AE116" t="s">
        <v>4969</v>
      </c>
      <c r="AF116">
        <v>53</v>
      </c>
      <c r="AG116" t="s">
        <v>5813</v>
      </c>
      <c r="AH116" t="s">
        <v>5826</v>
      </c>
      <c r="AI116">
        <v>42</v>
      </c>
      <c r="AJ116">
        <v>1</v>
      </c>
      <c r="AK116">
        <v>0</v>
      </c>
      <c r="AL116">
        <v>73.02</v>
      </c>
      <c r="AO116" t="s">
        <v>5844</v>
      </c>
      <c r="AP116">
        <v>9120</v>
      </c>
      <c r="AS116" t="s">
        <v>5938</v>
      </c>
      <c r="AT116" t="s">
        <v>5946</v>
      </c>
      <c r="AU116" t="s">
        <v>5950</v>
      </c>
      <c r="AV116">
        <v>3.5</v>
      </c>
      <c r="AW116" t="s">
        <v>210</v>
      </c>
      <c r="AX116" t="s">
        <v>78</v>
      </c>
    </row>
    <row r="117" spans="1:50">
      <c r="A117" s="1">
        <f>HYPERLINK("https://lsnyc.legalserver.org/matter/dynamic-profile/view/1908006","19-1908006")</f>
        <v>0</v>
      </c>
      <c r="B117" t="s">
        <v>76</v>
      </c>
      <c r="C117" t="s">
        <v>191</v>
      </c>
      <c r="D117" t="s">
        <v>251</v>
      </c>
      <c r="F117" t="s">
        <v>535</v>
      </c>
      <c r="G117" t="s">
        <v>1279</v>
      </c>
      <c r="H117" t="s">
        <v>2060</v>
      </c>
      <c r="I117" t="s">
        <v>2874</v>
      </c>
      <c r="J117" t="s">
        <v>3147</v>
      </c>
      <c r="K117">
        <v>10457</v>
      </c>
      <c r="L117" t="s">
        <v>3185</v>
      </c>
      <c r="N117" t="s">
        <v>3186</v>
      </c>
      <c r="O117" t="s">
        <v>3244</v>
      </c>
      <c r="P117" t="s">
        <v>3616</v>
      </c>
      <c r="Q117" t="s">
        <v>3639</v>
      </c>
      <c r="T117" t="s">
        <v>3660</v>
      </c>
      <c r="U117" t="s">
        <v>3185</v>
      </c>
      <c r="W117" t="s">
        <v>3670</v>
      </c>
      <c r="Y117">
        <v>186</v>
      </c>
      <c r="Z117" t="s">
        <v>3690</v>
      </c>
      <c r="AA117" t="s">
        <v>3700</v>
      </c>
      <c r="AC117" t="s">
        <v>3829</v>
      </c>
      <c r="AE117" t="s">
        <v>4971</v>
      </c>
      <c r="AF117">
        <v>48</v>
      </c>
      <c r="AG117" t="s">
        <v>3263</v>
      </c>
      <c r="AH117" t="s">
        <v>5827</v>
      </c>
      <c r="AI117">
        <v>5</v>
      </c>
      <c r="AJ117">
        <v>1</v>
      </c>
      <c r="AK117">
        <v>0</v>
      </c>
      <c r="AL117">
        <v>0</v>
      </c>
      <c r="AO117" t="s">
        <v>5844</v>
      </c>
      <c r="AP117">
        <v>0</v>
      </c>
      <c r="AV117">
        <v>0</v>
      </c>
      <c r="AX117" t="s">
        <v>78</v>
      </c>
    </row>
    <row r="118" spans="1:50">
      <c r="A118" s="1">
        <f>HYPERLINK("https://lsnyc.legalserver.org/matter/dynamic-profile/view/1909771","19-1909771")</f>
        <v>0</v>
      </c>
      <c r="B118" t="s">
        <v>76</v>
      </c>
      <c r="C118" t="s">
        <v>191</v>
      </c>
      <c r="D118" t="s">
        <v>252</v>
      </c>
      <c r="F118" t="s">
        <v>536</v>
      </c>
      <c r="G118" t="s">
        <v>1280</v>
      </c>
      <c r="H118" t="s">
        <v>2060</v>
      </c>
      <c r="I118" t="s">
        <v>2875</v>
      </c>
      <c r="J118" t="s">
        <v>3147</v>
      </c>
      <c r="K118">
        <v>10457</v>
      </c>
      <c r="L118" t="s">
        <v>3185</v>
      </c>
      <c r="M118" t="s">
        <v>3189</v>
      </c>
      <c r="N118" t="s">
        <v>3186</v>
      </c>
      <c r="O118" t="s">
        <v>3245</v>
      </c>
      <c r="P118" t="s">
        <v>3616</v>
      </c>
      <c r="Q118" t="s">
        <v>3634</v>
      </c>
      <c r="T118" t="s">
        <v>3660</v>
      </c>
      <c r="U118" t="s">
        <v>3184</v>
      </c>
      <c r="W118" t="s">
        <v>3670</v>
      </c>
      <c r="Y118">
        <v>1750</v>
      </c>
      <c r="Z118" t="s">
        <v>3690</v>
      </c>
      <c r="AA118" t="s">
        <v>3700</v>
      </c>
      <c r="AC118" t="s">
        <v>3830</v>
      </c>
      <c r="AF118">
        <v>47</v>
      </c>
      <c r="AG118" t="s">
        <v>5813</v>
      </c>
      <c r="AH118" t="s">
        <v>3188</v>
      </c>
      <c r="AI118">
        <v>5</v>
      </c>
      <c r="AJ118">
        <v>1</v>
      </c>
      <c r="AK118">
        <v>1</v>
      </c>
      <c r="AL118">
        <v>27.68</v>
      </c>
      <c r="AO118" t="s">
        <v>5844</v>
      </c>
      <c r="AP118">
        <v>4680</v>
      </c>
      <c r="AV118">
        <v>1</v>
      </c>
      <c r="AW118" t="s">
        <v>252</v>
      </c>
      <c r="AX118" t="s">
        <v>83</v>
      </c>
    </row>
    <row r="119" spans="1:50">
      <c r="A119" s="1">
        <f>HYPERLINK("https://lsnyc.legalserver.org/matter/dynamic-profile/view/1908016","19-1908016")</f>
        <v>0</v>
      </c>
      <c r="B119" t="s">
        <v>76</v>
      </c>
      <c r="C119" t="s">
        <v>191</v>
      </c>
      <c r="D119" t="s">
        <v>195</v>
      </c>
      <c r="F119" t="s">
        <v>537</v>
      </c>
      <c r="G119" t="s">
        <v>1203</v>
      </c>
      <c r="H119" t="s">
        <v>2060</v>
      </c>
      <c r="I119" t="s">
        <v>2876</v>
      </c>
      <c r="J119" t="s">
        <v>3147</v>
      </c>
      <c r="K119">
        <v>10457</v>
      </c>
      <c r="L119" t="s">
        <v>3185</v>
      </c>
      <c r="N119" t="s">
        <v>3186</v>
      </c>
      <c r="O119" t="s">
        <v>3246</v>
      </c>
      <c r="P119" t="s">
        <v>3616</v>
      </c>
      <c r="Q119" t="s">
        <v>3639</v>
      </c>
      <c r="T119" t="s">
        <v>3660</v>
      </c>
      <c r="U119" t="s">
        <v>3185</v>
      </c>
      <c r="W119" t="s">
        <v>3670</v>
      </c>
      <c r="Y119">
        <v>385</v>
      </c>
      <c r="Z119" t="s">
        <v>3690</v>
      </c>
      <c r="AA119" t="s">
        <v>3700</v>
      </c>
      <c r="AC119" t="s">
        <v>3831</v>
      </c>
      <c r="AE119" t="s">
        <v>4972</v>
      </c>
      <c r="AF119">
        <v>48</v>
      </c>
      <c r="AG119" t="s">
        <v>5813</v>
      </c>
      <c r="AH119" t="s">
        <v>5827</v>
      </c>
      <c r="AI119">
        <v>5</v>
      </c>
      <c r="AJ119">
        <v>1</v>
      </c>
      <c r="AK119">
        <v>0</v>
      </c>
      <c r="AL119">
        <v>73.69</v>
      </c>
      <c r="AO119" t="s">
        <v>5844</v>
      </c>
      <c r="AP119">
        <v>9204</v>
      </c>
      <c r="AV119">
        <v>1.1</v>
      </c>
      <c r="AW119" t="s">
        <v>207</v>
      </c>
      <c r="AX119" t="s">
        <v>78</v>
      </c>
    </row>
    <row r="120" spans="1:50">
      <c r="A120" s="1">
        <f>HYPERLINK("https://lsnyc.legalserver.org/matter/dynamic-profile/view/1909393","19-1909393")</f>
        <v>0</v>
      </c>
      <c r="B120" t="s">
        <v>76</v>
      </c>
      <c r="C120" t="s">
        <v>191</v>
      </c>
      <c r="D120" t="s">
        <v>196</v>
      </c>
      <c r="F120" t="s">
        <v>522</v>
      </c>
      <c r="G120" t="s">
        <v>1281</v>
      </c>
      <c r="H120" t="s">
        <v>2060</v>
      </c>
      <c r="I120" t="s">
        <v>2877</v>
      </c>
      <c r="J120" t="s">
        <v>3147</v>
      </c>
      <c r="K120">
        <v>10457</v>
      </c>
      <c r="L120" t="s">
        <v>3185</v>
      </c>
      <c r="N120" t="s">
        <v>3186</v>
      </c>
      <c r="O120" t="s">
        <v>3245</v>
      </c>
      <c r="P120" t="s">
        <v>3616</v>
      </c>
      <c r="Q120" t="s">
        <v>3639</v>
      </c>
      <c r="T120" t="s">
        <v>3660</v>
      </c>
      <c r="U120" t="s">
        <v>3184</v>
      </c>
      <c r="W120" t="s">
        <v>3670</v>
      </c>
      <c r="Y120">
        <v>816</v>
      </c>
      <c r="Z120" t="s">
        <v>3690</v>
      </c>
      <c r="AA120" t="s">
        <v>3696</v>
      </c>
      <c r="AC120" t="s">
        <v>3832</v>
      </c>
      <c r="AE120" t="s">
        <v>4973</v>
      </c>
      <c r="AF120">
        <v>47</v>
      </c>
      <c r="AG120" t="s">
        <v>5813</v>
      </c>
      <c r="AH120" t="s">
        <v>5827</v>
      </c>
      <c r="AI120">
        <v>10</v>
      </c>
      <c r="AJ120">
        <v>1</v>
      </c>
      <c r="AK120">
        <v>0</v>
      </c>
      <c r="AL120">
        <v>73.98</v>
      </c>
      <c r="AO120" t="s">
        <v>5843</v>
      </c>
      <c r="AP120">
        <v>9240</v>
      </c>
      <c r="AV120">
        <v>9</v>
      </c>
      <c r="AW120" t="s">
        <v>291</v>
      </c>
      <c r="AX120" t="s">
        <v>78</v>
      </c>
    </row>
    <row r="121" spans="1:50">
      <c r="A121" s="1">
        <f>HYPERLINK("https://lsnyc.legalserver.org/matter/dynamic-profile/view/1907382","19-1907382")</f>
        <v>0</v>
      </c>
      <c r="B121" t="s">
        <v>76</v>
      </c>
      <c r="C121" t="s">
        <v>191</v>
      </c>
      <c r="D121" t="s">
        <v>253</v>
      </c>
      <c r="F121" t="s">
        <v>522</v>
      </c>
      <c r="G121" t="s">
        <v>1281</v>
      </c>
      <c r="H121" t="s">
        <v>2060</v>
      </c>
      <c r="I121" t="s">
        <v>2877</v>
      </c>
      <c r="J121" t="s">
        <v>3147</v>
      </c>
      <c r="K121">
        <v>10457</v>
      </c>
      <c r="L121" t="s">
        <v>3185</v>
      </c>
      <c r="M121" t="s">
        <v>3189</v>
      </c>
      <c r="N121" t="s">
        <v>3186</v>
      </c>
      <c r="P121" t="s">
        <v>3620</v>
      </c>
      <c r="Q121" t="s">
        <v>3638</v>
      </c>
      <c r="T121" t="s">
        <v>3660</v>
      </c>
      <c r="U121" t="s">
        <v>3184</v>
      </c>
      <c r="W121" t="s">
        <v>3673</v>
      </c>
      <c r="Y121">
        <v>816</v>
      </c>
      <c r="Z121" t="s">
        <v>3690</v>
      </c>
      <c r="AA121" t="s">
        <v>3696</v>
      </c>
      <c r="AC121" t="s">
        <v>3832</v>
      </c>
      <c r="AE121" t="s">
        <v>4973</v>
      </c>
      <c r="AF121">
        <v>47</v>
      </c>
      <c r="AG121" t="s">
        <v>5813</v>
      </c>
      <c r="AH121" t="s">
        <v>5827</v>
      </c>
      <c r="AI121">
        <v>10</v>
      </c>
      <c r="AJ121">
        <v>1</v>
      </c>
      <c r="AK121">
        <v>0</v>
      </c>
      <c r="AL121">
        <v>73.98</v>
      </c>
      <c r="AO121" t="s">
        <v>5843</v>
      </c>
      <c r="AP121">
        <v>9240</v>
      </c>
      <c r="AV121">
        <v>2</v>
      </c>
      <c r="AW121" t="s">
        <v>209</v>
      </c>
      <c r="AX121" t="s">
        <v>78</v>
      </c>
    </row>
    <row r="122" spans="1:50">
      <c r="A122" s="1">
        <f>HYPERLINK("https://lsnyc.legalserver.org/matter/dynamic-profile/view/1907945","19-1907945")</f>
        <v>0</v>
      </c>
      <c r="B122" t="s">
        <v>76</v>
      </c>
      <c r="C122" t="s">
        <v>191</v>
      </c>
      <c r="D122" t="s">
        <v>251</v>
      </c>
      <c r="F122" t="s">
        <v>478</v>
      </c>
      <c r="G122" t="s">
        <v>1203</v>
      </c>
      <c r="H122" t="s">
        <v>2059</v>
      </c>
      <c r="I122" t="s">
        <v>2878</v>
      </c>
      <c r="J122" t="s">
        <v>3147</v>
      </c>
      <c r="K122">
        <v>10458</v>
      </c>
      <c r="L122" t="s">
        <v>3185</v>
      </c>
      <c r="N122" t="s">
        <v>3186</v>
      </c>
      <c r="O122" t="s">
        <v>3247</v>
      </c>
      <c r="P122" t="s">
        <v>3616</v>
      </c>
      <c r="Q122" t="s">
        <v>3636</v>
      </c>
      <c r="T122" t="s">
        <v>3660</v>
      </c>
      <c r="U122" t="s">
        <v>3185</v>
      </c>
      <c r="W122" t="s">
        <v>3670</v>
      </c>
      <c r="Y122">
        <v>1209.23</v>
      </c>
      <c r="Z122" t="s">
        <v>3690</v>
      </c>
      <c r="AA122" t="s">
        <v>3700</v>
      </c>
      <c r="AC122" t="s">
        <v>3833</v>
      </c>
      <c r="AE122" t="s">
        <v>4974</v>
      </c>
      <c r="AF122">
        <v>136</v>
      </c>
      <c r="AG122" t="s">
        <v>5813</v>
      </c>
      <c r="AH122" t="s">
        <v>5826</v>
      </c>
      <c r="AI122">
        <v>16</v>
      </c>
      <c r="AJ122">
        <v>3</v>
      </c>
      <c r="AK122">
        <v>0</v>
      </c>
      <c r="AL122">
        <v>104.19</v>
      </c>
      <c r="AO122" t="s">
        <v>5843</v>
      </c>
      <c r="AP122">
        <v>22224</v>
      </c>
      <c r="AV122">
        <v>1</v>
      </c>
      <c r="AW122" t="s">
        <v>268</v>
      </c>
      <c r="AX122" t="s">
        <v>78</v>
      </c>
    </row>
    <row r="123" spans="1:50">
      <c r="A123" s="1">
        <f>HYPERLINK("https://lsnyc.legalserver.org/matter/dynamic-profile/view/1907995","19-1907995")</f>
        <v>0</v>
      </c>
      <c r="B123" t="s">
        <v>76</v>
      </c>
      <c r="C123" t="s">
        <v>191</v>
      </c>
      <c r="D123" t="s">
        <v>251</v>
      </c>
      <c r="F123" t="s">
        <v>538</v>
      </c>
      <c r="G123" t="s">
        <v>1282</v>
      </c>
      <c r="H123" t="s">
        <v>2060</v>
      </c>
      <c r="I123" t="s">
        <v>2816</v>
      </c>
      <c r="J123" t="s">
        <v>3147</v>
      </c>
      <c r="K123">
        <v>10457</v>
      </c>
      <c r="L123" t="s">
        <v>3185</v>
      </c>
      <c r="N123" t="s">
        <v>3186</v>
      </c>
      <c r="O123" t="s">
        <v>3244</v>
      </c>
      <c r="P123" t="s">
        <v>3616</v>
      </c>
      <c r="Q123" t="s">
        <v>3639</v>
      </c>
      <c r="T123" t="s">
        <v>3660</v>
      </c>
      <c r="U123" t="s">
        <v>3185</v>
      </c>
      <c r="W123" t="s">
        <v>3670</v>
      </c>
      <c r="Y123">
        <v>1022.34</v>
      </c>
      <c r="Z123" t="s">
        <v>3690</v>
      </c>
      <c r="AA123" t="s">
        <v>3700</v>
      </c>
      <c r="AC123" t="s">
        <v>3834</v>
      </c>
      <c r="AE123" t="s">
        <v>4975</v>
      </c>
      <c r="AF123">
        <v>48</v>
      </c>
      <c r="AG123" t="s">
        <v>5813</v>
      </c>
      <c r="AH123" t="s">
        <v>5827</v>
      </c>
      <c r="AI123">
        <v>15</v>
      </c>
      <c r="AJ123">
        <v>1</v>
      </c>
      <c r="AK123">
        <v>0</v>
      </c>
      <c r="AL123">
        <v>176.94</v>
      </c>
      <c r="AO123" t="s">
        <v>5844</v>
      </c>
      <c r="AP123">
        <v>22100</v>
      </c>
      <c r="AV123">
        <v>0</v>
      </c>
      <c r="AX123" t="s">
        <v>78</v>
      </c>
    </row>
    <row r="124" spans="1:50">
      <c r="A124" s="1">
        <f>HYPERLINK("https://lsnyc.legalserver.org/matter/dynamic-profile/view/1910500","19-1910500")</f>
        <v>0</v>
      </c>
      <c r="B124" t="s">
        <v>77</v>
      </c>
      <c r="C124" t="s">
        <v>191</v>
      </c>
      <c r="D124" t="s">
        <v>199</v>
      </c>
      <c r="F124" t="s">
        <v>539</v>
      </c>
      <c r="G124" t="s">
        <v>1283</v>
      </c>
      <c r="H124" t="s">
        <v>2061</v>
      </c>
      <c r="I124" t="s">
        <v>2879</v>
      </c>
      <c r="J124" t="s">
        <v>3150</v>
      </c>
      <c r="K124">
        <v>11101</v>
      </c>
      <c r="L124" t="s">
        <v>3185</v>
      </c>
      <c r="M124" t="s">
        <v>3189</v>
      </c>
      <c r="N124" t="s">
        <v>3186</v>
      </c>
      <c r="O124" t="s">
        <v>3248</v>
      </c>
      <c r="P124" t="s">
        <v>3621</v>
      </c>
      <c r="Q124" t="s">
        <v>3637</v>
      </c>
      <c r="T124" t="s">
        <v>3660</v>
      </c>
      <c r="U124" t="s">
        <v>3184</v>
      </c>
      <c r="W124" t="s">
        <v>3670</v>
      </c>
      <c r="Y124">
        <v>281</v>
      </c>
      <c r="Z124" t="s">
        <v>3688</v>
      </c>
      <c r="AA124" t="s">
        <v>3698</v>
      </c>
      <c r="AC124" t="s">
        <v>3835</v>
      </c>
      <c r="AE124" t="s">
        <v>4976</v>
      </c>
      <c r="AF124">
        <v>50</v>
      </c>
      <c r="AG124" t="s">
        <v>5814</v>
      </c>
      <c r="AH124" t="s">
        <v>3188</v>
      </c>
      <c r="AI124">
        <v>-1</v>
      </c>
      <c r="AJ124">
        <v>1</v>
      </c>
      <c r="AK124">
        <v>0</v>
      </c>
      <c r="AL124">
        <v>33.31</v>
      </c>
      <c r="AO124" t="s">
        <v>5843</v>
      </c>
      <c r="AP124">
        <v>4160</v>
      </c>
      <c r="AV124">
        <v>0.3</v>
      </c>
      <c r="AW124" t="s">
        <v>261</v>
      </c>
      <c r="AX124" t="s">
        <v>6028</v>
      </c>
    </row>
    <row r="125" spans="1:50">
      <c r="A125" s="1">
        <f>HYPERLINK("https://lsnyc.legalserver.org/matter/dynamic-profile/view/1907453","19-1907453")</f>
        <v>0</v>
      </c>
      <c r="B125" t="s">
        <v>77</v>
      </c>
      <c r="C125" t="s">
        <v>191</v>
      </c>
      <c r="D125" t="s">
        <v>234</v>
      </c>
      <c r="F125" t="s">
        <v>540</v>
      </c>
      <c r="G125" t="s">
        <v>1284</v>
      </c>
      <c r="H125" t="s">
        <v>2062</v>
      </c>
      <c r="I125" t="s">
        <v>2880</v>
      </c>
      <c r="J125" t="s">
        <v>3160</v>
      </c>
      <c r="K125">
        <v>11421</v>
      </c>
      <c r="L125" t="s">
        <v>3185</v>
      </c>
      <c r="M125" t="s">
        <v>3189</v>
      </c>
      <c r="N125" t="s">
        <v>3186</v>
      </c>
      <c r="O125" t="s">
        <v>3249</v>
      </c>
      <c r="P125" t="s">
        <v>3613</v>
      </c>
      <c r="Q125" t="s">
        <v>3638</v>
      </c>
      <c r="S125" t="s">
        <v>234</v>
      </c>
      <c r="T125" t="s">
        <v>3660</v>
      </c>
      <c r="U125" t="s">
        <v>3184</v>
      </c>
      <c r="W125" t="s">
        <v>3670</v>
      </c>
      <c r="X125" t="s">
        <v>3683</v>
      </c>
      <c r="Y125">
        <v>1800</v>
      </c>
      <c r="Z125" t="s">
        <v>3688</v>
      </c>
      <c r="AA125" t="s">
        <v>3698</v>
      </c>
      <c r="AC125" t="s">
        <v>3836</v>
      </c>
      <c r="AE125" t="s">
        <v>4977</v>
      </c>
      <c r="AF125">
        <v>2</v>
      </c>
      <c r="AG125" t="s">
        <v>3263</v>
      </c>
      <c r="AH125" t="s">
        <v>3188</v>
      </c>
      <c r="AI125">
        <v>8</v>
      </c>
      <c r="AJ125">
        <v>1</v>
      </c>
      <c r="AK125">
        <v>3</v>
      </c>
      <c r="AL125">
        <v>93.2</v>
      </c>
      <c r="AO125" t="s">
        <v>5843</v>
      </c>
      <c r="AP125">
        <v>24000</v>
      </c>
      <c r="AV125">
        <v>28.15</v>
      </c>
      <c r="AW125" t="s">
        <v>196</v>
      </c>
      <c r="AX125" t="s">
        <v>62</v>
      </c>
    </row>
    <row r="126" spans="1:50">
      <c r="A126" s="1">
        <f>HYPERLINK("https://lsnyc.legalserver.org/matter/dynamic-profile/view/1906922","19-1906922")</f>
        <v>0</v>
      </c>
      <c r="B126" t="s">
        <v>78</v>
      </c>
      <c r="C126" t="s">
        <v>191</v>
      </c>
      <c r="D126" t="s">
        <v>226</v>
      </c>
      <c r="F126" t="s">
        <v>541</v>
      </c>
      <c r="G126" t="s">
        <v>1285</v>
      </c>
      <c r="H126" t="s">
        <v>2013</v>
      </c>
      <c r="I126" t="s">
        <v>2881</v>
      </c>
      <c r="J126" t="s">
        <v>3147</v>
      </c>
      <c r="K126">
        <v>10452</v>
      </c>
      <c r="L126" t="s">
        <v>3185</v>
      </c>
      <c r="N126" t="s">
        <v>3186</v>
      </c>
      <c r="T126" t="s">
        <v>3660</v>
      </c>
      <c r="U126" t="s">
        <v>3185</v>
      </c>
      <c r="W126" t="s">
        <v>3670</v>
      </c>
      <c r="Y126">
        <v>671.5</v>
      </c>
      <c r="Z126" t="s">
        <v>3690</v>
      </c>
      <c r="AA126" t="s">
        <v>3704</v>
      </c>
      <c r="AC126" t="s">
        <v>3837</v>
      </c>
      <c r="AE126" t="s">
        <v>4978</v>
      </c>
      <c r="AF126">
        <v>65</v>
      </c>
      <c r="AG126" t="s">
        <v>5813</v>
      </c>
      <c r="AH126" t="s">
        <v>3188</v>
      </c>
      <c r="AI126">
        <v>38</v>
      </c>
      <c r="AJ126">
        <v>1</v>
      </c>
      <c r="AK126">
        <v>0</v>
      </c>
      <c r="AL126">
        <v>80.7</v>
      </c>
      <c r="AO126" t="s">
        <v>5844</v>
      </c>
      <c r="AP126">
        <v>10080</v>
      </c>
      <c r="AV126">
        <v>0</v>
      </c>
      <c r="AX126" t="s">
        <v>78</v>
      </c>
    </row>
    <row r="127" spans="1:50">
      <c r="A127" s="1">
        <f>HYPERLINK("https://lsnyc.legalserver.org/matter/dynamic-profile/view/1903928","19-1903928")</f>
        <v>0</v>
      </c>
      <c r="B127" t="s">
        <v>79</v>
      </c>
      <c r="C127" t="s">
        <v>191</v>
      </c>
      <c r="D127" t="s">
        <v>194</v>
      </c>
      <c r="F127" t="s">
        <v>542</v>
      </c>
      <c r="G127" t="s">
        <v>1286</v>
      </c>
      <c r="H127" t="s">
        <v>2063</v>
      </c>
      <c r="I127" t="s">
        <v>2829</v>
      </c>
      <c r="J127" t="s">
        <v>3148</v>
      </c>
      <c r="K127">
        <v>11239</v>
      </c>
      <c r="L127" t="s">
        <v>3185</v>
      </c>
      <c r="M127" t="s">
        <v>3189</v>
      </c>
      <c r="N127" t="s">
        <v>3186</v>
      </c>
      <c r="O127" t="s">
        <v>3250</v>
      </c>
      <c r="P127" t="s">
        <v>3613</v>
      </c>
      <c r="Q127" t="s">
        <v>3637</v>
      </c>
      <c r="T127" t="s">
        <v>3660</v>
      </c>
      <c r="W127" t="s">
        <v>3670</v>
      </c>
      <c r="Y127">
        <v>100</v>
      </c>
      <c r="Z127" t="s">
        <v>3691</v>
      </c>
      <c r="AA127" t="s">
        <v>3698</v>
      </c>
      <c r="AC127" t="s">
        <v>3838</v>
      </c>
      <c r="AE127" t="s">
        <v>4979</v>
      </c>
      <c r="AF127">
        <v>20</v>
      </c>
      <c r="AI127">
        <v>3</v>
      </c>
      <c r="AJ127">
        <v>1</v>
      </c>
      <c r="AK127">
        <v>0</v>
      </c>
      <c r="AL127">
        <v>74.08</v>
      </c>
      <c r="AO127" t="s">
        <v>5843</v>
      </c>
      <c r="AP127">
        <v>9252</v>
      </c>
      <c r="AV127">
        <v>5.3</v>
      </c>
      <c r="AW127" t="s">
        <v>262</v>
      </c>
      <c r="AX127" t="s">
        <v>6029</v>
      </c>
    </row>
    <row r="128" spans="1:50">
      <c r="A128" s="1">
        <f>HYPERLINK("https://lsnyc.legalserver.org/matter/dynamic-profile/view/1909290","19-1909290")</f>
        <v>0</v>
      </c>
      <c r="B128" t="s">
        <v>80</v>
      </c>
      <c r="C128" t="s">
        <v>192</v>
      </c>
      <c r="D128" t="s">
        <v>222</v>
      </c>
      <c r="E128" t="s">
        <v>196</v>
      </c>
      <c r="F128" t="s">
        <v>543</v>
      </c>
      <c r="G128" t="s">
        <v>1287</v>
      </c>
      <c r="H128" t="s">
        <v>2064</v>
      </c>
      <c r="I128" t="s">
        <v>2882</v>
      </c>
      <c r="J128" t="s">
        <v>3147</v>
      </c>
      <c r="K128">
        <v>10457</v>
      </c>
      <c r="L128" t="s">
        <v>3185</v>
      </c>
      <c r="M128" t="s">
        <v>3189</v>
      </c>
      <c r="N128" t="s">
        <v>3186</v>
      </c>
      <c r="O128" t="s">
        <v>3251</v>
      </c>
      <c r="P128" t="s">
        <v>3613</v>
      </c>
      <c r="Q128" t="s">
        <v>3634</v>
      </c>
      <c r="R128" t="s">
        <v>3642</v>
      </c>
      <c r="S128" t="s">
        <v>280</v>
      </c>
      <c r="T128" t="s">
        <v>3660</v>
      </c>
      <c r="U128" t="s">
        <v>3184</v>
      </c>
      <c r="W128" t="s">
        <v>3670</v>
      </c>
      <c r="Y128">
        <v>461</v>
      </c>
      <c r="Z128" t="s">
        <v>3690</v>
      </c>
      <c r="AA128" t="s">
        <v>3700</v>
      </c>
      <c r="AB128" t="s">
        <v>3712</v>
      </c>
      <c r="AC128" t="s">
        <v>3839</v>
      </c>
      <c r="AE128" t="s">
        <v>4980</v>
      </c>
      <c r="AF128">
        <v>239</v>
      </c>
      <c r="AH128" t="s">
        <v>3188</v>
      </c>
      <c r="AI128">
        <v>16</v>
      </c>
      <c r="AJ128">
        <v>1</v>
      </c>
      <c r="AK128">
        <v>1</v>
      </c>
      <c r="AL128">
        <v>54.86</v>
      </c>
      <c r="AO128" t="s">
        <v>5843</v>
      </c>
      <c r="AP128">
        <v>9276</v>
      </c>
      <c r="AV128">
        <v>0.1</v>
      </c>
      <c r="AW128" t="s">
        <v>196</v>
      </c>
      <c r="AX128" t="s">
        <v>78</v>
      </c>
    </row>
    <row r="129" spans="1:50">
      <c r="A129" s="1">
        <f>HYPERLINK("https://lsnyc.legalserver.org/matter/dynamic-profile/view/1909360","19-1909360")</f>
        <v>0</v>
      </c>
      <c r="B129" t="s">
        <v>80</v>
      </c>
      <c r="C129" t="s">
        <v>192</v>
      </c>
      <c r="D129" t="s">
        <v>222</v>
      </c>
      <c r="E129" t="s">
        <v>196</v>
      </c>
      <c r="F129" t="s">
        <v>544</v>
      </c>
      <c r="G129" t="s">
        <v>1288</v>
      </c>
      <c r="H129" t="s">
        <v>2065</v>
      </c>
      <c r="I129" t="s">
        <v>2883</v>
      </c>
      <c r="J129" t="s">
        <v>3147</v>
      </c>
      <c r="K129">
        <v>10458</v>
      </c>
      <c r="L129" t="s">
        <v>3185</v>
      </c>
      <c r="M129" t="s">
        <v>3189</v>
      </c>
      <c r="N129" t="s">
        <v>3186</v>
      </c>
      <c r="O129" t="s">
        <v>3252</v>
      </c>
      <c r="P129" t="s">
        <v>3613</v>
      </c>
      <c r="Q129" t="s">
        <v>3634</v>
      </c>
      <c r="R129" t="s">
        <v>3642</v>
      </c>
      <c r="S129" t="s">
        <v>280</v>
      </c>
      <c r="T129" t="s">
        <v>3660</v>
      </c>
      <c r="U129" t="s">
        <v>3184</v>
      </c>
      <c r="W129" t="s">
        <v>3670</v>
      </c>
      <c r="Y129">
        <v>1150</v>
      </c>
      <c r="Z129" t="s">
        <v>3690</v>
      </c>
      <c r="AA129" t="s">
        <v>3700</v>
      </c>
      <c r="AB129" t="s">
        <v>3712</v>
      </c>
      <c r="AC129" t="s">
        <v>3840</v>
      </c>
      <c r="AE129" t="s">
        <v>4981</v>
      </c>
      <c r="AF129">
        <v>94</v>
      </c>
      <c r="AG129" t="s">
        <v>5813</v>
      </c>
      <c r="AH129" t="s">
        <v>5831</v>
      </c>
      <c r="AI129">
        <v>8</v>
      </c>
      <c r="AJ129">
        <v>1</v>
      </c>
      <c r="AK129">
        <v>0</v>
      </c>
      <c r="AL129">
        <v>72.90000000000001</v>
      </c>
      <c r="AO129" t="s">
        <v>5844</v>
      </c>
      <c r="AP129">
        <v>9105.360000000001</v>
      </c>
      <c r="AV129">
        <v>0.1</v>
      </c>
      <c r="AW129" t="s">
        <v>196</v>
      </c>
      <c r="AX129" t="s">
        <v>78</v>
      </c>
    </row>
    <row r="130" spans="1:50">
      <c r="A130" s="1">
        <f>HYPERLINK("https://lsnyc.legalserver.org/matter/dynamic-profile/view/1908298","19-1908298")</f>
        <v>0</v>
      </c>
      <c r="B130" t="s">
        <v>80</v>
      </c>
      <c r="C130" t="s">
        <v>192</v>
      </c>
      <c r="D130" t="s">
        <v>212</v>
      </c>
      <c r="E130" t="s">
        <v>244</v>
      </c>
      <c r="F130" t="s">
        <v>479</v>
      </c>
      <c r="G130" t="s">
        <v>1226</v>
      </c>
      <c r="H130" t="s">
        <v>2003</v>
      </c>
      <c r="I130" t="s">
        <v>2844</v>
      </c>
      <c r="J130" t="s">
        <v>3147</v>
      </c>
      <c r="K130">
        <v>10470</v>
      </c>
      <c r="L130" t="s">
        <v>3185</v>
      </c>
      <c r="N130" t="s">
        <v>3186</v>
      </c>
      <c r="Q130" t="s">
        <v>3634</v>
      </c>
      <c r="R130" t="s">
        <v>3642</v>
      </c>
      <c r="T130" t="s">
        <v>3660</v>
      </c>
      <c r="U130" t="s">
        <v>3184</v>
      </c>
      <c r="W130" t="s">
        <v>3670</v>
      </c>
      <c r="Y130">
        <v>1468.05</v>
      </c>
      <c r="Z130" t="s">
        <v>3690</v>
      </c>
      <c r="AA130" t="s">
        <v>3700</v>
      </c>
      <c r="AB130" t="s">
        <v>3712</v>
      </c>
      <c r="AC130" t="s">
        <v>3767</v>
      </c>
      <c r="AE130" t="s">
        <v>4982</v>
      </c>
      <c r="AF130">
        <v>89</v>
      </c>
      <c r="AG130" t="s">
        <v>5813</v>
      </c>
      <c r="AH130" t="s">
        <v>3188</v>
      </c>
      <c r="AI130">
        <v>12</v>
      </c>
      <c r="AJ130">
        <v>1</v>
      </c>
      <c r="AK130">
        <v>0</v>
      </c>
      <c r="AL130">
        <v>0</v>
      </c>
      <c r="AO130" t="s">
        <v>5843</v>
      </c>
      <c r="AP130">
        <v>0</v>
      </c>
      <c r="AV130">
        <v>0.1</v>
      </c>
      <c r="AW130" t="s">
        <v>244</v>
      </c>
      <c r="AX130" t="s">
        <v>78</v>
      </c>
    </row>
    <row r="131" spans="1:50">
      <c r="A131" s="1">
        <f>HYPERLINK("https://lsnyc.legalserver.org/matter/dynamic-profile/view/1908291","19-1908291")</f>
        <v>0</v>
      </c>
      <c r="B131" t="s">
        <v>80</v>
      </c>
      <c r="C131" t="s">
        <v>192</v>
      </c>
      <c r="D131" t="s">
        <v>212</v>
      </c>
      <c r="E131" t="s">
        <v>244</v>
      </c>
      <c r="F131" t="s">
        <v>545</v>
      </c>
      <c r="G131" t="s">
        <v>1289</v>
      </c>
      <c r="H131" t="s">
        <v>2066</v>
      </c>
      <c r="I131" t="s">
        <v>2884</v>
      </c>
      <c r="J131" t="s">
        <v>3147</v>
      </c>
      <c r="K131">
        <v>10452</v>
      </c>
      <c r="L131" t="s">
        <v>3185</v>
      </c>
      <c r="M131" t="s">
        <v>3189</v>
      </c>
      <c r="N131" t="s">
        <v>3186</v>
      </c>
      <c r="Q131" t="s">
        <v>3634</v>
      </c>
      <c r="R131" t="s">
        <v>3642</v>
      </c>
      <c r="T131" t="s">
        <v>3660</v>
      </c>
      <c r="U131" t="s">
        <v>3184</v>
      </c>
      <c r="W131" t="s">
        <v>3670</v>
      </c>
      <c r="Y131">
        <v>1144.49</v>
      </c>
      <c r="Z131" t="s">
        <v>3690</v>
      </c>
      <c r="AA131" t="s">
        <v>3700</v>
      </c>
      <c r="AB131" t="s">
        <v>3712</v>
      </c>
      <c r="AC131" t="s">
        <v>3841</v>
      </c>
      <c r="AE131" t="s">
        <v>4983</v>
      </c>
      <c r="AF131">
        <v>71</v>
      </c>
      <c r="AG131" t="s">
        <v>3263</v>
      </c>
      <c r="AH131" t="s">
        <v>5827</v>
      </c>
      <c r="AI131">
        <v>19</v>
      </c>
      <c r="AJ131">
        <v>1</v>
      </c>
      <c r="AK131">
        <v>0</v>
      </c>
      <c r="AL131">
        <v>74.08</v>
      </c>
      <c r="AO131" t="s">
        <v>5843</v>
      </c>
      <c r="AP131">
        <v>9252</v>
      </c>
      <c r="AV131">
        <v>0.1</v>
      </c>
      <c r="AW131" t="s">
        <v>244</v>
      </c>
      <c r="AX131" t="s">
        <v>78</v>
      </c>
    </row>
    <row r="132" spans="1:50">
      <c r="A132" s="1">
        <f>HYPERLINK("https://lsnyc.legalserver.org/matter/dynamic-profile/view/1905034","19-1905034")</f>
        <v>0</v>
      </c>
      <c r="B132" t="s">
        <v>80</v>
      </c>
      <c r="C132" t="s">
        <v>191</v>
      </c>
      <c r="D132" t="s">
        <v>249</v>
      </c>
      <c r="F132" t="s">
        <v>546</v>
      </c>
      <c r="G132" t="s">
        <v>1290</v>
      </c>
      <c r="H132" t="s">
        <v>2011</v>
      </c>
      <c r="I132" t="s">
        <v>2885</v>
      </c>
      <c r="J132" t="s">
        <v>3147</v>
      </c>
      <c r="K132">
        <v>10453</v>
      </c>
      <c r="L132" t="s">
        <v>3185</v>
      </c>
      <c r="M132" t="s">
        <v>3189</v>
      </c>
      <c r="N132" t="s">
        <v>3186</v>
      </c>
      <c r="O132" t="s">
        <v>3253</v>
      </c>
      <c r="P132" t="s">
        <v>3616</v>
      </c>
      <c r="Q132" t="s">
        <v>3639</v>
      </c>
      <c r="S132" t="s">
        <v>3648</v>
      </c>
      <c r="T132" t="s">
        <v>3660</v>
      </c>
      <c r="U132" t="s">
        <v>3185</v>
      </c>
      <c r="W132" t="s">
        <v>3670</v>
      </c>
      <c r="Y132">
        <v>1091</v>
      </c>
      <c r="Z132" t="s">
        <v>3690</v>
      </c>
      <c r="AA132" t="s">
        <v>3700</v>
      </c>
      <c r="AC132" t="s">
        <v>3842</v>
      </c>
      <c r="AE132" t="s">
        <v>4984</v>
      </c>
      <c r="AF132">
        <v>170</v>
      </c>
      <c r="AG132" t="s">
        <v>5813</v>
      </c>
      <c r="AH132" t="s">
        <v>5825</v>
      </c>
      <c r="AI132">
        <v>12</v>
      </c>
      <c r="AJ132">
        <v>1</v>
      </c>
      <c r="AK132">
        <v>2</v>
      </c>
      <c r="AL132">
        <v>41.63</v>
      </c>
      <c r="AO132" t="s">
        <v>5844</v>
      </c>
      <c r="AP132">
        <v>8880</v>
      </c>
      <c r="AV132">
        <v>0</v>
      </c>
      <c r="AX132" t="s">
        <v>83</v>
      </c>
    </row>
    <row r="133" spans="1:50">
      <c r="A133" s="1">
        <f>HYPERLINK("https://lsnyc.legalserver.org/matter/dynamic-profile/view/1904906","19-1904906")</f>
        <v>0</v>
      </c>
      <c r="B133" t="s">
        <v>80</v>
      </c>
      <c r="C133" t="s">
        <v>191</v>
      </c>
      <c r="D133" t="s">
        <v>218</v>
      </c>
      <c r="F133" t="s">
        <v>547</v>
      </c>
      <c r="G133" t="s">
        <v>1291</v>
      </c>
      <c r="H133" t="s">
        <v>2011</v>
      </c>
      <c r="I133" t="s">
        <v>2886</v>
      </c>
      <c r="J133" t="s">
        <v>3147</v>
      </c>
      <c r="K133">
        <v>10453</v>
      </c>
      <c r="L133" t="s">
        <v>3185</v>
      </c>
      <c r="M133" t="s">
        <v>3189</v>
      </c>
      <c r="N133" t="s">
        <v>3186</v>
      </c>
      <c r="O133" t="s">
        <v>3253</v>
      </c>
      <c r="P133" t="s">
        <v>3616</v>
      </c>
      <c r="Q133" t="s">
        <v>3639</v>
      </c>
      <c r="S133" t="s">
        <v>3648</v>
      </c>
      <c r="T133" t="s">
        <v>3660</v>
      </c>
      <c r="U133" t="s">
        <v>3185</v>
      </c>
      <c r="W133" t="s">
        <v>3670</v>
      </c>
      <c r="Y133">
        <v>1172</v>
      </c>
      <c r="Z133" t="s">
        <v>3690</v>
      </c>
      <c r="AA133" t="s">
        <v>3700</v>
      </c>
      <c r="AC133" t="s">
        <v>3843</v>
      </c>
      <c r="AE133" t="s">
        <v>4985</v>
      </c>
      <c r="AF133">
        <v>170</v>
      </c>
      <c r="AG133" t="s">
        <v>5813</v>
      </c>
      <c r="AH133" t="s">
        <v>5825</v>
      </c>
      <c r="AI133">
        <v>16</v>
      </c>
      <c r="AJ133">
        <v>2</v>
      </c>
      <c r="AK133">
        <v>3</v>
      </c>
      <c r="AL133">
        <v>51.26</v>
      </c>
      <c r="AO133" t="s">
        <v>5844</v>
      </c>
      <c r="AP133">
        <v>15080</v>
      </c>
      <c r="AV133">
        <v>0</v>
      </c>
      <c r="AX133" t="s">
        <v>78</v>
      </c>
    </row>
    <row r="134" spans="1:50">
      <c r="A134" s="1">
        <f>HYPERLINK("https://lsnyc.legalserver.org/matter/dynamic-profile/view/1905201","19-1905201")</f>
        <v>0</v>
      </c>
      <c r="B134" t="s">
        <v>80</v>
      </c>
      <c r="C134" t="s">
        <v>191</v>
      </c>
      <c r="D134" t="s">
        <v>254</v>
      </c>
      <c r="F134" t="s">
        <v>548</v>
      </c>
      <c r="G134" t="s">
        <v>511</v>
      </c>
      <c r="H134" t="s">
        <v>2011</v>
      </c>
      <c r="I134" t="s">
        <v>2887</v>
      </c>
      <c r="J134" t="s">
        <v>3147</v>
      </c>
      <c r="K134">
        <v>10453</v>
      </c>
      <c r="L134" t="s">
        <v>3185</v>
      </c>
      <c r="M134" t="s">
        <v>3189</v>
      </c>
      <c r="N134" t="s">
        <v>3186</v>
      </c>
      <c r="O134" t="s">
        <v>3253</v>
      </c>
      <c r="P134" t="s">
        <v>3616</v>
      </c>
      <c r="Q134" t="s">
        <v>3639</v>
      </c>
      <c r="S134" t="s">
        <v>3648</v>
      </c>
      <c r="T134" t="s">
        <v>3660</v>
      </c>
      <c r="U134" t="s">
        <v>3185</v>
      </c>
      <c r="W134" t="s">
        <v>3670</v>
      </c>
      <c r="Y134">
        <v>880.27</v>
      </c>
      <c r="Z134" t="s">
        <v>3690</v>
      </c>
      <c r="AA134" t="s">
        <v>3700</v>
      </c>
      <c r="AC134" t="s">
        <v>3844</v>
      </c>
      <c r="AE134" t="s">
        <v>4986</v>
      </c>
      <c r="AF134">
        <v>170</v>
      </c>
      <c r="AG134" t="s">
        <v>5813</v>
      </c>
      <c r="AH134" t="s">
        <v>3188</v>
      </c>
      <c r="AI134">
        <v>20</v>
      </c>
      <c r="AJ134">
        <v>2</v>
      </c>
      <c r="AK134">
        <v>4</v>
      </c>
      <c r="AL134">
        <v>99.43000000000001</v>
      </c>
      <c r="AO134" t="s">
        <v>5843</v>
      </c>
      <c r="AP134">
        <v>34392</v>
      </c>
      <c r="AV134">
        <v>0</v>
      </c>
      <c r="AX134" t="s">
        <v>6024</v>
      </c>
    </row>
    <row r="135" spans="1:50">
      <c r="A135" s="1">
        <f>HYPERLINK("https://lsnyc.legalserver.org/matter/dynamic-profile/view/1904977","19-1904977")</f>
        <v>0</v>
      </c>
      <c r="B135" t="s">
        <v>80</v>
      </c>
      <c r="C135" t="s">
        <v>191</v>
      </c>
      <c r="D135" t="s">
        <v>218</v>
      </c>
      <c r="F135" t="s">
        <v>549</v>
      </c>
      <c r="G135" t="s">
        <v>1292</v>
      </c>
      <c r="H135" t="s">
        <v>2011</v>
      </c>
      <c r="I135" t="s">
        <v>2888</v>
      </c>
      <c r="J135" t="s">
        <v>3147</v>
      </c>
      <c r="K135">
        <v>10453</v>
      </c>
      <c r="L135" t="s">
        <v>3185</v>
      </c>
      <c r="M135" t="s">
        <v>3189</v>
      </c>
      <c r="N135" t="s">
        <v>3186</v>
      </c>
      <c r="O135" t="s">
        <v>3253</v>
      </c>
      <c r="P135" t="s">
        <v>3616</v>
      </c>
      <c r="Q135" t="s">
        <v>3639</v>
      </c>
      <c r="S135" t="s">
        <v>3648</v>
      </c>
      <c r="T135" t="s">
        <v>3660</v>
      </c>
      <c r="U135" t="s">
        <v>3185</v>
      </c>
      <c r="W135" t="s">
        <v>3670</v>
      </c>
      <c r="Y135">
        <v>1140</v>
      </c>
      <c r="Z135" t="s">
        <v>3690</v>
      </c>
      <c r="AA135" t="s">
        <v>3700</v>
      </c>
      <c r="AC135" t="s">
        <v>3845</v>
      </c>
      <c r="AE135" t="s">
        <v>4987</v>
      </c>
      <c r="AF135">
        <v>170</v>
      </c>
      <c r="AG135" t="s">
        <v>5813</v>
      </c>
      <c r="AH135" t="s">
        <v>3188</v>
      </c>
      <c r="AI135">
        <v>6</v>
      </c>
      <c r="AJ135">
        <v>1</v>
      </c>
      <c r="AK135">
        <v>1</v>
      </c>
      <c r="AL135">
        <v>187.89</v>
      </c>
      <c r="AO135" t="s">
        <v>5844</v>
      </c>
      <c r="AP135">
        <v>31772</v>
      </c>
      <c r="AV135">
        <v>0</v>
      </c>
      <c r="AX135" t="s">
        <v>78</v>
      </c>
    </row>
    <row r="136" spans="1:50">
      <c r="A136" s="1">
        <f>HYPERLINK("https://lsnyc.legalserver.org/matter/dynamic-profile/view/1862820","18-1862820")</f>
        <v>0</v>
      </c>
      <c r="B136" t="s">
        <v>80</v>
      </c>
      <c r="C136" t="s">
        <v>191</v>
      </c>
      <c r="D136" t="s">
        <v>255</v>
      </c>
      <c r="F136" t="s">
        <v>550</v>
      </c>
      <c r="G136" t="s">
        <v>974</v>
      </c>
      <c r="H136" t="s">
        <v>2067</v>
      </c>
      <c r="I136" t="s">
        <v>2889</v>
      </c>
      <c r="J136" t="s">
        <v>3147</v>
      </c>
      <c r="K136">
        <v>10457</v>
      </c>
      <c r="L136" t="s">
        <v>3185</v>
      </c>
      <c r="N136" t="s">
        <v>3186</v>
      </c>
      <c r="O136" t="s">
        <v>3254</v>
      </c>
      <c r="P136" t="s">
        <v>3618</v>
      </c>
      <c r="Q136" t="s">
        <v>3639</v>
      </c>
      <c r="T136" t="s">
        <v>3660</v>
      </c>
      <c r="U136" t="s">
        <v>3185</v>
      </c>
      <c r="W136" t="s">
        <v>3670</v>
      </c>
      <c r="Y136">
        <v>0</v>
      </c>
      <c r="Z136" t="s">
        <v>3690</v>
      </c>
      <c r="AA136" t="s">
        <v>3696</v>
      </c>
      <c r="AC136" t="s">
        <v>3846</v>
      </c>
      <c r="AF136">
        <v>100</v>
      </c>
      <c r="AG136" t="s">
        <v>5813</v>
      </c>
      <c r="AI136">
        <v>0</v>
      </c>
      <c r="AJ136">
        <v>2</v>
      </c>
      <c r="AK136">
        <v>0</v>
      </c>
      <c r="AL136">
        <v>0</v>
      </c>
      <c r="AO136" t="s">
        <v>5843</v>
      </c>
      <c r="AP136">
        <v>0</v>
      </c>
      <c r="AV136">
        <v>0.4</v>
      </c>
      <c r="AW136" t="s">
        <v>255</v>
      </c>
      <c r="AX136" t="s">
        <v>6024</v>
      </c>
    </row>
    <row r="137" spans="1:50">
      <c r="A137" s="1">
        <f>HYPERLINK("https://lsnyc.legalserver.org/matter/dynamic-profile/view/1904342","19-1904342")</f>
        <v>0</v>
      </c>
      <c r="B137" t="s">
        <v>80</v>
      </c>
      <c r="C137" t="s">
        <v>191</v>
      </c>
      <c r="D137" t="s">
        <v>193</v>
      </c>
      <c r="F137" t="s">
        <v>551</v>
      </c>
      <c r="G137" t="s">
        <v>1293</v>
      </c>
      <c r="H137" t="s">
        <v>2055</v>
      </c>
      <c r="I137" t="s">
        <v>2890</v>
      </c>
      <c r="J137" t="s">
        <v>3147</v>
      </c>
      <c r="K137">
        <v>10455</v>
      </c>
      <c r="L137" t="s">
        <v>3185</v>
      </c>
      <c r="M137" t="s">
        <v>3189</v>
      </c>
      <c r="N137" t="s">
        <v>3186</v>
      </c>
      <c r="P137" t="s">
        <v>3616</v>
      </c>
      <c r="Q137" t="s">
        <v>3639</v>
      </c>
      <c r="T137" t="s">
        <v>3660</v>
      </c>
      <c r="W137" t="s">
        <v>3670</v>
      </c>
      <c r="Y137">
        <v>1500</v>
      </c>
      <c r="Z137" t="s">
        <v>3690</v>
      </c>
      <c r="AA137" t="s">
        <v>3701</v>
      </c>
      <c r="AC137" t="s">
        <v>3847</v>
      </c>
      <c r="AE137" t="s">
        <v>4988</v>
      </c>
      <c r="AF137">
        <v>49</v>
      </c>
      <c r="AG137" t="s">
        <v>5813</v>
      </c>
      <c r="AH137" t="s">
        <v>3188</v>
      </c>
      <c r="AI137">
        <v>4</v>
      </c>
      <c r="AJ137">
        <v>2</v>
      </c>
      <c r="AK137">
        <v>0</v>
      </c>
      <c r="AL137">
        <v>0</v>
      </c>
      <c r="AO137" t="s">
        <v>5844</v>
      </c>
      <c r="AP137">
        <v>0</v>
      </c>
      <c r="AV137">
        <v>1.5</v>
      </c>
      <c r="AW137" t="s">
        <v>193</v>
      </c>
      <c r="AX137" t="s">
        <v>75</v>
      </c>
    </row>
    <row r="138" spans="1:50">
      <c r="A138" s="1">
        <f>HYPERLINK("https://lsnyc.legalserver.org/matter/dynamic-profile/view/1905147","19-1905147")</f>
        <v>0</v>
      </c>
      <c r="B138" t="s">
        <v>80</v>
      </c>
      <c r="C138" t="s">
        <v>191</v>
      </c>
      <c r="D138" t="s">
        <v>249</v>
      </c>
      <c r="F138" t="s">
        <v>551</v>
      </c>
      <c r="G138" t="s">
        <v>1293</v>
      </c>
      <c r="H138" t="s">
        <v>2055</v>
      </c>
      <c r="I138" t="s">
        <v>2890</v>
      </c>
      <c r="J138" t="s">
        <v>3147</v>
      </c>
      <c r="K138">
        <v>10455</v>
      </c>
      <c r="L138" t="s">
        <v>3185</v>
      </c>
      <c r="N138" t="s">
        <v>3186</v>
      </c>
      <c r="P138" t="s">
        <v>3616</v>
      </c>
      <c r="Q138" t="s">
        <v>3639</v>
      </c>
      <c r="T138" t="s">
        <v>3660</v>
      </c>
      <c r="U138" t="s">
        <v>3185</v>
      </c>
      <c r="W138" t="s">
        <v>3670</v>
      </c>
      <c r="Y138">
        <v>1421</v>
      </c>
      <c r="Z138" t="s">
        <v>3690</v>
      </c>
      <c r="AA138" t="s">
        <v>3696</v>
      </c>
      <c r="AC138" t="s">
        <v>3847</v>
      </c>
      <c r="AE138" t="s">
        <v>4988</v>
      </c>
      <c r="AF138">
        <v>49</v>
      </c>
      <c r="AG138" t="s">
        <v>5813</v>
      </c>
      <c r="AH138" t="s">
        <v>3188</v>
      </c>
      <c r="AI138">
        <v>5</v>
      </c>
      <c r="AJ138">
        <v>2</v>
      </c>
      <c r="AK138">
        <v>0</v>
      </c>
      <c r="AL138">
        <v>0</v>
      </c>
      <c r="AO138" t="s">
        <v>5844</v>
      </c>
      <c r="AP138">
        <v>0</v>
      </c>
      <c r="AV138">
        <v>0</v>
      </c>
      <c r="AX138" t="s">
        <v>78</v>
      </c>
    </row>
    <row r="139" spans="1:50">
      <c r="A139" s="1">
        <f>HYPERLINK("https://lsnyc.legalserver.org/matter/dynamic-profile/view/1901015","19-1901015")</f>
        <v>0</v>
      </c>
      <c r="B139" t="s">
        <v>80</v>
      </c>
      <c r="C139" t="s">
        <v>191</v>
      </c>
      <c r="D139" t="s">
        <v>256</v>
      </c>
      <c r="F139" t="s">
        <v>551</v>
      </c>
      <c r="G139" t="s">
        <v>1293</v>
      </c>
      <c r="H139" t="s">
        <v>2055</v>
      </c>
      <c r="I139" t="s">
        <v>2890</v>
      </c>
      <c r="J139" t="s">
        <v>3147</v>
      </c>
      <c r="K139">
        <v>10455</v>
      </c>
      <c r="L139" t="s">
        <v>3185</v>
      </c>
      <c r="M139" t="s">
        <v>3189</v>
      </c>
      <c r="N139" t="s">
        <v>3186</v>
      </c>
      <c r="P139" t="s">
        <v>3612</v>
      </c>
      <c r="Q139" t="s">
        <v>3638</v>
      </c>
      <c r="T139" t="s">
        <v>3660</v>
      </c>
      <c r="W139" t="s">
        <v>3670</v>
      </c>
      <c r="Y139">
        <v>1421</v>
      </c>
      <c r="Z139" t="s">
        <v>3690</v>
      </c>
      <c r="AC139" t="s">
        <v>3847</v>
      </c>
      <c r="AE139" t="s">
        <v>4988</v>
      </c>
      <c r="AF139">
        <v>49</v>
      </c>
      <c r="AG139" t="s">
        <v>5813</v>
      </c>
      <c r="AH139" t="s">
        <v>3188</v>
      </c>
      <c r="AI139">
        <v>5</v>
      </c>
      <c r="AJ139">
        <v>2</v>
      </c>
      <c r="AK139">
        <v>0</v>
      </c>
      <c r="AL139">
        <v>0</v>
      </c>
      <c r="AO139" t="s">
        <v>5844</v>
      </c>
      <c r="AP139">
        <v>0</v>
      </c>
      <c r="AV139">
        <v>0</v>
      </c>
      <c r="AX139" t="s">
        <v>75</v>
      </c>
    </row>
    <row r="140" spans="1:50">
      <c r="A140" s="1">
        <f>HYPERLINK("https://lsnyc.legalserver.org/matter/dynamic-profile/view/1904334","19-1904334")</f>
        <v>0</v>
      </c>
      <c r="B140" t="s">
        <v>80</v>
      </c>
      <c r="C140" t="s">
        <v>191</v>
      </c>
      <c r="D140" t="s">
        <v>193</v>
      </c>
      <c r="F140" t="s">
        <v>528</v>
      </c>
      <c r="G140" t="s">
        <v>1294</v>
      </c>
      <c r="H140" t="s">
        <v>2055</v>
      </c>
      <c r="I140" t="s">
        <v>2891</v>
      </c>
      <c r="J140" t="s">
        <v>3147</v>
      </c>
      <c r="K140">
        <v>10455</v>
      </c>
      <c r="L140" t="s">
        <v>3185</v>
      </c>
      <c r="M140" t="s">
        <v>3189</v>
      </c>
      <c r="N140" t="s">
        <v>3186</v>
      </c>
      <c r="P140" t="s">
        <v>3616</v>
      </c>
      <c r="Q140" t="s">
        <v>3639</v>
      </c>
      <c r="T140" t="s">
        <v>3660</v>
      </c>
      <c r="U140" t="s">
        <v>3184</v>
      </c>
      <c r="W140" t="s">
        <v>3670</v>
      </c>
      <c r="Y140">
        <v>600</v>
      </c>
      <c r="Z140" t="s">
        <v>3690</v>
      </c>
      <c r="AA140" t="s">
        <v>3696</v>
      </c>
      <c r="AC140" t="s">
        <v>3848</v>
      </c>
      <c r="AE140" t="s">
        <v>4989</v>
      </c>
      <c r="AF140">
        <v>49</v>
      </c>
      <c r="AG140" t="s">
        <v>5813</v>
      </c>
      <c r="AH140" t="s">
        <v>5825</v>
      </c>
      <c r="AI140">
        <v>4</v>
      </c>
      <c r="AJ140">
        <v>1</v>
      </c>
      <c r="AK140">
        <v>2</v>
      </c>
      <c r="AL140">
        <v>11.7</v>
      </c>
      <c r="AO140" t="s">
        <v>5843</v>
      </c>
      <c r="AP140">
        <v>2496</v>
      </c>
      <c r="AV140">
        <v>7</v>
      </c>
      <c r="AW140" t="s">
        <v>254</v>
      </c>
      <c r="AX140" t="s">
        <v>75</v>
      </c>
    </row>
    <row r="141" spans="1:50">
      <c r="A141" s="1">
        <f>HYPERLINK("https://lsnyc.legalserver.org/matter/dynamic-profile/view/1905112","19-1905112")</f>
        <v>0</v>
      </c>
      <c r="B141" t="s">
        <v>80</v>
      </c>
      <c r="C141" t="s">
        <v>191</v>
      </c>
      <c r="D141" t="s">
        <v>249</v>
      </c>
      <c r="F141" t="s">
        <v>528</v>
      </c>
      <c r="G141" t="s">
        <v>1294</v>
      </c>
      <c r="H141" t="s">
        <v>2055</v>
      </c>
      <c r="I141" t="s">
        <v>2891</v>
      </c>
      <c r="J141" t="s">
        <v>3147</v>
      </c>
      <c r="K141">
        <v>10455</v>
      </c>
      <c r="L141" t="s">
        <v>3185</v>
      </c>
      <c r="N141" t="s">
        <v>3186</v>
      </c>
      <c r="P141" t="s">
        <v>3616</v>
      </c>
      <c r="Q141" t="s">
        <v>3639</v>
      </c>
      <c r="T141" t="s">
        <v>3660</v>
      </c>
      <c r="U141" t="s">
        <v>3185</v>
      </c>
      <c r="W141" t="s">
        <v>3670</v>
      </c>
      <c r="Y141">
        <v>1515</v>
      </c>
      <c r="Z141" t="s">
        <v>3690</v>
      </c>
      <c r="AA141" t="s">
        <v>3696</v>
      </c>
      <c r="AC141" t="s">
        <v>3848</v>
      </c>
      <c r="AE141" t="s">
        <v>4989</v>
      </c>
      <c r="AF141">
        <v>49</v>
      </c>
      <c r="AG141" t="s">
        <v>5813</v>
      </c>
      <c r="AH141" t="s">
        <v>3188</v>
      </c>
      <c r="AI141">
        <v>3</v>
      </c>
      <c r="AJ141">
        <v>1</v>
      </c>
      <c r="AK141">
        <v>2</v>
      </c>
      <c r="AL141">
        <v>11.7</v>
      </c>
      <c r="AO141" t="s">
        <v>5843</v>
      </c>
      <c r="AP141">
        <v>2496</v>
      </c>
      <c r="AV141">
        <v>2.5</v>
      </c>
      <c r="AW141" t="s">
        <v>228</v>
      </c>
      <c r="AX141" t="s">
        <v>78</v>
      </c>
    </row>
    <row r="142" spans="1:50">
      <c r="A142" s="1">
        <f>HYPERLINK("https://lsnyc.legalserver.org/matter/dynamic-profile/view/1898492","19-1898492")</f>
        <v>0</v>
      </c>
      <c r="B142" t="s">
        <v>80</v>
      </c>
      <c r="C142" t="s">
        <v>191</v>
      </c>
      <c r="D142" t="s">
        <v>257</v>
      </c>
      <c r="F142" t="s">
        <v>528</v>
      </c>
      <c r="G142" t="s">
        <v>1294</v>
      </c>
      <c r="H142" t="s">
        <v>2055</v>
      </c>
      <c r="I142" t="s">
        <v>2891</v>
      </c>
      <c r="J142" t="s">
        <v>3147</v>
      </c>
      <c r="K142">
        <v>10455</v>
      </c>
      <c r="L142" t="s">
        <v>3185</v>
      </c>
      <c r="N142" t="s">
        <v>3185</v>
      </c>
      <c r="Q142" t="s">
        <v>3637</v>
      </c>
      <c r="T142" t="s">
        <v>3660</v>
      </c>
      <c r="U142" t="s">
        <v>3185</v>
      </c>
      <c r="W142" t="s">
        <v>3670</v>
      </c>
      <c r="Y142">
        <v>1515</v>
      </c>
      <c r="Z142" t="s">
        <v>3690</v>
      </c>
      <c r="AA142" t="s">
        <v>3696</v>
      </c>
      <c r="AC142" t="s">
        <v>3848</v>
      </c>
      <c r="AE142" t="s">
        <v>4989</v>
      </c>
      <c r="AF142">
        <v>49</v>
      </c>
      <c r="AG142" t="s">
        <v>5813</v>
      </c>
      <c r="AI142">
        <v>3</v>
      </c>
      <c r="AJ142">
        <v>1</v>
      </c>
      <c r="AK142">
        <v>2</v>
      </c>
      <c r="AL142">
        <v>11.7</v>
      </c>
      <c r="AO142" t="s">
        <v>5843</v>
      </c>
      <c r="AP142">
        <v>2496</v>
      </c>
      <c r="AV142">
        <v>116.7</v>
      </c>
      <c r="AW142" t="s">
        <v>261</v>
      </c>
    </row>
    <row r="143" spans="1:50">
      <c r="A143" s="1">
        <f>HYPERLINK("https://lsnyc.legalserver.org/matter/dynamic-profile/view/1905123","19-1905123")</f>
        <v>0</v>
      </c>
      <c r="B143" t="s">
        <v>80</v>
      </c>
      <c r="C143" t="s">
        <v>191</v>
      </c>
      <c r="D143" t="s">
        <v>249</v>
      </c>
      <c r="F143" t="s">
        <v>445</v>
      </c>
      <c r="G143" t="s">
        <v>1276</v>
      </c>
      <c r="H143" t="s">
        <v>2055</v>
      </c>
      <c r="I143" t="s">
        <v>2872</v>
      </c>
      <c r="J143" t="s">
        <v>3147</v>
      </c>
      <c r="K143">
        <v>10455</v>
      </c>
      <c r="L143" t="s">
        <v>3185</v>
      </c>
      <c r="N143" t="s">
        <v>3186</v>
      </c>
      <c r="P143" t="s">
        <v>3616</v>
      </c>
      <c r="Q143" t="s">
        <v>3639</v>
      </c>
      <c r="T143" t="s">
        <v>3660</v>
      </c>
      <c r="U143" t="s">
        <v>3185</v>
      </c>
      <c r="W143" t="s">
        <v>3670</v>
      </c>
      <c r="Y143">
        <v>1534</v>
      </c>
      <c r="Z143" t="s">
        <v>3690</v>
      </c>
      <c r="AA143" t="s">
        <v>3696</v>
      </c>
      <c r="AC143" t="s">
        <v>3824</v>
      </c>
      <c r="AE143" t="s">
        <v>4967</v>
      </c>
      <c r="AF143">
        <v>99</v>
      </c>
      <c r="AG143" t="s">
        <v>5813</v>
      </c>
      <c r="AH143" t="s">
        <v>5828</v>
      </c>
      <c r="AI143">
        <v>1</v>
      </c>
      <c r="AJ143">
        <v>1</v>
      </c>
      <c r="AK143">
        <v>3</v>
      </c>
      <c r="AL143">
        <v>18.92</v>
      </c>
      <c r="AO143" t="s">
        <v>5843</v>
      </c>
      <c r="AP143">
        <v>4870.8</v>
      </c>
      <c r="AV143">
        <v>0</v>
      </c>
      <c r="AX143" t="s">
        <v>78</v>
      </c>
    </row>
    <row r="144" spans="1:50">
      <c r="A144" s="1">
        <f>HYPERLINK("https://lsnyc.legalserver.org/matter/dynamic-profile/view/1899834","19-1899834")</f>
        <v>0</v>
      </c>
      <c r="B144" t="s">
        <v>80</v>
      </c>
      <c r="C144" t="s">
        <v>191</v>
      </c>
      <c r="D144" t="s">
        <v>204</v>
      </c>
      <c r="F144" t="s">
        <v>445</v>
      </c>
      <c r="G144" t="s">
        <v>1276</v>
      </c>
      <c r="H144" t="s">
        <v>2055</v>
      </c>
      <c r="I144" t="s">
        <v>2872</v>
      </c>
      <c r="J144" t="s">
        <v>3147</v>
      </c>
      <c r="K144">
        <v>10455</v>
      </c>
      <c r="L144" t="s">
        <v>3185</v>
      </c>
      <c r="N144" t="s">
        <v>3186</v>
      </c>
      <c r="P144" t="s">
        <v>3612</v>
      </c>
      <c r="Q144" t="s">
        <v>3638</v>
      </c>
      <c r="T144" t="s">
        <v>3660</v>
      </c>
      <c r="U144" t="s">
        <v>3185</v>
      </c>
      <c r="W144" t="s">
        <v>3670</v>
      </c>
      <c r="Y144">
        <v>1534</v>
      </c>
      <c r="Z144" t="s">
        <v>3690</v>
      </c>
      <c r="AA144" t="s">
        <v>3700</v>
      </c>
      <c r="AC144" t="s">
        <v>3824</v>
      </c>
      <c r="AE144" t="s">
        <v>4967</v>
      </c>
      <c r="AF144">
        <v>99</v>
      </c>
      <c r="AG144" t="s">
        <v>5813</v>
      </c>
      <c r="AH144" t="s">
        <v>5828</v>
      </c>
      <c r="AI144">
        <v>1</v>
      </c>
      <c r="AJ144">
        <v>1</v>
      </c>
      <c r="AK144">
        <v>3</v>
      </c>
      <c r="AL144">
        <v>18.92</v>
      </c>
      <c r="AO144" t="s">
        <v>5843</v>
      </c>
      <c r="AP144">
        <v>4870.8</v>
      </c>
      <c r="AV144">
        <v>0.25</v>
      </c>
      <c r="AW144" t="s">
        <v>245</v>
      </c>
      <c r="AX144" t="s">
        <v>78</v>
      </c>
    </row>
    <row r="145" spans="1:50">
      <c r="A145" s="1">
        <f>HYPERLINK("https://lsnyc.legalserver.org/matter/dynamic-profile/view/1905120","19-1905120")</f>
        <v>0</v>
      </c>
      <c r="B145" t="s">
        <v>80</v>
      </c>
      <c r="C145" t="s">
        <v>191</v>
      </c>
      <c r="D145" t="s">
        <v>249</v>
      </c>
      <c r="F145" t="s">
        <v>552</v>
      </c>
      <c r="G145" t="s">
        <v>1295</v>
      </c>
      <c r="H145" t="s">
        <v>2055</v>
      </c>
      <c r="J145" t="s">
        <v>3147</v>
      </c>
      <c r="K145">
        <v>10455</v>
      </c>
      <c r="L145" t="s">
        <v>3185</v>
      </c>
      <c r="N145" t="s">
        <v>3186</v>
      </c>
      <c r="P145" t="s">
        <v>3616</v>
      </c>
      <c r="Q145" t="s">
        <v>3639</v>
      </c>
      <c r="T145" t="s">
        <v>3660</v>
      </c>
      <c r="U145" t="s">
        <v>3185</v>
      </c>
      <c r="W145" t="s">
        <v>3670</v>
      </c>
      <c r="Y145">
        <v>222.4</v>
      </c>
      <c r="Z145" t="s">
        <v>3690</v>
      </c>
      <c r="AA145" t="s">
        <v>3696</v>
      </c>
      <c r="AC145" t="s">
        <v>3849</v>
      </c>
      <c r="AE145" t="s">
        <v>4990</v>
      </c>
      <c r="AF145">
        <v>99</v>
      </c>
      <c r="AG145" t="s">
        <v>5813</v>
      </c>
      <c r="AH145" t="s">
        <v>3188</v>
      </c>
      <c r="AI145">
        <v>1</v>
      </c>
      <c r="AJ145">
        <v>1</v>
      </c>
      <c r="AK145">
        <v>0</v>
      </c>
      <c r="AL145">
        <v>83.68000000000001</v>
      </c>
      <c r="AO145" t="s">
        <v>5843</v>
      </c>
      <c r="AP145">
        <v>10452</v>
      </c>
      <c r="AV145">
        <v>0</v>
      </c>
      <c r="AX145" t="s">
        <v>78</v>
      </c>
    </row>
    <row r="146" spans="1:50">
      <c r="A146" s="1">
        <f>HYPERLINK("https://lsnyc.legalserver.org/matter/dynamic-profile/view/1899819","19-1899819")</f>
        <v>0</v>
      </c>
      <c r="B146" t="s">
        <v>80</v>
      </c>
      <c r="C146" t="s">
        <v>191</v>
      </c>
      <c r="D146" t="s">
        <v>204</v>
      </c>
      <c r="F146" t="s">
        <v>552</v>
      </c>
      <c r="G146" t="s">
        <v>1295</v>
      </c>
      <c r="H146" t="s">
        <v>2055</v>
      </c>
      <c r="J146" t="s">
        <v>3147</v>
      </c>
      <c r="K146">
        <v>10455</v>
      </c>
      <c r="L146" t="s">
        <v>3185</v>
      </c>
      <c r="N146" t="s">
        <v>3186</v>
      </c>
      <c r="P146" t="s">
        <v>3612</v>
      </c>
      <c r="Q146" t="s">
        <v>3638</v>
      </c>
      <c r="T146" t="s">
        <v>3660</v>
      </c>
      <c r="U146" t="s">
        <v>3185</v>
      </c>
      <c r="W146" t="s">
        <v>3670</v>
      </c>
      <c r="Y146">
        <v>222.4</v>
      </c>
      <c r="Z146" t="s">
        <v>3690</v>
      </c>
      <c r="AA146" t="s">
        <v>3700</v>
      </c>
      <c r="AC146" t="s">
        <v>3849</v>
      </c>
      <c r="AE146" t="s">
        <v>4990</v>
      </c>
      <c r="AF146">
        <v>99</v>
      </c>
      <c r="AG146" t="s">
        <v>3263</v>
      </c>
      <c r="AI146">
        <v>1</v>
      </c>
      <c r="AJ146">
        <v>1</v>
      </c>
      <c r="AK146">
        <v>0</v>
      </c>
      <c r="AL146">
        <v>83.68000000000001</v>
      </c>
      <c r="AO146" t="s">
        <v>5843</v>
      </c>
      <c r="AP146">
        <v>10452</v>
      </c>
      <c r="AV146">
        <v>0</v>
      </c>
      <c r="AX146" t="s">
        <v>78</v>
      </c>
    </row>
    <row r="147" spans="1:50">
      <c r="A147" s="1">
        <f>HYPERLINK("https://lsnyc.legalserver.org/matter/dynamic-profile/view/1862824","18-1862824")</f>
        <v>0</v>
      </c>
      <c r="B147" t="s">
        <v>80</v>
      </c>
      <c r="C147" t="s">
        <v>191</v>
      </c>
      <c r="D147" t="s">
        <v>255</v>
      </c>
      <c r="F147" t="s">
        <v>553</v>
      </c>
      <c r="G147" t="s">
        <v>477</v>
      </c>
      <c r="H147" t="s">
        <v>2067</v>
      </c>
      <c r="I147" t="s">
        <v>2892</v>
      </c>
      <c r="J147" t="s">
        <v>3147</v>
      </c>
      <c r="K147">
        <v>10457</v>
      </c>
      <c r="L147" t="s">
        <v>3185</v>
      </c>
      <c r="N147" t="s">
        <v>3186</v>
      </c>
      <c r="O147" t="s">
        <v>3254</v>
      </c>
      <c r="P147" t="s">
        <v>3618</v>
      </c>
      <c r="Q147" t="s">
        <v>3639</v>
      </c>
      <c r="T147" t="s">
        <v>3660</v>
      </c>
      <c r="U147" t="s">
        <v>3185</v>
      </c>
      <c r="W147" t="s">
        <v>3670</v>
      </c>
      <c r="Y147">
        <v>800</v>
      </c>
      <c r="Z147" t="s">
        <v>3690</v>
      </c>
      <c r="AA147" t="s">
        <v>3696</v>
      </c>
      <c r="AC147" t="s">
        <v>3850</v>
      </c>
      <c r="AE147" t="s">
        <v>4991</v>
      </c>
      <c r="AF147">
        <v>100</v>
      </c>
      <c r="AG147" t="s">
        <v>5813</v>
      </c>
      <c r="AH147" t="s">
        <v>5826</v>
      </c>
      <c r="AI147">
        <v>30</v>
      </c>
      <c r="AJ147">
        <v>2</v>
      </c>
      <c r="AK147">
        <v>1</v>
      </c>
      <c r="AL147">
        <v>103.95</v>
      </c>
      <c r="AO147" t="s">
        <v>5844</v>
      </c>
      <c r="AP147">
        <v>28800</v>
      </c>
      <c r="AV147">
        <v>0.4</v>
      </c>
      <c r="AW147" t="s">
        <v>255</v>
      </c>
      <c r="AX147" t="s">
        <v>6024</v>
      </c>
    </row>
    <row r="148" spans="1:50">
      <c r="A148" s="1">
        <f>HYPERLINK("https://lsnyc.legalserver.org/matter/dynamic-profile/view/1905134","19-1905134")</f>
        <v>0</v>
      </c>
      <c r="B148" t="s">
        <v>80</v>
      </c>
      <c r="C148" t="s">
        <v>191</v>
      </c>
      <c r="D148" t="s">
        <v>249</v>
      </c>
      <c r="F148" t="s">
        <v>554</v>
      </c>
      <c r="G148" t="s">
        <v>1296</v>
      </c>
      <c r="H148" t="s">
        <v>2055</v>
      </c>
      <c r="I148" t="s">
        <v>2893</v>
      </c>
      <c r="J148" t="s">
        <v>3147</v>
      </c>
      <c r="K148">
        <v>10455</v>
      </c>
      <c r="L148" t="s">
        <v>3185</v>
      </c>
      <c r="N148" t="s">
        <v>3186</v>
      </c>
      <c r="P148" t="s">
        <v>3616</v>
      </c>
      <c r="Q148" t="s">
        <v>3639</v>
      </c>
      <c r="T148" t="s">
        <v>3660</v>
      </c>
      <c r="U148" t="s">
        <v>3185</v>
      </c>
      <c r="W148" t="s">
        <v>3670</v>
      </c>
      <c r="Y148">
        <v>1779</v>
      </c>
      <c r="Z148" t="s">
        <v>3690</v>
      </c>
      <c r="AA148" t="s">
        <v>3696</v>
      </c>
      <c r="AC148" t="s">
        <v>3851</v>
      </c>
      <c r="AE148" t="s">
        <v>4992</v>
      </c>
      <c r="AF148">
        <v>99</v>
      </c>
      <c r="AG148" t="s">
        <v>5813</v>
      </c>
      <c r="AH148" t="s">
        <v>5828</v>
      </c>
      <c r="AI148">
        <v>2</v>
      </c>
      <c r="AJ148">
        <v>1</v>
      </c>
      <c r="AK148">
        <v>4</v>
      </c>
      <c r="AL148">
        <v>120.65</v>
      </c>
      <c r="AO148" t="s">
        <v>5843</v>
      </c>
      <c r="AP148">
        <v>36400</v>
      </c>
      <c r="AV148">
        <v>0</v>
      </c>
      <c r="AX148" t="s">
        <v>78</v>
      </c>
    </row>
    <row r="149" spans="1:50">
      <c r="A149" s="1">
        <f>HYPERLINK("https://lsnyc.legalserver.org/matter/dynamic-profile/view/1899850","19-1899850")</f>
        <v>0</v>
      </c>
      <c r="B149" t="s">
        <v>80</v>
      </c>
      <c r="C149" t="s">
        <v>191</v>
      </c>
      <c r="D149" t="s">
        <v>204</v>
      </c>
      <c r="F149" t="s">
        <v>554</v>
      </c>
      <c r="G149" t="s">
        <v>1296</v>
      </c>
      <c r="H149" t="s">
        <v>2055</v>
      </c>
      <c r="I149" t="s">
        <v>2893</v>
      </c>
      <c r="J149" t="s">
        <v>3147</v>
      </c>
      <c r="K149">
        <v>10455</v>
      </c>
      <c r="L149" t="s">
        <v>3185</v>
      </c>
      <c r="N149" t="s">
        <v>3186</v>
      </c>
      <c r="P149" t="s">
        <v>3612</v>
      </c>
      <c r="Q149" t="s">
        <v>3638</v>
      </c>
      <c r="T149" t="s">
        <v>3660</v>
      </c>
      <c r="U149" t="s">
        <v>3185</v>
      </c>
      <c r="W149" t="s">
        <v>3670</v>
      </c>
      <c r="Y149">
        <v>1779</v>
      </c>
      <c r="Z149" t="s">
        <v>3690</v>
      </c>
      <c r="AA149" t="s">
        <v>3700</v>
      </c>
      <c r="AC149" t="s">
        <v>3851</v>
      </c>
      <c r="AE149" t="s">
        <v>4992</v>
      </c>
      <c r="AF149">
        <v>99</v>
      </c>
      <c r="AG149" t="s">
        <v>5813</v>
      </c>
      <c r="AH149" t="s">
        <v>5828</v>
      </c>
      <c r="AI149">
        <v>2</v>
      </c>
      <c r="AJ149">
        <v>1</v>
      </c>
      <c r="AK149">
        <v>4</v>
      </c>
      <c r="AL149">
        <v>120.65</v>
      </c>
      <c r="AO149" t="s">
        <v>5843</v>
      </c>
      <c r="AP149">
        <v>36400</v>
      </c>
      <c r="AV149">
        <v>0.1</v>
      </c>
      <c r="AW149" t="s">
        <v>245</v>
      </c>
      <c r="AX149" t="s">
        <v>78</v>
      </c>
    </row>
    <row r="150" spans="1:50">
      <c r="A150" s="1">
        <f>HYPERLINK("https://lsnyc.legalserver.org/matter/dynamic-profile/view/1862829","18-1862829")</f>
        <v>0</v>
      </c>
      <c r="B150" t="s">
        <v>80</v>
      </c>
      <c r="C150" t="s">
        <v>191</v>
      </c>
      <c r="D150" t="s">
        <v>255</v>
      </c>
      <c r="F150" t="s">
        <v>555</v>
      </c>
      <c r="G150" t="s">
        <v>1297</v>
      </c>
      <c r="H150" t="s">
        <v>2067</v>
      </c>
      <c r="I150" t="s">
        <v>2820</v>
      </c>
      <c r="J150" t="s">
        <v>3147</v>
      </c>
      <c r="K150">
        <v>10457</v>
      </c>
      <c r="L150" t="s">
        <v>3185</v>
      </c>
      <c r="N150" t="s">
        <v>3186</v>
      </c>
      <c r="O150" t="s">
        <v>3254</v>
      </c>
      <c r="P150" t="s">
        <v>3618</v>
      </c>
      <c r="Q150" t="s">
        <v>3639</v>
      </c>
      <c r="T150" t="s">
        <v>3660</v>
      </c>
      <c r="U150" t="s">
        <v>3185</v>
      </c>
      <c r="W150" t="s">
        <v>3670</v>
      </c>
      <c r="Y150">
        <v>1051</v>
      </c>
      <c r="Z150" t="s">
        <v>3690</v>
      </c>
      <c r="AA150" t="s">
        <v>3700</v>
      </c>
      <c r="AC150" t="s">
        <v>3852</v>
      </c>
      <c r="AE150" t="s">
        <v>4993</v>
      </c>
      <c r="AF150">
        <v>100</v>
      </c>
      <c r="AG150" t="s">
        <v>5813</v>
      </c>
      <c r="AI150">
        <v>36</v>
      </c>
      <c r="AJ150">
        <v>1</v>
      </c>
      <c r="AK150">
        <v>0</v>
      </c>
      <c r="AL150">
        <v>220.81</v>
      </c>
      <c r="AO150" t="s">
        <v>5843</v>
      </c>
      <c r="AP150">
        <v>26806</v>
      </c>
      <c r="AV150">
        <v>0.4</v>
      </c>
      <c r="AW150" t="s">
        <v>255</v>
      </c>
      <c r="AX150" t="s">
        <v>6024</v>
      </c>
    </row>
    <row r="151" spans="1:50">
      <c r="A151" s="1">
        <f>HYPERLINK("https://lsnyc.legalserver.org/matter/dynamic-profile/view/1862815","18-1862815")</f>
        <v>0</v>
      </c>
      <c r="B151" t="s">
        <v>80</v>
      </c>
      <c r="C151" t="s">
        <v>191</v>
      </c>
      <c r="D151" t="s">
        <v>255</v>
      </c>
      <c r="F151" t="s">
        <v>556</v>
      </c>
      <c r="G151" t="s">
        <v>1199</v>
      </c>
      <c r="H151" t="s">
        <v>2067</v>
      </c>
      <c r="I151" t="s">
        <v>2894</v>
      </c>
      <c r="J151" t="s">
        <v>3147</v>
      </c>
      <c r="K151">
        <v>10457</v>
      </c>
      <c r="L151" t="s">
        <v>3185</v>
      </c>
      <c r="N151" t="s">
        <v>3186</v>
      </c>
      <c r="O151" t="s">
        <v>3254</v>
      </c>
      <c r="P151" t="s">
        <v>3618</v>
      </c>
      <c r="Q151" t="s">
        <v>3639</v>
      </c>
      <c r="T151" t="s">
        <v>3660</v>
      </c>
      <c r="U151" t="s">
        <v>3185</v>
      </c>
      <c r="W151" t="s">
        <v>3670</v>
      </c>
      <c r="Y151">
        <v>787</v>
      </c>
      <c r="Z151" t="s">
        <v>3690</v>
      </c>
      <c r="AA151" t="s">
        <v>3696</v>
      </c>
      <c r="AC151" t="s">
        <v>3853</v>
      </c>
      <c r="AE151" t="s">
        <v>4994</v>
      </c>
      <c r="AF151">
        <v>100</v>
      </c>
      <c r="AG151" t="s">
        <v>5813</v>
      </c>
      <c r="AI151">
        <v>30</v>
      </c>
      <c r="AJ151">
        <v>2</v>
      </c>
      <c r="AK151">
        <v>0</v>
      </c>
      <c r="AL151">
        <v>455.65</v>
      </c>
      <c r="AO151" t="s">
        <v>5843</v>
      </c>
      <c r="AP151">
        <v>120000</v>
      </c>
      <c r="AV151">
        <v>0.4</v>
      </c>
      <c r="AW151" t="s">
        <v>255</v>
      </c>
      <c r="AX151" t="s">
        <v>6024</v>
      </c>
    </row>
    <row r="152" spans="1:50">
      <c r="A152" s="1">
        <f>HYPERLINK("https://lsnyc.legalserver.org/matter/dynamic-profile/view/1908106","19-1908106")</f>
        <v>0</v>
      </c>
      <c r="B152" t="s">
        <v>81</v>
      </c>
      <c r="C152" t="s">
        <v>191</v>
      </c>
      <c r="D152" t="s">
        <v>195</v>
      </c>
      <c r="F152" t="s">
        <v>557</v>
      </c>
      <c r="G152" t="s">
        <v>1298</v>
      </c>
      <c r="H152" t="s">
        <v>2068</v>
      </c>
      <c r="I152" t="s">
        <v>2816</v>
      </c>
      <c r="J152" t="s">
        <v>3148</v>
      </c>
      <c r="K152">
        <v>11213</v>
      </c>
      <c r="L152" t="s">
        <v>3185</v>
      </c>
      <c r="N152" t="s">
        <v>3186</v>
      </c>
      <c r="O152" t="s">
        <v>3255</v>
      </c>
      <c r="P152" t="s">
        <v>3616</v>
      </c>
      <c r="Q152" t="s">
        <v>3639</v>
      </c>
      <c r="S152" t="s">
        <v>195</v>
      </c>
      <c r="T152" t="s">
        <v>3660</v>
      </c>
      <c r="U152" t="s">
        <v>3184</v>
      </c>
      <c r="W152" t="s">
        <v>3670</v>
      </c>
      <c r="X152" t="s">
        <v>3681</v>
      </c>
      <c r="Y152">
        <v>0</v>
      </c>
      <c r="Z152" t="s">
        <v>3691</v>
      </c>
      <c r="AA152" t="s">
        <v>3697</v>
      </c>
      <c r="AC152" t="s">
        <v>3854</v>
      </c>
      <c r="AF152">
        <v>35</v>
      </c>
      <c r="AG152" t="s">
        <v>5813</v>
      </c>
      <c r="AI152">
        <v>0</v>
      </c>
      <c r="AJ152">
        <v>3</v>
      </c>
      <c r="AK152">
        <v>1</v>
      </c>
      <c r="AL152">
        <v>24.23</v>
      </c>
      <c r="AO152" t="s">
        <v>5843</v>
      </c>
      <c r="AP152">
        <v>6240</v>
      </c>
      <c r="AV152">
        <v>5</v>
      </c>
      <c r="AW152" t="s">
        <v>275</v>
      </c>
      <c r="AX152" t="s">
        <v>189</v>
      </c>
    </row>
    <row r="153" spans="1:50">
      <c r="A153" s="1">
        <f>HYPERLINK("https://lsnyc.legalserver.org/matter/dynamic-profile/view/1905194","19-1905194")</f>
        <v>0</v>
      </c>
      <c r="B153" t="s">
        <v>81</v>
      </c>
      <c r="C153" t="s">
        <v>191</v>
      </c>
      <c r="D153" t="s">
        <v>254</v>
      </c>
      <c r="F153" t="s">
        <v>558</v>
      </c>
      <c r="G153" t="s">
        <v>1299</v>
      </c>
      <c r="H153" t="s">
        <v>2069</v>
      </c>
      <c r="I153">
        <v>3</v>
      </c>
      <c r="J153" t="s">
        <v>3148</v>
      </c>
      <c r="K153">
        <v>11233</v>
      </c>
      <c r="L153" t="s">
        <v>3185</v>
      </c>
      <c r="M153" t="s">
        <v>3189</v>
      </c>
      <c r="N153" t="s">
        <v>3186</v>
      </c>
      <c r="O153" t="s">
        <v>3256</v>
      </c>
      <c r="P153" t="s">
        <v>3613</v>
      </c>
      <c r="Q153" t="s">
        <v>3636</v>
      </c>
      <c r="T153" t="s">
        <v>3660</v>
      </c>
      <c r="U153" t="s">
        <v>3184</v>
      </c>
      <c r="W153" t="s">
        <v>3670</v>
      </c>
      <c r="X153" t="s">
        <v>3681</v>
      </c>
      <c r="Y153">
        <v>870</v>
      </c>
      <c r="Z153" t="s">
        <v>3691</v>
      </c>
      <c r="AA153" t="s">
        <v>3632</v>
      </c>
      <c r="AC153" t="s">
        <v>3855</v>
      </c>
      <c r="AE153" t="s">
        <v>4995</v>
      </c>
      <c r="AF153">
        <v>3</v>
      </c>
      <c r="AG153" t="s">
        <v>5814</v>
      </c>
      <c r="AH153" t="s">
        <v>3188</v>
      </c>
      <c r="AI153">
        <v>1</v>
      </c>
      <c r="AJ153">
        <v>1</v>
      </c>
      <c r="AK153">
        <v>0</v>
      </c>
      <c r="AL153">
        <v>199.84</v>
      </c>
      <c r="AO153" t="s">
        <v>5843</v>
      </c>
      <c r="AP153">
        <v>24960</v>
      </c>
      <c r="AV153">
        <v>2.5</v>
      </c>
      <c r="AW153" t="s">
        <v>265</v>
      </c>
      <c r="AX153" t="s">
        <v>82</v>
      </c>
    </row>
    <row r="154" spans="1:50">
      <c r="A154" s="1">
        <f>HYPERLINK("https://lsnyc.legalserver.org/matter/dynamic-profile/view/1903507","19-1903507")</f>
        <v>0</v>
      </c>
      <c r="B154" t="s">
        <v>82</v>
      </c>
      <c r="C154" t="s">
        <v>192</v>
      </c>
      <c r="D154" t="s">
        <v>258</v>
      </c>
      <c r="E154" t="s">
        <v>196</v>
      </c>
      <c r="F154" t="s">
        <v>559</v>
      </c>
      <c r="G154" t="s">
        <v>1300</v>
      </c>
      <c r="H154" t="s">
        <v>2070</v>
      </c>
      <c r="I154">
        <v>402</v>
      </c>
      <c r="J154" t="s">
        <v>3148</v>
      </c>
      <c r="K154">
        <v>11212</v>
      </c>
      <c r="L154" t="s">
        <v>3185</v>
      </c>
      <c r="M154" t="s">
        <v>3189</v>
      </c>
      <c r="N154" t="s">
        <v>3186</v>
      </c>
      <c r="O154" t="s">
        <v>3257</v>
      </c>
      <c r="P154" t="s">
        <v>3257</v>
      </c>
      <c r="Q154" t="s">
        <v>3634</v>
      </c>
      <c r="R154" t="s">
        <v>3642</v>
      </c>
      <c r="S154" t="s">
        <v>285</v>
      </c>
      <c r="T154" t="s">
        <v>3660</v>
      </c>
      <c r="U154" t="s">
        <v>3184</v>
      </c>
      <c r="W154" t="s">
        <v>3670</v>
      </c>
      <c r="Y154">
        <v>336</v>
      </c>
      <c r="Z154" t="s">
        <v>3691</v>
      </c>
      <c r="AA154" t="s">
        <v>3632</v>
      </c>
      <c r="AB154" t="s">
        <v>3712</v>
      </c>
      <c r="AC154" t="s">
        <v>3856</v>
      </c>
      <c r="AE154" t="s">
        <v>4996</v>
      </c>
      <c r="AF154">
        <v>161</v>
      </c>
      <c r="AG154" t="s">
        <v>5816</v>
      </c>
      <c r="AH154" t="s">
        <v>5831</v>
      </c>
      <c r="AI154">
        <v>2</v>
      </c>
      <c r="AJ154">
        <v>1</v>
      </c>
      <c r="AK154">
        <v>0</v>
      </c>
      <c r="AL154">
        <v>80.7</v>
      </c>
      <c r="AO154" t="s">
        <v>5843</v>
      </c>
      <c r="AP154">
        <v>10080</v>
      </c>
      <c r="AV154">
        <v>2</v>
      </c>
      <c r="AW154" t="s">
        <v>232</v>
      </c>
      <c r="AX154" t="s">
        <v>6030</v>
      </c>
    </row>
    <row r="155" spans="1:50">
      <c r="A155" s="1">
        <f>HYPERLINK("https://lsnyc.legalserver.org/matter/dynamic-profile/view/1907523","19-1907523")</f>
        <v>0</v>
      </c>
      <c r="B155" t="s">
        <v>75</v>
      </c>
      <c r="C155" t="s">
        <v>191</v>
      </c>
      <c r="D155" t="s">
        <v>234</v>
      </c>
      <c r="F155" t="s">
        <v>560</v>
      </c>
      <c r="G155" t="s">
        <v>1301</v>
      </c>
      <c r="H155" t="s">
        <v>2071</v>
      </c>
      <c r="I155" t="s">
        <v>2895</v>
      </c>
      <c r="J155" t="s">
        <v>3147</v>
      </c>
      <c r="K155">
        <v>10474</v>
      </c>
      <c r="L155" t="s">
        <v>3186</v>
      </c>
      <c r="N155" t="s">
        <v>3186</v>
      </c>
      <c r="P155" t="s">
        <v>3616</v>
      </c>
      <c r="Q155" t="s">
        <v>3639</v>
      </c>
      <c r="T155" t="s">
        <v>3660</v>
      </c>
      <c r="U155" t="s">
        <v>3185</v>
      </c>
      <c r="W155" t="s">
        <v>3670</v>
      </c>
      <c r="Y155">
        <v>0</v>
      </c>
      <c r="Z155" t="s">
        <v>3690</v>
      </c>
      <c r="AC155" t="s">
        <v>3857</v>
      </c>
      <c r="AE155" t="s">
        <v>4997</v>
      </c>
      <c r="AF155">
        <v>0</v>
      </c>
      <c r="AI155">
        <v>0</v>
      </c>
      <c r="AJ155">
        <v>2</v>
      </c>
      <c r="AK155">
        <v>0</v>
      </c>
      <c r="AL155">
        <v>292.13</v>
      </c>
      <c r="AO155" t="s">
        <v>5843</v>
      </c>
      <c r="AP155">
        <v>49400</v>
      </c>
      <c r="AV155">
        <v>9.5</v>
      </c>
      <c r="AW155" t="s">
        <v>216</v>
      </c>
      <c r="AX155" t="s">
        <v>84</v>
      </c>
    </row>
    <row r="156" spans="1:50">
      <c r="A156" s="1">
        <f>HYPERLINK("https://lsnyc.legalserver.org/matter/dynamic-profile/view/1900249","19-1900249")</f>
        <v>0</v>
      </c>
      <c r="B156" t="s">
        <v>83</v>
      </c>
      <c r="C156" t="s">
        <v>191</v>
      </c>
      <c r="D156" t="s">
        <v>259</v>
      </c>
      <c r="F156" t="s">
        <v>561</v>
      </c>
      <c r="G156" t="s">
        <v>1302</v>
      </c>
      <c r="H156" t="s">
        <v>2072</v>
      </c>
      <c r="I156">
        <v>2</v>
      </c>
      <c r="J156" t="s">
        <v>3147</v>
      </c>
      <c r="K156">
        <v>10451</v>
      </c>
      <c r="L156" t="s">
        <v>3186</v>
      </c>
      <c r="N156" t="s">
        <v>3186</v>
      </c>
      <c r="T156" t="s">
        <v>3660</v>
      </c>
      <c r="W156" t="s">
        <v>3670</v>
      </c>
      <c r="Y156">
        <v>1600</v>
      </c>
      <c r="Z156" t="s">
        <v>3690</v>
      </c>
      <c r="AA156" t="s">
        <v>3706</v>
      </c>
      <c r="AC156" t="s">
        <v>3858</v>
      </c>
      <c r="AE156" t="s">
        <v>4764</v>
      </c>
      <c r="AF156">
        <v>0</v>
      </c>
      <c r="AH156" t="s">
        <v>3188</v>
      </c>
      <c r="AI156">
        <v>10</v>
      </c>
      <c r="AJ156">
        <v>1</v>
      </c>
      <c r="AK156">
        <v>1</v>
      </c>
      <c r="AL156">
        <v>21.29</v>
      </c>
      <c r="AO156" t="s">
        <v>5843</v>
      </c>
      <c r="AP156">
        <v>3600</v>
      </c>
      <c r="AV156">
        <v>0.4</v>
      </c>
      <c r="AW156" t="s">
        <v>260</v>
      </c>
      <c r="AX156" t="s">
        <v>83</v>
      </c>
    </row>
    <row r="157" spans="1:50">
      <c r="A157" s="1">
        <f>HYPERLINK("https://lsnyc.legalserver.org/matter/dynamic-profile/view/1907532","19-1907532")</f>
        <v>0</v>
      </c>
      <c r="B157" t="s">
        <v>84</v>
      </c>
      <c r="C157" t="s">
        <v>191</v>
      </c>
      <c r="D157" t="s">
        <v>234</v>
      </c>
      <c r="F157" t="s">
        <v>478</v>
      </c>
      <c r="G157" t="s">
        <v>1303</v>
      </c>
      <c r="H157" t="s">
        <v>2071</v>
      </c>
      <c r="I157" t="s">
        <v>2896</v>
      </c>
      <c r="J157" t="s">
        <v>3147</v>
      </c>
      <c r="K157">
        <v>10474</v>
      </c>
      <c r="L157" t="s">
        <v>3186</v>
      </c>
      <c r="N157" t="s">
        <v>3186</v>
      </c>
      <c r="P157" t="s">
        <v>3616</v>
      </c>
      <c r="Q157" t="s">
        <v>3639</v>
      </c>
      <c r="T157" t="s">
        <v>3660</v>
      </c>
      <c r="W157" t="s">
        <v>3670</v>
      </c>
      <c r="Y157">
        <v>0</v>
      </c>
      <c r="Z157" t="s">
        <v>3690</v>
      </c>
      <c r="AC157" t="s">
        <v>3859</v>
      </c>
      <c r="AE157" t="s">
        <v>4998</v>
      </c>
      <c r="AF157">
        <v>0</v>
      </c>
      <c r="AI157">
        <v>0</v>
      </c>
      <c r="AJ157">
        <v>2</v>
      </c>
      <c r="AK157">
        <v>3</v>
      </c>
      <c r="AL157">
        <v>0</v>
      </c>
      <c r="AO157" t="s">
        <v>5844</v>
      </c>
      <c r="AP157">
        <v>0</v>
      </c>
      <c r="AV157">
        <v>0</v>
      </c>
      <c r="AX157" t="s">
        <v>84</v>
      </c>
    </row>
    <row r="158" spans="1:50">
      <c r="A158" s="1">
        <f>HYPERLINK("https://lsnyc.legalserver.org/matter/dynamic-profile/view/1907528","19-1907528")</f>
        <v>0</v>
      </c>
      <c r="B158" t="s">
        <v>84</v>
      </c>
      <c r="C158" t="s">
        <v>191</v>
      </c>
      <c r="D158" t="s">
        <v>234</v>
      </c>
      <c r="F158" t="s">
        <v>562</v>
      </c>
      <c r="G158" t="s">
        <v>1191</v>
      </c>
      <c r="H158" t="s">
        <v>2071</v>
      </c>
      <c r="I158" t="s">
        <v>2858</v>
      </c>
      <c r="J158" t="s">
        <v>3147</v>
      </c>
      <c r="K158">
        <v>10474</v>
      </c>
      <c r="L158" t="s">
        <v>3186</v>
      </c>
      <c r="N158" t="s">
        <v>3186</v>
      </c>
      <c r="P158" t="s">
        <v>3616</v>
      </c>
      <c r="Q158" t="s">
        <v>3639</v>
      </c>
      <c r="T158" t="s">
        <v>3660</v>
      </c>
      <c r="W158" t="s">
        <v>3670</v>
      </c>
      <c r="Y158">
        <v>0</v>
      </c>
      <c r="Z158" t="s">
        <v>3690</v>
      </c>
      <c r="AC158" t="s">
        <v>3860</v>
      </c>
      <c r="AE158" t="s">
        <v>4999</v>
      </c>
      <c r="AF158">
        <v>0</v>
      </c>
      <c r="AI158">
        <v>0</v>
      </c>
      <c r="AJ158">
        <v>1</v>
      </c>
      <c r="AK158">
        <v>0</v>
      </c>
      <c r="AL158">
        <v>36.41</v>
      </c>
      <c r="AO158" t="s">
        <v>5843</v>
      </c>
      <c r="AP158">
        <v>4548</v>
      </c>
      <c r="AV158">
        <v>0</v>
      </c>
      <c r="AX158" t="s">
        <v>84</v>
      </c>
    </row>
    <row r="159" spans="1:50">
      <c r="A159" s="1">
        <f>HYPERLINK("https://lsnyc.legalserver.org/matter/dynamic-profile/view/1908303","19-1908303")</f>
        <v>0</v>
      </c>
      <c r="B159" t="s">
        <v>84</v>
      </c>
      <c r="C159" t="s">
        <v>191</v>
      </c>
      <c r="D159" t="s">
        <v>212</v>
      </c>
      <c r="F159" t="s">
        <v>562</v>
      </c>
      <c r="G159" t="s">
        <v>1191</v>
      </c>
      <c r="H159" t="s">
        <v>2071</v>
      </c>
      <c r="I159" t="s">
        <v>2858</v>
      </c>
      <c r="J159" t="s">
        <v>3147</v>
      </c>
      <c r="K159">
        <v>10474</v>
      </c>
      <c r="L159" t="s">
        <v>3186</v>
      </c>
      <c r="N159" t="s">
        <v>3186</v>
      </c>
      <c r="P159" t="s">
        <v>3615</v>
      </c>
      <c r="Q159" t="s">
        <v>3639</v>
      </c>
      <c r="T159" t="s">
        <v>3660</v>
      </c>
      <c r="U159" t="s">
        <v>3184</v>
      </c>
      <c r="W159" t="s">
        <v>3670</v>
      </c>
      <c r="X159" t="s">
        <v>3681</v>
      </c>
      <c r="Y159">
        <v>309.6</v>
      </c>
      <c r="Z159" t="s">
        <v>3690</v>
      </c>
      <c r="AC159" t="s">
        <v>3860</v>
      </c>
      <c r="AE159" t="s">
        <v>4999</v>
      </c>
      <c r="AF159">
        <v>0</v>
      </c>
      <c r="AG159" t="s">
        <v>5811</v>
      </c>
      <c r="AI159">
        <v>42</v>
      </c>
      <c r="AJ159">
        <v>1</v>
      </c>
      <c r="AK159">
        <v>0</v>
      </c>
      <c r="AL159">
        <v>36.41</v>
      </c>
      <c r="AO159" t="s">
        <v>5843</v>
      </c>
      <c r="AP159">
        <v>4548</v>
      </c>
      <c r="AV159">
        <v>2</v>
      </c>
      <c r="AW159" t="s">
        <v>207</v>
      </c>
      <c r="AX159" t="s">
        <v>84</v>
      </c>
    </row>
    <row r="160" spans="1:50">
      <c r="A160" s="1">
        <f>HYPERLINK("https://lsnyc.legalserver.org/matter/dynamic-profile/view/1905563","19-1905563")</f>
        <v>0</v>
      </c>
      <c r="B160" t="s">
        <v>84</v>
      </c>
      <c r="C160" t="s">
        <v>191</v>
      </c>
      <c r="D160" t="s">
        <v>202</v>
      </c>
      <c r="F160" t="s">
        <v>563</v>
      </c>
      <c r="G160" t="s">
        <v>1304</v>
      </c>
      <c r="H160" t="s">
        <v>2073</v>
      </c>
      <c r="I160" t="s">
        <v>2897</v>
      </c>
      <c r="J160" t="s">
        <v>3147</v>
      </c>
      <c r="K160">
        <v>10459</v>
      </c>
      <c r="L160" t="s">
        <v>3186</v>
      </c>
      <c r="N160" t="s">
        <v>3186</v>
      </c>
      <c r="O160" t="s">
        <v>3258</v>
      </c>
      <c r="P160" t="s">
        <v>3620</v>
      </c>
      <c r="Q160" t="s">
        <v>3636</v>
      </c>
      <c r="T160" t="s">
        <v>3660</v>
      </c>
      <c r="U160" t="s">
        <v>3184</v>
      </c>
      <c r="W160" t="s">
        <v>3670</v>
      </c>
      <c r="X160" t="s">
        <v>3681</v>
      </c>
      <c r="Y160">
        <v>168</v>
      </c>
      <c r="Z160" t="s">
        <v>3690</v>
      </c>
      <c r="AC160" t="s">
        <v>3861</v>
      </c>
      <c r="AE160" t="s">
        <v>5000</v>
      </c>
      <c r="AF160">
        <v>20</v>
      </c>
      <c r="AG160" t="s">
        <v>5812</v>
      </c>
      <c r="AH160" t="s">
        <v>5827</v>
      </c>
      <c r="AI160">
        <v>18</v>
      </c>
      <c r="AJ160">
        <v>1</v>
      </c>
      <c r="AK160">
        <v>0</v>
      </c>
      <c r="AL160">
        <v>71.09999999999999</v>
      </c>
      <c r="AO160" t="s">
        <v>5843</v>
      </c>
      <c r="AP160">
        <v>8880</v>
      </c>
      <c r="AV160">
        <v>5</v>
      </c>
      <c r="AW160" t="s">
        <v>275</v>
      </c>
      <c r="AX160" t="s">
        <v>6015</v>
      </c>
    </row>
    <row r="161" spans="1:50">
      <c r="A161" s="1">
        <f>HYPERLINK("https://lsnyc.legalserver.org/matter/dynamic-profile/view/1910076","19-1910076")</f>
        <v>0</v>
      </c>
      <c r="B161" t="s">
        <v>84</v>
      </c>
      <c r="C161" t="s">
        <v>191</v>
      </c>
      <c r="D161" t="s">
        <v>198</v>
      </c>
      <c r="F161" t="s">
        <v>564</v>
      </c>
      <c r="G161" t="s">
        <v>1305</v>
      </c>
      <c r="H161" t="s">
        <v>2074</v>
      </c>
      <c r="I161" t="s">
        <v>2848</v>
      </c>
      <c r="J161" t="s">
        <v>3147</v>
      </c>
      <c r="K161">
        <v>10460</v>
      </c>
      <c r="L161" t="s">
        <v>3186</v>
      </c>
      <c r="N161" t="s">
        <v>3186</v>
      </c>
      <c r="P161" t="s">
        <v>3620</v>
      </c>
      <c r="Q161" t="s">
        <v>3635</v>
      </c>
      <c r="T161" t="s">
        <v>3660</v>
      </c>
      <c r="U161" t="s">
        <v>3184</v>
      </c>
      <c r="W161" t="s">
        <v>3673</v>
      </c>
      <c r="Y161">
        <v>0</v>
      </c>
      <c r="Z161" t="s">
        <v>3690</v>
      </c>
      <c r="AC161" t="s">
        <v>3862</v>
      </c>
      <c r="AE161" t="s">
        <v>5001</v>
      </c>
      <c r="AF161">
        <v>0</v>
      </c>
      <c r="AI161">
        <v>0</v>
      </c>
      <c r="AJ161">
        <v>4</v>
      </c>
      <c r="AK161">
        <v>0</v>
      </c>
      <c r="AL161">
        <v>72.23</v>
      </c>
      <c r="AO161" t="s">
        <v>5843</v>
      </c>
      <c r="AP161">
        <v>18600</v>
      </c>
      <c r="AV161">
        <v>1.75</v>
      </c>
      <c r="AW161" t="s">
        <v>198</v>
      </c>
      <c r="AX161" t="s">
        <v>84</v>
      </c>
    </row>
    <row r="162" spans="1:50">
      <c r="A162" s="1">
        <f>HYPERLINK("https://lsnyc.legalserver.org/matter/dynamic-profile/view/1907529","19-1907529")</f>
        <v>0</v>
      </c>
      <c r="B162" t="s">
        <v>84</v>
      </c>
      <c r="C162" t="s">
        <v>191</v>
      </c>
      <c r="D162" t="s">
        <v>234</v>
      </c>
      <c r="F162" t="s">
        <v>452</v>
      </c>
      <c r="G162" t="s">
        <v>1306</v>
      </c>
      <c r="H162" t="s">
        <v>2071</v>
      </c>
      <c r="I162" t="s">
        <v>2887</v>
      </c>
      <c r="J162" t="s">
        <v>3147</v>
      </c>
      <c r="K162">
        <v>10474</v>
      </c>
      <c r="L162" t="s">
        <v>3186</v>
      </c>
      <c r="N162" t="s">
        <v>3186</v>
      </c>
      <c r="P162" t="s">
        <v>3616</v>
      </c>
      <c r="Q162" t="s">
        <v>3639</v>
      </c>
      <c r="T162" t="s">
        <v>3660</v>
      </c>
      <c r="W162" t="s">
        <v>3670</v>
      </c>
      <c r="Y162">
        <v>0</v>
      </c>
      <c r="Z162" t="s">
        <v>3690</v>
      </c>
      <c r="AC162" t="s">
        <v>3863</v>
      </c>
      <c r="AF162">
        <v>0</v>
      </c>
      <c r="AI162">
        <v>0</v>
      </c>
      <c r="AJ162">
        <v>1</v>
      </c>
      <c r="AK162">
        <v>0</v>
      </c>
      <c r="AL162">
        <v>73.98</v>
      </c>
      <c r="AO162" t="s">
        <v>5844</v>
      </c>
      <c r="AP162">
        <v>9240</v>
      </c>
      <c r="AV162">
        <v>0</v>
      </c>
      <c r="AX162" t="s">
        <v>84</v>
      </c>
    </row>
    <row r="163" spans="1:50">
      <c r="A163" s="1">
        <f>HYPERLINK("https://lsnyc.legalserver.org/matter/dynamic-profile/view/1907531","19-1907531")</f>
        <v>0</v>
      </c>
      <c r="B163" t="s">
        <v>84</v>
      </c>
      <c r="C163" t="s">
        <v>191</v>
      </c>
      <c r="D163" t="s">
        <v>234</v>
      </c>
      <c r="F163" t="s">
        <v>565</v>
      </c>
      <c r="G163" t="s">
        <v>1307</v>
      </c>
      <c r="H163" t="s">
        <v>2071</v>
      </c>
      <c r="I163" t="s">
        <v>2827</v>
      </c>
      <c r="J163" t="s">
        <v>3147</v>
      </c>
      <c r="K163">
        <v>10474</v>
      </c>
      <c r="L163" t="s">
        <v>3186</v>
      </c>
      <c r="N163" t="s">
        <v>3186</v>
      </c>
      <c r="P163" t="s">
        <v>3616</v>
      </c>
      <c r="Q163" t="s">
        <v>3639</v>
      </c>
      <c r="T163" t="s">
        <v>3660</v>
      </c>
      <c r="W163" t="s">
        <v>3670</v>
      </c>
      <c r="Y163">
        <v>0</v>
      </c>
      <c r="Z163" t="s">
        <v>3690</v>
      </c>
      <c r="AC163" t="s">
        <v>3864</v>
      </c>
      <c r="AE163" t="s">
        <v>5002</v>
      </c>
      <c r="AF163">
        <v>0</v>
      </c>
      <c r="AI163">
        <v>0</v>
      </c>
      <c r="AJ163">
        <v>1</v>
      </c>
      <c r="AK163">
        <v>0</v>
      </c>
      <c r="AL163">
        <v>93.67</v>
      </c>
      <c r="AO163" t="s">
        <v>5843</v>
      </c>
      <c r="AP163">
        <v>11700</v>
      </c>
      <c r="AV163">
        <v>0</v>
      </c>
      <c r="AX163" t="s">
        <v>84</v>
      </c>
    </row>
    <row r="164" spans="1:50">
      <c r="A164" s="1">
        <f>HYPERLINK("https://lsnyc.legalserver.org/matter/dynamic-profile/view/1892218","19-1892218")</f>
        <v>0</v>
      </c>
      <c r="B164" t="s">
        <v>84</v>
      </c>
      <c r="C164" t="s">
        <v>191</v>
      </c>
      <c r="D164" t="s">
        <v>232</v>
      </c>
      <c r="F164" t="s">
        <v>566</v>
      </c>
      <c r="G164" t="s">
        <v>1308</v>
      </c>
      <c r="H164" t="s">
        <v>2075</v>
      </c>
      <c r="I164" t="s">
        <v>2898</v>
      </c>
      <c r="J164" t="s">
        <v>3147</v>
      </c>
      <c r="K164">
        <v>10461</v>
      </c>
      <c r="L164" t="s">
        <v>3186</v>
      </c>
      <c r="M164" t="s">
        <v>3189</v>
      </c>
      <c r="N164" t="s">
        <v>3186</v>
      </c>
      <c r="Q164" t="s">
        <v>3635</v>
      </c>
      <c r="T164" t="s">
        <v>3660</v>
      </c>
      <c r="W164" t="s">
        <v>3674</v>
      </c>
      <c r="Y164">
        <v>0</v>
      </c>
      <c r="Z164" t="s">
        <v>3690</v>
      </c>
      <c r="AC164" t="s">
        <v>3865</v>
      </c>
      <c r="AE164" t="s">
        <v>5003</v>
      </c>
      <c r="AF164">
        <v>125</v>
      </c>
      <c r="AI164">
        <v>0</v>
      </c>
      <c r="AJ164">
        <v>1</v>
      </c>
      <c r="AK164">
        <v>0</v>
      </c>
      <c r="AL164">
        <v>161.73</v>
      </c>
      <c r="AO164" t="s">
        <v>5844</v>
      </c>
      <c r="AP164">
        <v>20200</v>
      </c>
      <c r="AQ164" t="s">
        <v>5866</v>
      </c>
      <c r="AV164">
        <v>23.7</v>
      </c>
      <c r="AW164" t="s">
        <v>212</v>
      </c>
      <c r="AX164" t="s">
        <v>6024</v>
      </c>
    </row>
    <row r="165" spans="1:50">
      <c r="A165" s="1">
        <f>HYPERLINK("https://lsnyc.legalserver.org/matter/dynamic-profile/view/1907530","19-1907530")</f>
        <v>0</v>
      </c>
      <c r="B165" t="s">
        <v>84</v>
      </c>
      <c r="C165" t="s">
        <v>191</v>
      </c>
      <c r="D165" t="s">
        <v>234</v>
      </c>
      <c r="F165" t="s">
        <v>504</v>
      </c>
      <c r="G165" t="s">
        <v>1309</v>
      </c>
      <c r="H165" t="s">
        <v>2071</v>
      </c>
      <c r="I165" t="s">
        <v>2899</v>
      </c>
      <c r="J165" t="s">
        <v>3147</v>
      </c>
      <c r="K165">
        <v>10474</v>
      </c>
      <c r="L165" t="s">
        <v>3186</v>
      </c>
      <c r="N165" t="s">
        <v>3186</v>
      </c>
      <c r="P165" t="s">
        <v>3616</v>
      </c>
      <c r="Q165" t="s">
        <v>3639</v>
      </c>
      <c r="T165" t="s">
        <v>3660</v>
      </c>
      <c r="W165" t="s">
        <v>3670</v>
      </c>
      <c r="Y165">
        <v>0</v>
      </c>
      <c r="Z165" t="s">
        <v>3690</v>
      </c>
      <c r="AC165" t="s">
        <v>3866</v>
      </c>
      <c r="AE165" t="s">
        <v>5004</v>
      </c>
      <c r="AF165">
        <v>0</v>
      </c>
      <c r="AI165">
        <v>0</v>
      </c>
      <c r="AJ165">
        <v>4</v>
      </c>
      <c r="AK165">
        <v>1</v>
      </c>
      <c r="AL165">
        <v>189.59</v>
      </c>
      <c r="AO165" t="s">
        <v>5844</v>
      </c>
      <c r="AP165">
        <v>57200</v>
      </c>
      <c r="AV165">
        <v>0</v>
      </c>
      <c r="AX165" t="s">
        <v>84</v>
      </c>
    </row>
    <row r="166" spans="1:50">
      <c r="A166" s="1">
        <f>HYPERLINK("https://lsnyc.legalserver.org/matter/dynamic-profile/view/1907526","19-1907526")</f>
        <v>0</v>
      </c>
      <c r="B166" t="s">
        <v>84</v>
      </c>
      <c r="C166" t="s">
        <v>191</v>
      </c>
      <c r="D166" t="s">
        <v>234</v>
      </c>
      <c r="F166" t="s">
        <v>567</v>
      </c>
      <c r="G166" t="s">
        <v>481</v>
      </c>
      <c r="H166" t="s">
        <v>2071</v>
      </c>
      <c r="I166" t="s">
        <v>2900</v>
      </c>
      <c r="J166" t="s">
        <v>3147</v>
      </c>
      <c r="K166">
        <v>10474</v>
      </c>
      <c r="L166" t="s">
        <v>3186</v>
      </c>
      <c r="N166" t="s">
        <v>3186</v>
      </c>
      <c r="P166" t="s">
        <v>3616</v>
      </c>
      <c r="Q166" t="s">
        <v>3639</v>
      </c>
      <c r="T166" t="s">
        <v>3660</v>
      </c>
      <c r="W166" t="s">
        <v>3670</v>
      </c>
      <c r="Y166">
        <v>0</v>
      </c>
      <c r="Z166" t="s">
        <v>3690</v>
      </c>
      <c r="AC166" t="s">
        <v>3867</v>
      </c>
      <c r="AE166" t="s">
        <v>5005</v>
      </c>
      <c r="AF166">
        <v>0</v>
      </c>
      <c r="AI166">
        <v>0</v>
      </c>
      <c r="AJ166">
        <v>2</v>
      </c>
      <c r="AK166">
        <v>1</v>
      </c>
      <c r="AL166">
        <v>271.92</v>
      </c>
      <c r="AO166" t="s">
        <v>5843</v>
      </c>
      <c r="AP166">
        <v>58000</v>
      </c>
      <c r="AV166">
        <v>0</v>
      </c>
      <c r="AX166" t="s">
        <v>84</v>
      </c>
    </row>
    <row r="167" spans="1:50">
      <c r="A167" s="1">
        <f>HYPERLINK("https://lsnyc.legalserver.org/matter/dynamic-profile/view/1908649","19-1908649")</f>
        <v>0</v>
      </c>
      <c r="B167" t="s">
        <v>84</v>
      </c>
      <c r="C167" t="s">
        <v>191</v>
      </c>
      <c r="D167" t="s">
        <v>231</v>
      </c>
      <c r="F167" t="s">
        <v>568</v>
      </c>
      <c r="G167" t="s">
        <v>1310</v>
      </c>
      <c r="H167" t="s">
        <v>2071</v>
      </c>
      <c r="I167" t="s">
        <v>2901</v>
      </c>
      <c r="J167" t="s">
        <v>3147</v>
      </c>
      <c r="K167">
        <v>10474</v>
      </c>
      <c r="L167" t="s">
        <v>3186</v>
      </c>
      <c r="N167" t="s">
        <v>3186</v>
      </c>
      <c r="P167" t="s">
        <v>3616</v>
      </c>
      <c r="Q167" t="s">
        <v>3639</v>
      </c>
      <c r="T167" t="s">
        <v>3660</v>
      </c>
      <c r="U167" t="s">
        <v>3185</v>
      </c>
      <c r="W167" t="s">
        <v>3670</v>
      </c>
      <c r="Y167">
        <v>0</v>
      </c>
      <c r="Z167" t="s">
        <v>3690</v>
      </c>
      <c r="AC167" t="s">
        <v>3868</v>
      </c>
      <c r="AE167" t="s">
        <v>5006</v>
      </c>
      <c r="AF167">
        <v>0</v>
      </c>
      <c r="AI167">
        <v>0</v>
      </c>
      <c r="AJ167">
        <v>1</v>
      </c>
      <c r="AK167">
        <v>0</v>
      </c>
      <c r="AL167">
        <v>316.41</v>
      </c>
      <c r="AO167" t="s">
        <v>5843</v>
      </c>
      <c r="AP167">
        <v>39520</v>
      </c>
      <c r="AV167">
        <v>0</v>
      </c>
      <c r="AX167" t="s">
        <v>84</v>
      </c>
    </row>
    <row r="168" spans="1:50">
      <c r="A168" s="1">
        <f>HYPERLINK("https://lsnyc.legalserver.org/matter/dynamic-profile/view/1905743","19-1905743")</f>
        <v>0</v>
      </c>
      <c r="B168" t="s">
        <v>85</v>
      </c>
      <c r="C168" t="s">
        <v>191</v>
      </c>
      <c r="D168" t="s">
        <v>203</v>
      </c>
      <c r="F168" t="s">
        <v>569</v>
      </c>
      <c r="G168" t="s">
        <v>1311</v>
      </c>
      <c r="H168" t="s">
        <v>2076</v>
      </c>
      <c r="I168" t="s">
        <v>2896</v>
      </c>
      <c r="J168" t="s">
        <v>3148</v>
      </c>
      <c r="K168">
        <v>11226</v>
      </c>
      <c r="L168" t="s">
        <v>3185</v>
      </c>
      <c r="N168" t="s">
        <v>3186</v>
      </c>
      <c r="P168" t="s">
        <v>3616</v>
      </c>
      <c r="Q168" t="s">
        <v>3639</v>
      </c>
      <c r="S168" t="s">
        <v>203</v>
      </c>
      <c r="T168" t="s">
        <v>3660</v>
      </c>
      <c r="U168" t="s">
        <v>3185</v>
      </c>
      <c r="W168" t="s">
        <v>3670</v>
      </c>
      <c r="Y168">
        <v>0</v>
      </c>
      <c r="Z168" t="s">
        <v>3691</v>
      </c>
      <c r="AC168" t="s">
        <v>3869</v>
      </c>
      <c r="AE168" t="s">
        <v>5007</v>
      </c>
      <c r="AF168">
        <v>36</v>
      </c>
      <c r="AG168" t="s">
        <v>5813</v>
      </c>
      <c r="AI168">
        <v>0</v>
      </c>
      <c r="AJ168">
        <v>2</v>
      </c>
      <c r="AK168">
        <v>0</v>
      </c>
      <c r="AL168">
        <v>56.77</v>
      </c>
      <c r="AO168" t="s">
        <v>5847</v>
      </c>
      <c r="AP168">
        <v>9600</v>
      </c>
      <c r="AV168">
        <v>0.2</v>
      </c>
      <c r="AW168" t="s">
        <v>203</v>
      </c>
      <c r="AX168" t="s">
        <v>131</v>
      </c>
    </row>
    <row r="169" spans="1:50">
      <c r="A169" s="1">
        <f>HYPERLINK("https://lsnyc.legalserver.org/matter/dynamic-profile/view/1905689","19-1905689")</f>
        <v>0</v>
      </c>
      <c r="B169" t="s">
        <v>85</v>
      </c>
      <c r="C169" t="s">
        <v>191</v>
      </c>
      <c r="D169" t="s">
        <v>246</v>
      </c>
      <c r="F169" t="s">
        <v>570</v>
      </c>
      <c r="G169" t="s">
        <v>1312</v>
      </c>
      <c r="H169" t="s">
        <v>2076</v>
      </c>
      <c r="I169" t="s">
        <v>2887</v>
      </c>
      <c r="J169" t="s">
        <v>3148</v>
      </c>
      <c r="K169">
        <v>11226</v>
      </c>
      <c r="L169" t="s">
        <v>3185</v>
      </c>
      <c r="N169" t="s">
        <v>3186</v>
      </c>
      <c r="P169" t="s">
        <v>3616</v>
      </c>
      <c r="Q169" t="s">
        <v>3639</v>
      </c>
      <c r="S169" t="s">
        <v>203</v>
      </c>
      <c r="T169" t="s">
        <v>3660</v>
      </c>
      <c r="U169" t="s">
        <v>3185</v>
      </c>
      <c r="W169" t="s">
        <v>3670</v>
      </c>
      <c r="Y169">
        <v>0</v>
      </c>
      <c r="Z169" t="s">
        <v>3691</v>
      </c>
      <c r="AC169" t="s">
        <v>3870</v>
      </c>
      <c r="AE169" t="s">
        <v>5008</v>
      </c>
      <c r="AF169">
        <v>36</v>
      </c>
      <c r="AG169" t="s">
        <v>5813</v>
      </c>
      <c r="AI169">
        <v>0</v>
      </c>
      <c r="AJ169">
        <v>2</v>
      </c>
      <c r="AK169">
        <v>0</v>
      </c>
      <c r="AL169">
        <v>85.16</v>
      </c>
      <c r="AO169" t="s">
        <v>5843</v>
      </c>
      <c r="AP169">
        <v>14400</v>
      </c>
      <c r="AV169">
        <v>0.1</v>
      </c>
      <c r="AW169" t="s">
        <v>246</v>
      </c>
      <c r="AX169" t="s">
        <v>131</v>
      </c>
    </row>
    <row r="170" spans="1:50">
      <c r="A170" s="1">
        <f>HYPERLINK("https://lsnyc.legalserver.org/matter/dynamic-profile/view/1905676","19-1905676")</f>
        <v>0</v>
      </c>
      <c r="B170" t="s">
        <v>85</v>
      </c>
      <c r="C170" t="s">
        <v>191</v>
      </c>
      <c r="D170" t="s">
        <v>203</v>
      </c>
      <c r="F170" t="s">
        <v>571</v>
      </c>
      <c r="G170" t="s">
        <v>1313</v>
      </c>
      <c r="H170" t="s">
        <v>2076</v>
      </c>
      <c r="I170" t="s">
        <v>2902</v>
      </c>
      <c r="J170" t="s">
        <v>3148</v>
      </c>
      <c r="K170">
        <v>11226</v>
      </c>
      <c r="L170" t="s">
        <v>3185</v>
      </c>
      <c r="N170" t="s">
        <v>3186</v>
      </c>
      <c r="P170" t="s">
        <v>3616</v>
      </c>
      <c r="Q170" t="s">
        <v>3639</v>
      </c>
      <c r="S170" t="s">
        <v>203</v>
      </c>
      <c r="T170" t="s">
        <v>3660</v>
      </c>
      <c r="U170" t="s">
        <v>3185</v>
      </c>
      <c r="V170" t="s">
        <v>3663</v>
      </c>
      <c r="W170" t="s">
        <v>3670</v>
      </c>
      <c r="Y170">
        <v>0</v>
      </c>
      <c r="Z170" t="s">
        <v>3691</v>
      </c>
      <c r="AC170" t="s">
        <v>3871</v>
      </c>
      <c r="AE170" t="s">
        <v>5009</v>
      </c>
      <c r="AF170">
        <v>36</v>
      </c>
      <c r="AG170" t="s">
        <v>5813</v>
      </c>
      <c r="AI170">
        <v>0</v>
      </c>
      <c r="AJ170">
        <v>1</v>
      </c>
      <c r="AK170">
        <v>0</v>
      </c>
      <c r="AL170">
        <v>96.08</v>
      </c>
      <c r="AO170" t="s">
        <v>5847</v>
      </c>
      <c r="AP170">
        <v>12000</v>
      </c>
      <c r="AV170">
        <v>0.2</v>
      </c>
      <c r="AW170" t="s">
        <v>203</v>
      </c>
      <c r="AX170" t="s">
        <v>131</v>
      </c>
    </row>
    <row r="171" spans="1:50">
      <c r="A171" s="1">
        <f>HYPERLINK("https://lsnyc.legalserver.org/matter/dynamic-profile/view/1905681","19-1905681")</f>
        <v>0</v>
      </c>
      <c r="B171" t="s">
        <v>85</v>
      </c>
      <c r="C171" t="s">
        <v>191</v>
      </c>
      <c r="D171" t="s">
        <v>203</v>
      </c>
      <c r="F171" t="s">
        <v>572</v>
      </c>
      <c r="G171" t="s">
        <v>1314</v>
      </c>
      <c r="H171" t="s">
        <v>2076</v>
      </c>
      <c r="I171" t="s">
        <v>2881</v>
      </c>
      <c r="J171" t="s">
        <v>3148</v>
      </c>
      <c r="K171">
        <v>11226</v>
      </c>
      <c r="L171" t="s">
        <v>3185</v>
      </c>
      <c r="N171" t="s">
        <v>3186</v>
      </c>
      <c r="P171" t="s">
        <v>3616</v>
      </c>
      <c r="Q171" t="s">
        <v>3639</v>
      </c>
      <c r="S171" t="s">
        <v>203</v>
      </c>
      <c r="T171" t="s">
        <v>3660</v>
      </c>
      <c r="U171" t="s">
        <v>3185</v>
      </c>
      <c r="W171" t="s">
        <v>3670</v>
      </c>
      <c r="Y171">
        <v>0</v>
      </c>
      <c r="Z171" t="s">
        <v>3691</v>
      </c>
      <c r="AC171" t="s">
        <v>3872</v>
      </c>
      <c r="AE171" t="s">
        <v>5010</v>
      </c>
      <c r="AF171">
        <v>36</v>
      </c>
      <c r="AG171" t="s">
        <v>5813</v>
      </c>
      <c r="AI171">
        <v>0</v>
      </c>
      <c r="AJ171">
        <v>4</v>
      </c>
      <c r="AK171">
        <v>0</v>
      </c>
      <c r="AL171">
        <v>100.97</v>
      </c>
      <c r="AO171" t="s">
        <v>5844</v>
      </c>
      <c r="AP171">
        <v>26000</v>
      </c>
      <c r="AV171">
        <v>0.2</v>
      </c>
      <c r="AW171" t="s">
        <v>203</v>
      </c>
      <c r="AX171" t="s">
        <v>131</v>
      </c>
    </row>
    <row r="172" spans="1:50">
      <c r="A172" s="1">
        <f>HYPERLINK("https://lsnyc.legalserver.org/matter/dynamic-profile/view/1905685","19-1905685")</f>
        <v>0</v>
      </c>
      <c r="B172" t="s">
        <v>85</v>
      </c>
      <c r="C172" t="s">
        <v>191</v>
      </c>
      <c r="D172" t="s">
        <v>203</v>
      </c>
      <c r="F172" t="s">
        <v>573</v>
      </c>
      <c r="G172" t="s">
        <v>1315</v>
      </c>
      <c r="H172" t="s">
        <v>2076</v>
      </c>
      <c r="I172" t="s">
        <v>2903</v>
      </c>
      <c r="J172" t="s">
        <v>3148</v>
      </c>
      <c r="K172">
        <v>11226</v>
      </c>
      <c r="L172" t="s">
        <v>3185</v>
      </c>
      <c r="N172" t="s">
        <v>3186</v>
      </c>
      <c r="P172" t="s">
        <v>3616</v>
      </c>
      <c r="Q172" t="s">
        <v>3639</v>
      </c>
      <c r="S172" t="s">
        <v>203</v>
      </c>
      <c r="T172" t="s">
        <v>3660</v>
      </c>
      <c r="U172" t="s">
        <v>3185</v>
      </c>
      <c r="W172" t="s">
        <v>3670</v>
      </c>
      <c r="Y172">
        <v>0</v>
      </c>
      <c r="Z172" t="s">
        <v>3691</v>
      </c>
      <c r="AC172" t="s">
        <v>3873</v>
      </c>
      <c r="AE172" t="s">
        <v>5011</v>
      </c>
      <c r="AF172">
        <v>36</v>
      </c>
      <c r="AG172" t="s">
        <v>5813</v>
      </c>
      <c r="AI172">
        <v>0</v>
      </c>
      <c r="AJ172">
        <v>2</v>
      </c>
      <c r="AK172">
        <v>0</v>
      </c>
      <c r="AL172">
        <v>123</v>
      </c>
      <c r="AO172" t="s">
        <v>5847</v>
      </c>
      <c r="AP172">
        <v>20800</v>
      </c>
      <c r="AV172">
        <v>0.2</v>
      </c>
      <c r="AW172" t="s">
        <v>203</v>
      </c>
      <c r="AX172" t="s">
        <v>131</v>
      </c>
    </row>
    <row r="173" spans="1:50">
      <c r="A173" s="1">
        <f>HYPERLINK("https://lsnyc.legalserver.org/matter/dynamic-profile/view/1905687","19-1905687")</f>
        <v>0</v>
      </c>
      <c r="B173" t="s">
        <v>85</v>
      </c>
      <c r="C173" t="s">
        <v>191</v>
      </c>
      <c r="D173" t="s">
        <v>203</v>
      </c>
      <c r="F173" t="s">
        <v>574</v>
      </c>
      <c r="G173" t="s">
        <v>1316</v>
      </c>
      <c r="H173" t="s">
        <v>2076</v>
      </c>
      <c r="I173" t="s">
        <v>2904</v>
      </c>
      <c r="J173" t="s">
        <v>3148</v>
      </c>
      <c r="K173">
        <v>11226</v>
      </c>
      <c r="L173" t="s">
        <v>3185</v>
      </c>
      <c r="N173" t="s">
        <v>3186</v>
      </c>
      <c r="P173" t="s">
        <v>3616</v>
      </c>
      <c r="Q173" t="s">
        <v>3639</v>
      </c>
      <c r="S173" t="s">
        <v>203</v>
      </c>
      <c r="T173" t="s">
        <v>3660</v>
      </c>
      <c r="U173" t="s">
        <v>3185</v>
      </c>
      <c r="W173" t="s">
        <v>3670</v>
      </c>
      <c r="Y173">
        <v>0</v>
      </c>
      <c r="Z173" t="s">
        <v>3691</v>
      </c>
      <c r="AC173" t="s">
        <v>3874</v>
      </c>
      <c r="AF173">
        <v>36</v>
      </c>
      <c r="AI173">
        <v>0</v>
      </c>
      <c r="AJ173">
        <v>3</v>
      </c>
      <c r="AK173">
        <v>1</v>
      </c>
      <c r="AL173">
        <v>388.35</v>
      </c>
      <c r="AO173" t="s">
        <v>5843</v>
      </c>
      <c r="AP173">
        <v>100000</v>
      </c>
      <c r="AV173">
        <v>0.2</v>
      </c>
      <c r="AW173" t="s">
        <v>203</v>
      </c>
      <c r="AX173" t="s">
        <v>131</v>
      </c>
    </row>
    <row r="174" spans="1:50">
      <c r="A174" s="1">
        <f>HYPERLINK("https://lsnyc.legalserver.org/matter/dynamic-profile/view/1905679","19-1905679")</f>
        <v>0</v>
      </c>
      <c r="B174" t="s">
        <v>85</v>
      </c>
      <c r="C174" t="s">
        <v>191</v>
      </c>
      <c r="D174" t="s">
        <v>203</v>
      </c>
      <c r="F174" t="s">
        <v>575</v>
      </c>
      <c r="G174" t="s">
        <v>1317</v>
      </c>
      <c r="H174" t="s">
        <v>2076</v>
      </c>
      <c r="I174" t="s">
        <v>2820</v>
      </c>
      <c r="J174" t="s">
        <v>3148</v>
      </c>
      <c r="K174">
        <v>11226</v>
      </c>
      <c r="L174" t="s">
        <v>3185</v>
      </c>
      <c r="N174" t="s">
        <v>3186</v>
      </c>
      <c r="P174" t="s">
        <v>3616</v>
      </c>
      <c r="Q174" t="s">
        <v>3639</v>
      </c>
      <c r="S174" t="s">
        <v>203</v>
      </c>
      <c r="T174" t="s">
        <v>3660</v>
      </c>
      <c r="U174" t="s">
        <v>3185</v>
      </c>
      <c r="V174" t="s">
        <v>3663</v>
      </c>
      <c r="W174" t="s">
        <v>3670</v>
      </c>
      <c r="Y174">
        <v>0</v>
      </c>
      <c r="Z174" t="s">
        <v>3691</v>
      </c>
      <c r="AC174" t="s">
        <v>3875</v>
      </c>
      <c r="AE174" t="s">
        <v>5012</v>
      </c>
      <c r="AF174">
        <v>36</v>
      </c>
      <c r="AG174" t="s">
        <v>5813</v>
      </c>
      <c r="AI174">
        <v>0</v>
      </c>
      <c r="AJ174">
        <v>2</v>
      </c>
      <c r="AK174">
        <v>0</v>
      </c>
      <c r="AL174">
        <v>532.23</v>
      </c>
      <c r="AO174" t="s">
        <v>5843</v>
      </c>
      <c r="AP174">
        <v>90000</v>
      </c>
      <c r="AV174">
        <v>0.2</v>
      </c>
      <c r="AW174" t="s">
        <v>203</v>
      </c>
      <c r="AX174" t="s">
        <v>131</v>
      </c>
    </row>
    <row r="175" spans="1:50">
      <c r="A175" s="1">
        <f>HYPERLINK("https://lsnyc.legalserver.org/matter/dynamic-profile/view/1906163","19-1906163")</f>
        <v>0</v>
      </c>
      <c r="B175" t="s">
        <v>85</v>
      </c>
      <c r="C175" t="s">
        <v>191</v>
      </c>
      <c r="D175" t="s">
        <v>219</v>
      </c>
      <c r="F175" t="s">
        <v>574</v>
      </c>
      <c r="G175" t="s">
        <v>1199</v>
      </c>
      <c r="H175" t="s">
        <v>2077</v>
      </c>
      <c r="I175" t="s">
        <v>2905</v>
      </c>
      <c r="J175" t="s">
        <v>3148</v>
      </c>
      <c r="K175">
        <v>11232</v>
      </c>
      <c r="L175" t="s">
        <v>3185</v>
      </c>
      <c r="M175" t="s">
        <v>3189</v>
      </c>
      <c r="N175" t="s">
        <v>3186</v>
      </c>
      <c r="O175" t="s">
        <v>3259</v>
      </c>
      <c r="P175" t="s">
        <v>3613</v>
      </c>
      <c r="Q175" t="s">
        <v>3634</v>
      </c>
      <c r="S175" t="s">
        <v>208</v>
      </c>
      <c r="T175" t="s">
        <v>3660</v>
      </c>
      <c r="U175" t="s">
        <v>3184</v>
      </c>
      <c r="W175" t="s">
        <v>3670</v>
      </c>
      <c r="X175" t="s">
        <v>3681</v>
      </c>
      <c r="Y175">
        <v>600</v>
      </c>
      <c r="Z175" t="s">
        <v>3691</v>
      </c>
      <c r="AA175" t="s">
        <v>3698</v>
      </c>
      <c r="AC175" t="s">
        <v>3876</v>
      </c>
      <c r="AD175" t="s">
        <v>3188</v>
      </c>
      <c r="AE175" t="s">
        <v>5013</v>
      </c>
      <c r="AF175">
        <v>6</v>
      </c>
      <c r="AG175" t="s">
        <v>3263</v>
      </c>
      <c r="AH175" t="s">
        <v>3188</v>
      </c>
      <c r="AI175">
        <v>22</v>
      </c>
      <c r="AJ175">
        <v>1</v>
      </c>
      <c r="AK175">
        <v>0</v>
      </c>
      <c r="AL175">
        <v>0</v>
      </c>
      <c r="AO175" t="s">
        <v>5843</v>
      </c>
      <c r="AP175">
        <v>0</v>
      </c>
      <c r="AV175">
        <v>11.7</v>
      </c>
      <c r="AW175" t="s">
        <v>231</v>
      </c>
      <c r="AX175" t="s">
        <v>6029</v>
      </c>
    </row>
    <row r="176" spans="1:50">
      <c r="A176" s="1">
        <f>HYPERLINK("https://lsnyc.legalserver.org/matter/dynamic-profile/view/1906286","19-1906286")</f>
        <v>0</v>
      </c>
      <c r="B176" t="s">
        <v>85</v>
      </c>
      <c r="C176" t="s">
        <v>191</v>
      </c>
      <c r="D176" t="s">
        <v>260</v>
      </c>
      <c r="F176" t="s">
        <v>576</v>
      </c>
      <c r="G176" t="s">
        <v>1318</v>
      </c>
      <c r="H176" t="s">
        <v>2078</v>
      </c>
      <c r="I176" t="s">
        <v>2906</v>
      </c>
      <c r="J176" t="s">
        <v>3148</v>
      </c>
      <c r="K176">
        <v>11226</v>
      </c>
      <c r="L176" t="s">
        <v>3185</v>
      </c>
      <c r="M176" t="s">
        <v>3189</v>
      </c>
      <c r="N176" t="s">
        <v>3186</v>
      </c>
      <c r="O176" t="s">
        <v>3260</v>
      </c>
      <c r="P176" t="s">
        <v>3616</v>
      </c>
      <c r="Q176" t="s">
        <v>3635</v>
      </c>
      <c r="S176" t="s">
        <v>260</v>
      </c>
      <c r="T176" t="s">
        <v>3660</v>
      </c>
      <c r="U176" t="s">
        <v>3184</v>
      </c>
      <c r="W176" t="s">
        <v>3670</v>
      </c>
      <c r="Y176">
        <v>1024.45</v>
      </c>
      <c r="Z176" t="s">
        <v>3691</v>
      </c>
      <c r="AC176" t="s">
        <v>3877</v>
      </c>
      <c r="AF176">
        <v>27</v>
      </c>
      <c r="AG176" t="s">
        <v>5813</v>
      </c>
      <c r="AI176">
        <v>23</v>
      </c>
      <c r="AJ176">
        <v>4</v>
      </c>
      <c r="AK176">
        <v>0</v>
      </c>
      <c r="AL176">
        <v>97.09</v>
      </c>
      <c r="AO176" t="s">
        <v>5843</v>
      </c>
      <c r="AP176">
        <v>25000</v>
      </c>
      <c r="AV176">
        <v>0.6</v>
      </c>
      <c r="AW176" t="s">
        <v>290</v>
      </c>
      <c r="AX176" t="s">
        <v>131</v>
      </c>
    </row>
    <row r="177" spans="1:50">
      <c r="A177" s="1">
        <f>HYPERLINK("https://lsnyc.legalserver.org/matter/dynamic-profile/view/1907585","19-1907585")</f>
        <v>0</v>
      </c>
      <c r="B177" t="s">
        <v>85</v>
      </c>
      <c r="C177" t="s">
        <v>191</v>
      </c>
      <c r="D177" t="s">
        <v>206</v>
      </c>
      <c r="F177" t="s">
        <v>577</v>
      </c>
      <c r="G177" t="s">
        <v>1319</v>
      </c>
      <c r="H177" t="s">
        <v>2079</v>
      </c>
      <c r="I177" t="s">
        <v>2860</v>
      </c>
      <c r="J177" t="s">
        <v>3148</v>
      </c>
      <c r="K177">
        <v>11226</v>
      </c>
      <c r="L177" t="s">
        <v>3185</v>
      </c>
      <c r="M177" t="s">
        <v>3189</v>
      </c>
      <c r="N177" t="s">
        <v>3186</v>
      </c>
      <c r="P177" t="s">
        <v>3612</v>
      </c>
      <c r="Q177" t="s">
        <v>3638</v>
      </c>
      <c r="S177" t="s">
        <v>206</v>
      </c>
      <c r="T177" t="s">
        <v>3660</v>
      </c>
      <c r="U177" t="s">
        <v>3185</v>
      </c>
      <c r="W177" t="s">
        <v>3670</v>
      </c>
      <c r="Y177">
        <v>786.46</v>
      </c>
      <c r="Z177" t="s">
        <v>3691</v>
      </c>
      <c r="AC177" t="s">
        <v>3878</v>
      </c>
      <c r="AE177" t="s">
        <v>5014</v>
      </c>
      <c r="AF177">
        <v>16</v>
      </c>
      <c r="AI177">
        <v>19</v>
      </c>
      <c r="AJ177">
        <v>1</v>
      </c>
      <c r="AK177">
        <v>0</v>
      </c>
      <c r="AL177">
        <v>400.32</v>
      </c>
      <c r="AO177" t="s">
        <v>5843</v>
      </c>
      <c r="AP177">
        <v>50000</v>
      </c>
      <c r="AV177">
        <v>7.9</v>
      </c>
      <c r="AW177" t="s">
        <v>291</v>
      </c>
      <c r="AX177" t="s">
        <v>61</v>
      </c>
    </row>
    <row r="178" spans="1:50">
      <c r="A178" s="1">
        <f>HYPERLINK("https://lsnyc.legalserver.org/matter/dynamic-profile/view/1907666","19-1907666")</f>
        <v>0</v>
      </c>
      <c r="B178" t="s">
        <v>85</v>
      </c>
      <c r="C178" t="s">
        <v>191</v>
      </c>
      <c r="D178" t="s">
        <v>246</v>
      </c>
      <c r="F178" t="s">
        <v>578</v>
      </c>
      <c r="G178" t="s">
        <v>1320</v>
      </c>
      <c r="H178" t="s">
        <v>2076</v>
      </c>
      <c r="I178" t="s">
        <v>2907</v>
      </c>
      <c r="J178" t="s">
        <v>3148</v>
      </c>
      <c r="K178">
        <v>11226</v>
      </c>
      <c r="L178" t="s">
        <v>3185</v>
      </c>
      <c r="M178" t="s">
        <v>3189</v>
      </c>
      <c r="N178" t="s">
        <v>3186</v>
      </c>
      <c r="P178" t="s">
        <v>3616</v>
      </c>
      <c r="Q178" t="s">
        <v>3639</v>
      </c>
      <c r="S178" t="s">
        <v>246</v>
      </c>
      <c r="T178" t="s">
        <v>3660</v>
      </c>
      <c r="U178" t="s">
        <v>3185</v>
      </c>
      <c r="W178" t="s">
        <v>3670</v>
      </c>
      <c r="Y178">
        <v>0</v>
      </c>
      <c r="Z178" t="s">
        <v>3691</v>
      </c>
      <c r="AC178" t="s">
        <v>3879</v>
      </c>
      <c r="AF178">
        <v>36</v>
      </c>
      <c r="AG178" t="s">
        <v>5813</v>
      </c>
      <c r="AI178">
        <v>0</v>
      </c>
      <c r="AJ178">
        <v>2</v>
      </c>
      <c r="AK178">
        <v>1</v>
      </c>
      <c r="AL178">
        <v>48.76</v>
      </c>
      <c r="AO178" t="s">
        <v>5844</v>
      </c>
      <c r="AP178">
        <v>10400</v>
      </c>
      <c r="AQ178" t="s">
        <v>5867</v>
      </c>
      <c r="AV178">
        <v>0.2</v>
      </c>
      <c r="AW178" t="s">
        <v>246</v>
      </c>
      <c r="AX178" t="s">
        <v>131</v>
      </c>
    </row>
    <row r="179" spans="1:50">
      <c r="A179" s="1">
        <f>HYPERLINK("https://lsnyc.legalserver.org/matter/dynamic-profile/view/1907664","19-1907664")</f>
        <v>0</v>
      </c>
      <c r="B179" t="s">
        <v>85</v>
      </c>
      <c r="C179" t="s">
        <v>191</v>
      </c>
      <c r="D179" t="s">
        <v>246</v>
      </c>
      <c r="F179" t="s">
        <v>579</v>
      </c>
      <c r="G179" t="s">
        <v>740</v>
      </c>
      <c r="H179" t="s">
        <v>2076</v>
      </c>
      <c r="I179" t="s">
        <v>2899</v>
      </c>
      <c r="J179" t="s">
        <v>3148</v>
      </c>
      <c r="K179">
        <v>11226</v>
      </c>
      <c r="L179" t="s">
        <v>3185</v>
      </c>
      <c r="M179" t="s">
        <v>3189</v>
      </c>
      <c r="N179" t="s">
        <v>3186</v>
      </c>
      <c r="P179" t="s">
        <v>3616</v>
      </c>
      <c r="Q179" t="s">
        <v>3639</v>
      </c>
      <c r="S179" t="s">
        <v>246</v>
      </c>
      <c r="T179" t="s">
        <v>3660</v>
      </c>
      <c r="U179" t="s">
        <v>3185</v>
      </c>
      <c r="W179" t="s">
        <v>3670</v>
      </c>
      <c r="Y179">
        <v>0</v>
      </c>
      <c r="Z179" t="s">
        <v>3691</v>
      </c>
      <c r="AC179" t="s">
        <v>3880</v>
      </c>
      <c r="AE179" t="s">
        <v>5015</v>
      </c>
      <c r="AF179">
        <v>36</v>
      </c>
      <c r="AG179" t="s">
        <v>5813</v>
      </c>
      <c r="AI179">
        <v>0</v>
      </c>
      <c r="AJ179">
        <v>3</v>
      </c>
      <c r="AK179">
        <v>0</v>
      </c>
      <c r="AL179">
        <v>85.33</v>
      </c>
      <c r="AO179" t="s">
        <v>5848</v>
      </c>
      <c r="AP179">
        <v>18200</v>
      </c>
      <c r="AQ179" t="s">
        <v>5868</v>
      </c>
      <c r="AV179">
        <v>0.2</v>
      </c>
      <c r="AW179" t="s">
        <v>246</v>
      </c>
      <c r="AX179" t="s">
        <v>131</v>
      </c>
    </row>
    <row r="180" spans="1:50">
      <c r="A180" s="1">
        <f>HYPERLINK("https://lsnyc.legalserver.org/matter/dynamic-profile/view/1907667","19-1907667")</f>
        <v>0</v>
      </c>
      <c r="B180" t="s">
        <v>85</v>
      </c>
      <c r="C180" t="s">
        <v>191</v>
      </c>
      <c r="D180" t="s">
        <v>246</v>
      </c>
      <c r="F180" t="s">
        <v>571</v>
      </c>
      <c r="G180" t="s">
        <v>1321</v>
      </c>
      <c r="H180" t="s">
        <v>2076</v>
      </c>
      <c r="I180" t="s">
        <v>2908</v>
      </c>
      <c r="J180" t="s">
        <v>3148</v>
      </c>
      <c r="K180">
        <v>11226</v>
      </c>
      <c r="L180" t="s">
        <v>3185</v>
      </c>
      <c r="N180" t="s">
        <v>3186</v>
      </c>
      <c r="P180" t="s">
        <v>3616</v>
      </c>
      <c r="Q180" t="s">
        <v>3639</v>
      </c>
      <c r="S180" t="s">
        <v>246</v>
      </c>
      <c r="T180" t="s">
        <v>3660</v>
      </c>
      <c r="U180" t="s">
        <v>3185</v>
      </c>
      <c r="W180" t="s">
        <v>3670</v>
      </c>
      <c r="Y180">
        <v>0</v>
      </c>
      <c r="Z180" t="s">
        <v>3691</v>
      </c>
      <c r="AC180" t="s">
        <v>3881</v>
      </c>
      <c r="AE180" t="s">
        <v>5016</v>
      </c>
      <c r="AF180">
        <v>36</v>
      </c>
      <c r="AG180" t="s">
        <v>5813</v>
      </c>
      <c r="AI180">
        <v>0</v>
      </c>
      <c r="AJ180">
        <v>1</v>
      </c>
      <c r="AK180">
        <v>0</v>
      </c>
      <c r="AL180">
        <v>124.9</v>
      </c>
      <c r="AO180" t="s">
        <v>5848</v>
      </c>
      <c r="AP180">
        <v>15600</v>
      </c>
      <c r="AV180">
        <v>0.2</v>
      </c>
      <c r="AW180" t="s">
        <v>246</v>
      </c>
      <c r="AX180" t="s">
        <v>131</v>
      </c>
    </row>
    <row r="181" spans="1:50">
      <c r="A181" s="1">
        <f>HYPERLINK("https://lsnyc.legalserver.org/matter/dynamic-profile/view/1910104","19-1910104")</f>
        <v>0</v>
      </c>
      <c r="B181" t="s">
        <v>85</v>
      </c>
      <c r="C181" t="s">
        <v>191</v>
      </c>
      <c r="D181" t="s">
        <v>198</v>
      </c>
      <c r="F181" t="s">
        <v>471</v>
      </c>
      <c r="G181" t="s">
        <v>1202</v>
      </c>
      <c r="H181" t="s">
        <v>2080</v>
      </c>
      <c r="I181">
        <v>10</v>
      </c>
      <c r="J181" t="s">
        <v>3148</v>
      </c>
      <c r="K181">
        <v>11225</v>
      </c>
      <c r="L181" t="s">
        <v>3185</v>
      </c>
      <c r="N181" t="s">
        <v>3186</v>
      </c>
      <c r="O181" t="s">
        <v>3188</v>
      </c>
      <c r="P181" t="s">
        <v>3614</v>
      </c>
      <c r="Q181" t="s">
        <v>3635</v>
      </c>
      <c r="S181" t="s">
        <v>198</v>
      </c>
      <c r="T181" t="s">
        <v>3660</v>
      </c>
      <c r="U181" t="s">
        <v>3184</v>
      </c>
      <c r="W181" t="s">
        <v>3670</v>
      </c>
      <c r="X181" t="s">
        <v>3681</v>
      </c>
      <c r="Y181">
        <v>1519.6</v>
      </c>
      <c r="Z181" t="s">
        <v>3691</v>
      </c>
      <c r="AC181" t="s">
        <v>3882</v>
      </c>
      <c r="AF181">
        <v>12</v>
      </c>
      <c r="AG181" t="s">
        <v>5813</v>
      </c>
      <c r="AI181">
        <v>17</v>
      </c>
      <c r="AJ181">
        <v>2</v>
      </c>
      <c r="AK181">
        <v>0</v>
      </c>
      <c r="AL181">
        <v>57.69</v>
      </c>
      <c r="AO181" t="s">
        <v>5844</v>
      </c>
      <c r="AP181">
        <v>9756</v>
      </c>
      <c r="AV181">
        <v>1.3</v>
      </c>
      <c r="AW181" t="s">
        <v>198</v>
      </c>
      <c r="AX181" t="s">
        <v>85</v>
      </c>
    </row>
    <row r="182" spans="1:50">
      <c r="A182" s="1">
        <f>HYPERLINK("https://lsnyc.legalserver.org/matter/dynamic-profile/view/1910509","19-1910509")</f>
        <v>0</v>
      </c>
      <c r="B182" t="s">
        <v>85</v>
      </c>
      <c r="C182" t="s">
        <v>191</v>
      </c>
      <c r="D182" t="s">
        <v>199</v>
      </c>
      <c r="F182" t="s">
        <v>580</v>
      </c>
      <c r="G182" t="s">
        <v>1322</v>
      </c>
      <c r="H182" t="s">
        <v>2081</v>
      </c>
      <c r="I182">
        <v>26</v>
      </c>
      <c r="J182" t="s">
        <v>3148</v>
      </c>
      <c r="K182">
        <v>11215</v>
      </c>
      <c r="L182" t="s">
        <v>3185</v>
      </c>
      <c r="N182" t="s">
        <v>3186</v>
      </c>
      <c r="Q182" t="s">
        <v>3636</v>
      </c>
      <c r="S182" t="s">
        <v>199</v>
      </c>
      <c r="T182" t="s">
        <v>3660</v>
      </c>
      <c r="U182" t="s">
        <v>3184</v>
      </c>
      <c r="W182" t="s">
        <v>3670</v>
      </c>
      <c r="X182" t="s">
        <v>3681</v>
      </c>
      <c r="Y182">
        <v>1380.54</v>
      </c>
      <c r="Z182" t="s">
        <v>3691</v>
      </c>
      <c r="AA182" t="s">
        <v>3698</v>
      </c>
      <c r="AC182" t="s">
        <v>3883</v>
      </c>
      <c r="AE182" t="s">
        <v>5017</v>
      </c>
      <c r="AF182">
        <v>26</v>
      </c>
      <c r="AG182" t="s">
        <v>5813</v>
      </c>
      <c r="AH182" t="s">
        <v>3188</v>
      </c>
      <c r="AI182">
        <v>7</v>
      </c>
      <c r="AJ182">
        <v>1</v>
      </c>
      <c r="AK182">
        <v>2</v>
      </c>
      <c r="AL182">
        <v>182.84</v>
      </c>
      <c r="AO182" t="s">
        <v>5843</v>
      </c>
      <c r="AP182">
        <v>39000</v>
      </c>
      <c r="AV182">
        <v>0</v>
      </c>
      <c r="AX182" t="s">
        <v>85</v>
      </c>
    </row>
    <row r="183" spans="1:50">
      <c r="A183" s="1">
        <f>HYPERLINK("https://lsnyc.legalserver.org/matter/dynamic-profile/view/1910547","19-1910547")</f>
        <v>0</v>
      </c>
      <c r="B183" t="s">
        <v>85</v>
      </c>
      <c r="C183" t="s">
        <v>191</v>
      </c>
      <c r="D183" t="s">
        <v>261</v>
      </c>
      <c r="F183" t="s">
        <v>581</v>
      </c>
      <c r="G183" t="s">
        <v>1187</v>
      </c>
      <c r="H183" t="s">
        <v>2082</v>
      </c>
      <c r="I183" t="s">
        <v>2906</v>
      </c>
      <c r="J183" t="s">
        <v>3148</v>
      </c>
      <c r="K183">
        <v>11231</v>
      </c>
      <c r="L183" t="s">
        <v>3185</v>
      </c>
      <c r="M183" t="s">
        <v>3189</v>
      </c>
      <c r="N183" t="s">
        <v>3186</v>
      </c>
      <c r="P183" t="s">
        <v>3610</v>
      </c>
      <c r="Q183" t="s">
        <v>3635</v>
      </c>
      <c r="S183" t="s">
        <v>261</v>
      </c>
      <c r="T183" t="s">
        <v>3660</v>
      </c>
      <c r="U183" t="s">
        <v>3184</v>
      </c>
      <c r="W183" t="s">
        <v>3670</v>
      </c>
      <c r="X183" t="s">
        <v>3681</v>
      </c>
      <c r="Y183">
        <v>787.48</v>
      </c>
      <c r="Z183" t="s">
        <v>3691</v>
      </c>
      <c r="AA183" t="s">
        <v>3696</v>
      </c>
      <c r="AC183" t="s">
        <v>3884</v>
      </c>
      <c r="AE183" t="s">
        <v>5018</v>
      </c>
      <c r="AF183">
        <v>9</v>
      </c>
      <c r="AG183" t="s">
        <v>5813</v>
      </c>
      <c r="AH183" t="s">
        <v>3632</v>
      </c>
      <c r="AI183">
        <v>21</v>
      </c>
      <c r="AJ183">
        <v>2</v>
      </c>
      <c r="AK183">
        <v>0</v>
      </c>
      <c r="AL183">
        <v>97.76000000000001</v>
      </c>
      <c r="AO183" t="s">
        <v>5843</v>
      </c>
      <c r="AP183">
        <v>16532</v>
      </c>
      <c r="AV183">
        <v>0</v>
      </c>
      <c r="AX183" t="s">
        <v>85</v>
      </c>
    </row>
    <row r="184" spans="1:50">
      <c r="A184" s="1">
        <f>HYPERLINK("https://lsnyc.legalserver.org/matter/dynamic-profile/view/1905630","19-1905630")</f>
        <v>0</v>
      </c>
      <c r="B184" t="s">
        <v>85</v>
      </c>
      <c r="C184" t="s">
        <v>191</v>
      </c>
      <c r="D184" t="s">
        <v>202</v>
      </c>
      <c r="F184" t="s">
        <v>582</v>
      </c>
      <c r="G184" t="s">
        <v>1203</v>
      </c>
      <c r="H184" t="s">
        <v>2076</v>
      </c>
      <c r="I184" t="s">
        <v>2888</v>
      </c>
      <c r="J184" t="s">
        <v>3148</v>
      </c>
      <c r="K184">
        <v>11226</v>
      </c>
      <c r="L184" t="s">
        <v>3185</v>
      </c>
      <c r="M184" t="s">
        <v>3189</v>
      </c>
      <c r="N184" t="s">
        <v>3186</v>
      </c>
      <c r="P184" t="s">
        <v>3612</v>
      </c>
      <c r="Q184" t="s">
        <v>3638</v>
      </c>
      <c r="S184" t="s">
        <v>3649</v>
      </c>
      <c r="T184" t="s">
        <v>3660</v>
      </c>
      <c r="U184" t="s">
        <v>3185</v>
      </c>
      <c r="V184" t="s">
        <v>3663</v>
      </c>
      <c r="W184" t="s">
        <v>3670</v>
      </c>
      <c r="Y184">
        <v>1165.29</v>
      </c>
      <c r="Z184" t="s">
        <v>3691</v>
      </c>
      <c r="AC184" t="s">
        <v>3885</v>
      </c>
      <c r="AE184" t="s">
        <v>5019</v>
      </c>
      <c r="AF184">
        <v>0</v>
      </c>
      <c r="AI184">
        <v>19</v>
      </c>
      <c r="AJ184">
        <v>2</v>
      </c>
      <c r="AK184">
        <v>0</v>
      </c>
      <c r="AL184">
        <v>177.41</v>
      </c>
      <c r="AO184" t="s">
        <v>5844</v>
      </c>
      <c r="AP184">
        <v>30000</v>
      </c>
      <c r="AV184">
        <v>0.2</v>
      </c>
      <c r="AW184" t="s">
        <v>219</v>
      </c>
      <c r="AX184" t="s">
        <v>61</v>
      </c>
    </row>
    <row r="185" spans="1:50">
      <c r="A185" s="1">
        <f>HYPERLINK("https://lsnyc.legalserver.org/matter/dynamic-profile/view/1907524","19-1907524")</f>
        <v>0</v>
      </c>
      <c r="B185" t="s">
        <v>84</v>
      </c>
      <c r="C185" t="s">
        <v>191</v>
      </c>
      <c r="D185" t="s">
        <v>234</v>
      </c>
      <c r="F185" t="s">
        <v>583</v>
      </c>
      <c r="G185" t="s">
        <v>1323</v>
      </c>
      <c r="H185" t="s">
        <v>2071</v>
      </c>
      <c r="I185" t="s">
        <v>2909</v>
      </c>
      <c r="J185" t="s">
        <v>3147</v>
      </c>
      <c r="K185">
        <v>10474</v>
      </c>
      <c r="L185" t="s">
        <v>3186</v>
      </c>
      <c r="N185" t="s">
        <v>3186</v>
      </c>
      <c r="P185" t="s">
        <v>3616</v>
      </c>
      <c r="Q185" t="s">
        <v>3639</v>
      </c>
      <c r="T185" t="s">
        <v>3660</v>
      </c>
      <c r="U185" t="s">
        <v>3185</v>
      </c>
      <c r="W185" t="s">
        <v>3670</v>
      </c>
      <c r="X185" t="s">
        <v>3681</v>
      </c>
      <c r="Y185">
        <v>0</v>
      </c>
      <c r="Z185" t="s">
        <v>3690</v>
      </c>
      <c r="AC185" t="s">
        <v>3886</v>
      </c>
      <c r="AE185" t="s">
        <v>5020</v>
      </c>
      <c r="AF185">
        <v>0</v>
      </c>
      <c r="AI185">
        <v>0</v>
      </c>
      <c r="AJ185">
        <v>2</v>
      </c>
      <c r="AK185">
        <v>0</v>
      </c>
      <c r="AL185">
        <v>366.65</v>
      </c>
      <c r="AO185" t="s">
        <v>5843</v>
      </c>
      <c r="AP185">
        <v>62000</v>
      </c>
      <c r="AV185">
        <v>0</v>
      </c>
      <c r="AX185" t="s">
        <v>84</v>
      </c>
    </row>
    <row r="186" spans="1:50">
      <c r="A186" s="1">
        <f>HYPERLINK("https://lsnyc.legalserver.org/matter/dynamic-profile/view/1907402","19-1907402")</f>
        <v>0</v>
      </c>
      <c r="B186" t="s">
        <v>86</v>
      </c>
      <c r="C186" t="s">
        <v>192</v>
      </c>
      <c r="D186" t="s">
        <v>253</v>
      </c>
      <c r="E186" t="s">
        <v>212</v>
      </c>
      <c r="F186" t="s">
        <v>584</v>
      </c>
      <c r="G186" t="s">
        <v>1324</v>
      </c>
      <c r="H186" t="s">
        <v>2083</v>
      </c>
      <c r="I186" t="s">
        <v>2822</v>
      </c>
      <c r="J186" t="s">
        <v>3148</v>
      </c>
      <c r="K186">
        <v>11212</v>
      </c>
      <c r="L186" t="s">
        <v>3185</v>
      </c>
      <c r="M186" t="s">
        <v>3189</v>
      </c>
      <c r="N186" t="s">
        <v>3186</v>
      </c>
      <c r="O186" t="s">
        <v>3261</v>
      </c>
      <c r="P186" t="s">
        <v>3613</v>
      </c>
      <c r="Q186" t="s">
        <v>3636</v>
      </c>
      <c r="R186" t="s">
        <v>3643</v>
      </c>
      <c r="S186" t="s">
        <v>251</v>
      </c>
      <c r="T186" t="s">
        <v>3660</v>
      </c>
      <c r="U186" t="s">
        <v>3184</v>
      </c>
      <c r="W186" t="s">
        <v>3670</v>
      </c>
      <c r="Y186">
        <v>1100</v>
      </c>
      <c r="Z186" t="s">
        <v>3691</v>
      </c>
      <c r="AA186" t="s">
        <v>3632</v>
      </c>
      <c r="AB186" t="s">
        <v>3716</v>
      </c>
      <c r="AC186" t="s">
        <v>3887</v>
      </c>
      <c r="AE186" t="s">
        <v>5021</v>
      </c>
      <c r="AF186">
        <v>4</v>
      </c>
      <c r="AG186" t="s">
        <v>5814</v>
      </c>
      <c r="AH186" t="s">
        <v>3188</v>
      </c>
      <c r="AI186">
        <v>17</v>
      </c>
      <c r="AJ186">
        <v>2</v>
      </c>
      <c r="AK186">
        <v>0</v>
      </c>
      <c r="AL186">
        <v>266.11</v>
      </c>
      <c r="AO186" t="s">
        <v>5843</v>
      </c>
      <c r="AP186">
        <v>45000</v>
      </c>
      <c r="AV186">
        <v>2.5</v>
      </c>
      <c r="AW186" t="s">
        <v>251</v>
      </c>
      <c r="AX186" t="s">
        <v>82</v>
      </c>
    </row>
    <row r="187" spans="1:50">
      <c r="A187" s="1">
        <f>HYPERLINK("https://lsnyc.legalserver.org/matter/dynamic-profile/view/1907527","19-1907527")</f>
        <v>0</v>
      </c>
      <c r="B187" t="s">
        <v>84</v>
      </c>
      <c r="C187" t="s">
        <v>191</v>
      </c>
      <c r="D187" t="s">
        <v>234</v>
      </c>
      <c r="F187" t="s">
        <v>585</v>
      </c>
      <c r="G187" t="s">
        <v>1325</v>
      </c>
      <c r="H187" t="s">
        <v>2071</v>
      </c>
      <c r="I187" t="s">
        <v>2908</v>
      </c>
      <c r="J187" t="s">
        <v>3147</v>
      </c>
      <c r="K187">
        <v>10474</v>
      </c>
      <c r="L187" t="s">
        <v>3186</v>
      </c>
      <c r="N187" t="s">
        <v>3186</v>
      </c>
      <c r="P187" t="s">
        <v>3616</v>
      </c>
      <c r="Q187" t="s">
        <v>3639</v>
      </c>
      <c r="T187" t="s">
        <v>3660</v>
      </c>
      <c r="W187" t="s">
        <v>3670</v>
      </c>
      <c r="Y187">
        <v>0</v>
      </c>
      <c r="Z187" t="s">
        <v>3690</v>
      </c>
      <c r="AC187" t="s">
        <v>3888</v>
      </c>
      <c r="AE187" t="s">
        <v>5022</v>
      </c>
      <c r="AF187">
        <v>0</v>
      </c>
      <c r="AI187">
        <v>0</v>
      </c>
      <c r="AJ187">
        <v>2</v>
      </c>
      <c r="AK187">
        <v>0</v>
      </c>
      <c r="AL187">
        <v>680.0700000000001</v>
      </c>
      <c r="AO187" t="s">
        <v>5849</v>
      </c>
      <c r="AP187">
        <v>115000</v>
      </c>
      <c r="AV187">
        <v>0</v>
      </c>
      <c r="AX187" t="s">
        <v>84</v>
      </c>
    </row>
    <row r="188" spans="1:50">
      <c r="A188" s="1">
        <f>HYPERLINK("https://lsnyc.legalserver.org/matter/dynamic-profile/view/1907759","19-1907759")</f>
        <v>0</v>
      </c>
      <c r="B188" t="s">
        <v>86</v>
      </c>
      <c r="C188" t="s">
        <v>191</v>
      </c>
      <c r="D188" t="s">
        <v>225</v>
      </c>
      <c r="F188" t="s">
        <v>586</v>
      </c>
      <c r="G188" t="s">
        <v>1326</v>
      </c>
      <c r="H188" t="s">
        <v>2084</v>
      </c>
      <c r="I188" t="s">
        <v>2910</v>
      </c>
      <c r="J188" t="s">
        <v>3148</v>
      </c>
      <c r="K188">
        <v>11212</v>
      </c>
      <c r="L188" t="s">
        <v>3185</v>
      </c>
      <c r="M188" t="s">
        <v>3189</v>
      </c>
      <c r="N188" t="s">
        <v>3186</v>
      </c>
      <c r="O188" t="s">
        <v>3188</v>
      </c>
      <c r="P188" t="s">
        <v>3622</v>
      </c>
      <c r="Q188" t="s">
        <v>3636</v>
      </c>
      <c r="S188" t="s">
        <v>208</v>
      </c>
      <c r="T188" t="s">
        <v>3660</v>
      </c>
      <c r="U188" t="s">
        <v>3185</v>
      </c>
      <c r="W188" t="s">
        <v>3670</v>
      </c>
      <c r="Y188">
        <v>0</v>
      </c>
      <c r="Z188" t="s">
        <v>3691</v>
      </c>
      <c r="AA188" t="s">
        <v>3700</v>
      </c>
      <c r="AC188" t="s">
        <v>3889</v>
      </c>
      <c r="AE188" t="s">
        <v>5023</v>
      </c>
      <c r="AF188">
        <v>96</v>
      </c>
      <c r="AG188" t="s">
        <v>5813</v>
      </c>
      <c r="AH188" t="s">
        <v>5826</v>
      </c>
      <c r="AI188">
        <v>35</v>
      </c>
      <c r="AJ188">
        <v>1</v>
      </c>
      <c r="AK188">
        <v>0</v>
      </c>
      <c r="AL188">
        <v>80.7</v>
      </c>
      <c r="AO188" t="s">
        <v>5843</v>
      </c>
      <c r="AP188">
        <v>10080</v>
      </c>
      <c r="AV188">
        <v>75.3</v>
      </c>
      <c r="AW188" t="s">
        <v>199</v>
      </c>
      <c r="AX188" t="s">
        <v>82</v>
      </c>
    </row>
    <row r="189" spans="1:50">
      <c r="A189" s="1">
        <f>HYPERLINK("https://lsnyc.legalserver.org/matter/dynamic-profile/view/1906367","19-1906367")</f>
        <v>0</v>
      </c>
      <c r="B189" t="s">
        <v>86</v>
      </c>
      <c r="C189" t="s">
        <v>191</v>
      </c>
      <c r="D189" t="s">
        <v>229</v>
      </c>
      <c r="F189" t="s">
        <v>587</v>
      </c>
      <c r="G189" t="s">
        <v>1327</v>
      </c>
      <c r="H189" t="s">
        <v>2085</v>
      </c>
      <c r="I189" t="s">
        <v>2815</v>
      </c>
      <c r="J189" t="s">
        <v>3148</v>
      </c>
      <c r="K189">
        <v>11216</v>
      </c>
      <c r="L189" t="s">
        <v>3185</v>
      </c>
      <c r="M189" t="s">
        <v>3189</v>
      </c>
      <c r="N189" t="s">
        <v>3186</v>
      </c>
      <c r="O189" t="s">
        <v>3262</v>
      </c>
      <c r="P189" t="s">
        <v>3610</v>
      </c>
      <c r="Q189" t="s">
        <v>3638</v>
      </c>
      <c r="S189" t="s">
        <v>260</v>
      </c>
      <c r="T189" t="s">
        <v>3660</v>
      </c>
      <c r="U189" t="s">
        <v>3185</v>
      </c>
      <c r="W189" t="s">
        <v>3670</v>
      </c>
      <c r="X189" t="s">
        <v>3686</v>
      </c>
      <c r="Y189">
        <v>1550</v>
      </c>
      <c r="Z189" t="s">
        <v>3691</v>
      </c>
      <c r="AA189" t="s">
        <v>3704</v>
      </c>
      <c r="AC189" t="s">
        <v>3890</v>
      </c>
      <c r="AD189" t="s">
        <v>3218</v>
      </c>
      <c r="AE189" t="s">
        <v>5024</v>
      </c>
      <c r="AF189">
        <v>82</v>
      </c>
      <c r="AG189" t="s">
        <v>5813</v>
      </c>
      <c r="AH189" t="s">
        <v>3188</v>
      </c>
      <c r="AI189">
        <v>8</v>
      </c>
      <c r="AJ189">
        <v>1</v>
      </c>
      <c r="AK189">
        <v>0</v>
      </c>
      <c r="AL189">
        <v>792.63</v>
      </c>
      <c r="AN189" t="s">
        <v>5839</v>
      </c>
      <c r="AO189" t="s">
        <v>5843</v>
      </c>
      <c r="AP189">
        <v>99000</v>
      </c>
      <c r="AQ189" t="s">
        <v>5869</v>
      </c>
      <c r="AV189">
        <v>42.3</v>
      </c>
      <c r="AW189" t="s">
        <v>222</v>
      </c>
      <c r="AX189" t="s">
        <v>158</v>
      </c>
    </row>
    <row r="190" spans="1:50">
      <c r="A190" s="1">
        <f>HYPERLINK("https://lsnyc.legalserver.org/matter/dynamic-profile/view/1906363","19-1906363")</f>
        <v>0</v>
      </c>
      <c r="B190" t="s">
        <v>86</v>
      </c>
      <c r="C190" t="s">
        <v>191</v>
      </c>
      <c r="D190" t="s">
        <v>229</v>
      </c>
      <c r="F190" t="s">
        <v>587</v>
      </c>
      <c r="G190" t="s">
        <v>1327</v>
      </c>
      <c r="H190" t="s">
        <v>2085</v>
      </c>
      <c r="I190" t="s">
        <v>2815</v>
      </c>
      <c r="J190" t="s">
        <v>3148</v>
      </c>
      <c r="K190">
        <v>11216</v>
      </c>
      <c r="L190" t="s">
        <v>3185</v>
      </c>
      <c r="M190" t="s">
        <v>3189</v>
      </c>
      <c r="N190" t="s">
        <v>3186</v>
      </c>
      <c r="O190" t="s">
        <v>3218</v>
      </c>
      <c r="P190" t="s">
        <v>3257</v>
      </c>
      <c r="Q190" t="s">
        <v>3636</v>
      </c>
      <c r="S190" t="s">
        <v>234</v>
      </c>
      <c r="T190" t="s">
        <v>3660</v>
      </c>
      <c r="U190" t="s">
        <v>3185</v>
      </c>
      <c r="W190" t="s">
        <v>3670</v>
      </c>
      <c r="X190" t="s">
        <v>3681</v>
      </c>
      <c r="Y190">
        <v>1550</v>
      </c>
      <c r="Z190" t="s">
        <v>3691</v>
      </c>
      <c r="AA190" t="s">
        <v>3704</v>
      </c>
      <c r="AC190" t="s">
        <v>3890</v>
      </c>
      <c r="AD190" t="s">
        <v>3218</v>
      </c>
      <c r="AE190" t="s">
        <v>5024</v>
      </c>
      <c r="AF190">
        <v>82</v>
      </c>
      <c r="AG190" t="s">
        <v>5813</v>
      </c>
      <c r="AH190" t="s">
        <v>3188</v>
      </c>
      <c r="AI190">
        <v>8</v>
      </c>
      <c r="AJ190">
        <v>1</v>
      </c>
      <c r="AK190">
        <v>0</v>
      </c>
      <c r="AL190">
        <v>792.63</v>
      </c>
      <c r="AN190" t="s">
        <v>5839</v>
      </c>
      <c r="AO190" t="s">
        <v>5843</v>
      </c>
      <c r="AP190">
        <v>99000</v>
      </c>
      <c r="AQ190" t="s">
        <v>5870</v>
      </c>
      <c r="AV190">
        <v>0</v>
      </c>
      <c r="AX190" t="s">
        <v>158</v>
      </c>
    </row>
    <row r="191" spans="1:50">
      <c r="A191" s="1">
        <f>HYPERLINK("https://lsnyc.legalserver.org/matter/dynamic-profile/view/1907709","19-1907709")</f>
        <v>0</v>
      </c>
      <c r="B191" t="s">
        <v>86</v>
      </c>
      <c r="C191" t="s">
        <v>191</v>
      </c>
      <c r="D191" t="s">
        <v>246</v>
      </c>
      <c r="F191" t="s">
        <v>588</v>
      </c>
      <c r="G191" t="s">
        <v>1328</v>
      </c>
      <c r="H191" t="s">
        <v>2086</v>
      </c>
      <c r="I191" t="s">
        <v>2819</v>
      </c>
      <c r="J191" t="s">
        <v>3148</v>
      </c>
      <c r="K191">
        <v>11238</v>
      </c>
      <c r="L191" t="s">
        <v>3185</v>
      </c>
      <c r="M191" t="s">
        <v>3190</v>
      </c>
      <c r="N191" t="s">
        <v>3186</v>
      </c>
      <c r="O191" t="s">
        <v>3188</v>
      </c>
      <c r="P191" t="s">
        <v>3622</v>
      </c>
      <c r="Q191" t="s">
        <v>3636</v>
      </c>
      <c r="S191" t="s">
        <v>246</v>
      </c>
      <c r="T191" t="s">
        <v>3660</v>
      </c>
      <c r="U191" t="s">
        <v>3184</v>
      </c>
      <c r="W191" t="s">
        <v>3670</v>
      </c>
      <c r="X191" t="s">
        <v>3681</v>
      </c>
      <c r="Y191">
        <v>0</v>
      </c>
      <c r="Z191" t="s">
        <v>3691</v>
      </c>
      <c r="AA191" t="s">
        <v>3696</v>
      </c>
      <c r="AC191" t="s">
        <v>3891</v>
      </c>
      <c r="AD191" t="s">
        <v>4777</v>
      </c>
      <c r="AE191" t="s">
        <v>5025</v>
      </c>
      <c r="AF191">
        <v>16</v>
      </c>
      <c r="AG191" t="s">
        <v>5813</v>
      </c>
      <c r="AH191" t="s">
        <v>5828</v>
      </c>
      <c r="AI191">
        <v>0</v>
      </c>
      <c r="AJ191">
        <v>1</v>
      </c>
      <c r="AK191">
        <v>1</v>
      </c>
      <c r="AL191">
        <v>40.73</v>
      </c>
      <c r="AO191" t="s">
        <v>5843</v>
      </c>
      <c r="AP191">
        <v>6888</v>
      </c>
      <c r="AV191">
        <v>2</v>
      </c>
      <c r="AW191" t="s">
        <v>269</v>
      </c>
      <c r="AX191" t="s">
        <v>158</v>
      </c>
    </row>
    <row r="192" spans="1:50">
      <c r="A192" s="1">
        <f>HYPERLINK("https://lsnyc.legalserver.org/matter/dynamic-profile/view/1908325","19-1908325")</f>
        <v>0</v>
      </c>
      <c r="B192" t="s">
        <v>86</v>
      </c>
      <c r="C192" t="s">
        <v>191</v>
      </c>
      <c r="D192" t="s">
        <v>212</v>
      </c>
      <c r="F192" t="s">
        <v>589</v>
      </c>
      <c r="G192" t="s">
        <v>1329</v>
      </c>
      <c r="H192" t="s">
        <v>2087</v>
      </c>
      <c r="I192" t="s">
        <v>2906</v>
      </c>
      <c r="J192" t="s">
        <v>3148</v>
      </c>
      <c r="K192">
        <v>11213</v>
      </c>
      <c r="L192" t="s">
        <v>3185</v>
      </c>
      <c r="M192" t="s">
        <v>3189</v>
      </c>
      <c r="N192" t="s">
        <v>3186</v>
      </c>
      <c r="O192" t="s">
        <v>3188</v>
      </c>
      <c r="P192" t="s">
        <v>3257</v>
      </c>
      <c r="Q192" t="s">
        <v>3636</v>
      </c>
      <c r="S192" t="s">
        <v>225</v>
      </c>
      <c r="T192" t="s">
        <v>3660</v>
      </c>
      <c r="U192" t="s">
        <v>3185</v>
      </c>
      <c r="W192" t="s">
        <v>3670</v>
      </c>
      <c r="X192" t="s">
        <v>3681</v>
      </c>
      <c r="Y192">
        <v>0</v>
      </c>
      <c r="Z192" t="s">
        <v>3691</v>
      </c>
      <c r="AA192" t="s">
        <v>3700</v>
      </c>
      <c r="AC192" t="s">
        <v>3892</v>
      </c>
      <c r="AD192" t="s">
        <v>4778</v>
      </c>
      <c r="AE192" t="s">
        <v>5026</v>
      </c>
      <c r="AF192">
        <v>107</v>
      </c>
      <c r="AG192" t="s">
        <v>5813</v>
      </c>
      <c r="AI192">
        <v>4</v>
      </c>
      <c r="AJ192">
        <v>1</v>
      </c>
      <c r="AK192">
        <v>0</v>
      </c>
      <c r="AL192">
        <v>8.789999999999999</v>
      </c>
      <c r="AO192" t="s">
        <v>5843</v>
      </c>
      <c r="AP192">
        <v>1098</v>
      </c>
      <c r="AV192">
        <v>0</v>
      </c>
      <c r="AX192" t="s">
        <v>158</v>
      </c>
    </row>
    <row r="193" spans="1:50">
      <c r="A193" s="1">
        <f>HYPERLINK("https://lsnyc.legalserver.org/matter/dynamic-profile/view/1909241","19-1909241")</f>
        <v>0</v>
      </c>
      <c r="B193" t="s">
        <v>86</v>
      </c>
      <c r="C193" t="s">
        <v>191</v>
      </c>
      <c r="D193" t="s">
        <v>228</v>
      </c>
      <c r="F193" t="s">
        <v>590</v>
      </c>
      <c r="G193" t="s">
        <v>1330</v>
      </c>
      <c r="H193" t="s">
        <v>2084</v>
      </c>
      <c r="I193" t="s">
        <v>2821</v>
      </c>
      <c r="J193" t="s">
        <v>3148</v>
      </c>
      <c r="K193">
        <v>11212</v>
      </c>
      <c r="L193" t="s">
        <v>3185</v>
      </c>
      <c r="M193" t="s">
        <v>3189</v>
      </c>
      <c r="N193" t="s">
        <v>3186</v>
      </c>
      <c r="O193" t="s">
        <v>3218</v>
      </c>
      <c r="P193" t="s">
        <v>3257</v>
      </c>
      <c r="Q193" t="s">
        <v>3636</v>
      </c>
      <c r="S193" t="s">
        <v>3650</v>
      </c>
      <c r="T193" t="s">
        <v>3660</v>
      </c>
      <c r="U193" t="s">
        <v>3184</v>
      </c>
      <c r="W193" t="s">
        <v>3670</v>
      </c>
      <c r="X193" t="s">
        <v>3681</v>
      </c>
      <c r="Y193">
        <v>200</v>
      </c>
      <c r="Z193" t="s">
        <v>3691</v>
      </c>
      <c r="AA193" t="s">
        <v>3700</v>
      </c>
      <c r="AC193" t="s">
        <v>3893</v>
      </c>
      <c r="AD193" t="s">
        <v>4779</v>
      </c>
      <c r="AE193" t="s">
        <v>5027</v>
      </c>
      <c r="AF193">
        <v>96</v>
      </c>
      <c r="AG193" t="s">
        <v>5813</v>
      </c>
      <c r="AH193" t="s">
        <v>3188</v>
      </c>
      <c r="AI193">
        <v>4</v>
      </c>
      <c r="AJ193">
        <v>1</v>
      </c>
      <c r="AK193">
        <v>0</v>
      </c>
      <c r="AL193">
        <v>56.2</v>
      </c>
      <c r="AO193" t="s">
        <v>5843</v>
      </c>
      <c r="AP193">
        <v>7020</v>
      </c>
      <c r="AV193">
        <v>0</v>
      </c>
      <c r="AX193" t="s">
        <v>158</v>
      </c>
    </row>
    <row r="194" spans="1:50">
      <c r="A194" s="1">
        <f>HYPERLINK("https://lsnyc.legalserver.org/matter/dynamic-profile/view/1903977","19-1903977")</f>
        <v>0</v>
      </c>
      <c r="B194" t="s">
        <v>86</v>
      </c>
      <c r="C194" t="s">
        <v>191</v>
      </c>
      <c r="D194" t="s">
        <v>232</v>
      </c>
      <c r="F194" t="s">
        <v>591</v>
      </c>
      <c r="G194" t="s">
        <v>1331</v>
      </c>
      <c r="H194" t="s">
        <v>2088</v>
      </c>
      <c r="I194" t="s">
        <v>2900</v>
      </c>
      <c r="J194" t="s">
        <v>3148</v>
      </c>
      <c r="K194">
        <v>11212</v>
      </c>
      <c r="L194" t="s">
        <v>3185</v>
      </c>
      <c r="M194" t="s">
        <v>3189</v>
      </c>
      <c r="N194" t="s">
        <v>3186</v>
      </c>
      <c r="O194" t="s">
        <v>3263</v>
      </c>
      <c r="Q194" t="s">
        <v>3640</v>
      </c>
      <c r="T194" t="s">
        <v>3660</v>
      </c>
      <c r="U194" t="s">
        <v>3185</v>
      </c>
      <c r="W194" t="s">
        <v>3675</v>
      </c>
      <c r="X194" t="s">
        <v>3681</v>
      </c>
      <c r="Y194">
        <v>0</v>
      </c>
      <c r="Z194" t="s">
        <v>3691</v>
      </c>
      <c r="AA194" t="s">
        <v>3704</v>
      </c>
      <c r="AC194" t="s">
        <v>3894</v>
      </c>
      <c r="AD194" t="s">
        <v>3263</v>
      </c>
      <c r="AF194">
        <v>0</v>
      </c>
      <c r="AG194" t="s">
        <v>5813</v>
      </c>
      <c r="AH194" t="s">
        <v>3188</v>
      </c>
      <c r="AI194">
        <v>0</v>
      </c>
      <c r="AJ194">
        <v>3</v>
      </c>
      <c r="AK194">
        <v>2</v>
      </c>
      <c r="AL194">
        <v>34.47</v>
      </c>
      <c r="AO194" t="s">
        <v>5850</v>
      </c>
      <c r="AP194">
        <v>10400</v>
      </c>
      <c r="AV194">
        <v>0</v>
      </c>
      <c r="AX194" t="s">
        <v>158</v>
      </c>
    </row>
    <row r="195" spans="1:50">
      <c r="A195" s="1">
        <f>HYPERLINK("https://lsnyc.legalserver.org/matter/dynamic-profile/view/1908444","19-1908444")</f>
        <v>0</v>
      </c>
      <c r="B195" t="s">
        <v>86</v>
      </c>
      <c r="C195" t="s">
        <v>191</v>
      </c>
      <c r="D195" t="s">
        <v>262</v>
      </c>
      <c r="F195" t="s">
        <v>439</v>
      </c>
      <c r="G195" t="s">
        <v>1332</v>
      </c>
      <c r="H195" t="s">
        <v>2089</v>
      </c>
      <c r="I195">
        <v>201</v>
      </c>
      <c r="J195" t="s">
        <v>3146</v>
      </c>
      <c r="K195">
        <v>10025</v>
      </c>
      <c r="L195" t="s">
        <v>3185</v>
      </c>
      <c r="M195" t="s">
        <v>3190</v>
      </c>
      <c r="N195" t="s">
        <v>3186</v>
      </c>
      <c r="O195" t="s">
        <v>3218</v>
      </c>
      <c r="P195" t="s">
        <v>3622</v>
      </c>
      <c r="Q195" t="s">
        <v>3635</v>
      </c>
      <c r="S195" t="s">
        <v>262</v>
      </c>
      <c r="T195" t="s">
        <v>3660</v>
      </c>
      <c r="U195" t="s">
        <v>3184</v>
      </c>
      <c r="W195" t="s">
        <v>3670</v>
      </c>
      <c r="X195" t="s">
        <v>3681</v>
      </c>
      <c r="Y195">
        <v>0</v>
      </c>
      <c r="Z195" t="s">
        <v>3691</v>
      </c>
      <c r="AA195" t="s">
        <v>3696</v>
      </c>
      <c r="AC195" t="s">
        <v>3895</v>
      </c>
      <c r="AD195" t="s">
        <v>3188</v>
      </c>
      <c r="AE195" t="s">
        <v>5028</v>
      </c>
      <c r="AF195">
        <v>0</v>
      </c>
      <c r="AH195" t="s">
        <v>3188</v>
      </c>
      <c r="AI195">
        <v>0</v>
      </c>
      <c r="AJ195">
        <v>2</v>
      </c>
      <c r="AK195">
        <v>0</v>
      </c>
      <c r="AL195">
        <v>61.5</v>
      </c>
      <c r="AO195" t="s">
        <v>5843</v>
      </c>
      <c r="AP195">
        <v>10400</v>
      </c>
      <c r="AQ195" t="s">
        <v>5871</v>
      </c>
      <c r="AV195">
        <v>14.3</v>
      </c>
      <c r="AW195" t="s">
        <v>221</v>
      </c>
      <c r="AX195" t="s">
        <v>158</v>
      </c>
    </row>
    <row r="196" spans="1:50">
      <c r="A196" s="1">
        <f>HYPERLINK("https://lsnyc.legalserver.org/matter/dynamic-profile/view/1909425","19-1909425")</f>
        <v>0</v>
      </c>
      <c r="B196" t="s">
        <v>87</v>
      </c>
      <c r="C196" t="s">
        <v>191</v>
      </c>
      <c r="D196" t="s">
        <v>196</v>
      </c>
      <c r="F196" t="s">
        <v>592</v>
      </c>
      <c r="G196" t="s">
        <v>1333</v>
      </c>
      <c r="H196" t="s">
        <v>2090</v>
      </c>
      <c r="I196" t="s">
        <v>2911</v>
      </c>
      <c r="J196" t="s">
        <v>3148</v>
      </c>
      <c r="K196">
        <v>11219</v>
      </c>
      <c r="L196" t="s">
        <v>3185</v>
      </c>
      <c r="M196" t="s">
        <v>3189</v>
      </c>
      <c r="N196" t="s">
        <v>3186</v>
      </c>
      <c r="S196" t="s">
        <v>196</v>
      </c>
      <c r="T196" t="s">
        <v>3660</v>
      </c>
      <c r="W196" t="s">
        <v>3670</v>
      </c>
      <c r="Y196">
        <v>0</v>
      </c>
      <c r="Z196" t="s">
        <v>3691</v>
      </c>
      <c r="AC196" t="s">
        <v>3896</v>
      </c>
      <c r="AE196" t="s">
        <v>5029</v>
      </c>
      <c r="AF196">
        <v>20</v>
      </c>
      <c r="AI196">
        <v>0</v>
      </c>
      <c r="AJ196">
        <v>2</v>
      </c>
      <c r="AK196">
        <v>0</v>
      </c>
      <c r="AL196">
        <v>626.85</v>
      </c>
      <c r="AN196" t="s">
        <v>5839</v>
      </c>
      <c r="AO196" t="s">
        <v>5851</v>
      </c>
      <c r="AP196">
        <v>106000</v>
      </c>
      <c r="AV196">
        <v>0.2</v>
      </c>
      <c r="AW196" t="s">
        <v>196</v>
      </c>
      <c r="AX196" t="s">
        <v>131</v>
      </c>
    </row>
    <row r="197" spans="1:50">
      <c r="A197" s="1">
        <f>HYPERLINK("https://lsnyc.legalserver.org/matter/dynamic-profile/view/1898066","19-1898066")</f>
        <v>0</v>
      </c>
      <c r="B197" t="s">
        <v>87</v>
      </c>
      <c r="C197" t="s">
        <v>191</v>
      </c>
      <c r="D197" t="s">
        <v>219</v>
      </c>
      <c r="F197" t="s">
        <v>593</v>
      </c>
      <c r="G197" t="s">
        <v>1334</v>
      </c>
      <c r="H197" t="s">
        <v>2091</v>
      </c>
      <c r="I197">
        <v>15</v>
      </c>
      <c r="J197" t="s">
        <v>3148</v>
      </c>
      <c r="K197">
        <v>11226</v>
      </c>
      <c r="L197" t="s">
        <v>3185</v>
      </c>
      <c r="M197" t="s">
        <v>3189</v>
      </c>
      <c r="N197" t="s">
        <v>3186</v>
      </c>
      <c r="P197" t="s">
        <v>3612</v>
      </c>
      <c r="Q197" t="s">
        <v>3638</v>
      </c>
      <c r="S197" t="s">
        <v>219</v>
      </c>
      <c r="T197" t="s">
        <v>3660</v>
      </c>
      <c r="U197" t="s">
        <v>3185</v>
      </c>
      <c r="W197" t="s">
        <v>3670</v>
      </c>
      <c r="Y197">
        <v>717</v>
      </c>
      <c r="Z197" t="s">
        <v>3691</v>
      </c>
      <c r="AC197" t="s">
        <v>3897</v>
      </c>
      <c r="AE197" t="s">
        <v>5030</v>
      </c>
      <c r="AF197">
        <v>16</v>
      </c>
      <c r="AI197">
        <v>14</v>
      </c>
      <c r="AJ197">
        <v>3</v>
      </c>
      <c r="AK197">
        <v>0</v>
      </c>
      <c r="AL197">
        <v>328.18</v>
      </c>
      <c r="AO197" t="s">
        <v>5843</v>
      </c>
      <c r="AP197">
        <v>70000</v>
      </c>
      <c r="AV197">
        <v>0</v>
      </c>
      <c r="AX197" t="s">
        <v>61</v>
      </c>
    </row>
    <row r="198" spans="1:50">
      <c r="A198" s="1">
        <f>HYPERLINK("https://lsnyc.legalserver.org/matter/dynamic-profile/view/1906258","19-1906258")</f>
        <v>0</v>
      </c>
      <c r="B198" t="s">
        <v>87</v>
      </c>
      <c r="C198" t="s">
        <v>191</v>
      </c>
      <c r="D198" t="s">
        <v>260</v>
      </c>
      <c r="F198" t="s">
        <v>594</v>
      </c>
      <c r="G198" t="s">
        <v>1335</v>
      </c>
      <c r="H198" t="s">
        <v>2092</v>
      </c>
      <c r="I198">
        <v>6</v>
      </c>
      <c r="J198" t="s">
        <v>3148</v>
      </c>
      <c r="K198">
        <v>11230</v>
      </c>
      <c r="L198" t="s">
        <v>3185</v>
      </c>
      <c r="M198" t="s">
        <v>3189</v>
      </c>
      <c r="N198" t="s">
        <v>3186</v>
      </c>
      <c r="P198" t="s">
        <v>3612</v>
      </c>
      <c r="Q198" t="s">
        <v>3638</v>
      </c>
      <c r="S198" t="s">
        <v>260</v>
      </c>
      <c r="T198" t="s">
        <v>3660</v>
      </c>
      <c r="U198" t="s">
        <v>3184</v>
      </c>
      <c r="W198" t="s">
        <v>3670</v>
      </c>
      <c r="Y198">
        <v>0</v>
      </c>
      <c r="Z198" t="s">
        <v>3691</v>
      </c>
      <c r="AC198" t="s">
        <v>3898</v>
      </c>
      <c r="AE198" t="s">
        <v>5031</v>
      </c>
      <c r="AF198">
        <v>6</v>
      </c>
      <c r="AG198" t="s">
        <v>5813</v>
      </c>
      <c r="AI198">
        <v>0</v>
      </c>
      <c r="AJ198">
        <v>2</v>
      </c>
      <c r="AK198">
        <v>1</v>
      </c>
      <c r="AL198">
        <v>216.6</v>
      </c>
      <c r="AM198" t="s">
        <v>228</v>
      </c>
      <c r="AN198" t="s">
        <v>5839</v>
      </c>
      <c r="AO198" t="s">
        <v>5844</v>
      </c>
      <c r="AP198">
        <v>46200</v>
      </c>
      <c r="AV198">
        <v>6.9</v>
      </c>
      <c r="AW198" t="s">
        <v>275</v>
      </c>
      <c r="AX198" t="s">
        <v>61</v>
      </c>
    </row>
    <row r="199" spans="1:50">
      <c r="A199" s="1">
        <f>HYPERLINK("https://lsnyc.legalserver.org/matter/dynamic-profile/view/1907609","19-1907609")</f>
        <v>0</v>
      </c>
      <c r="B199" t="s">
        <v>87</v>
      </c>
      <c r="C199" t="s">
        <v>191</v>
      </c>
      <c r="D199" t="s">
        <v>206</v>
      </c>
      <c r="F199" t="s">
        <v>595</v>
      </c>
      <c r="G199" t="s">
        <v>1336</v>
      </c>
      <c r="H199" t="s">
        <v>2093</v>
      </c>
      <c r="I199" t="s">
        <v>2817</v>
      </c>
      <c r="J199" t="s">
        <v>3148</v>
      </c>
      <c r="K199">
        <v>11210</v>
      </c>
      <c r="L199" t="s">
        <v>3185</v>
      </c>
      <c r="M199" t="s">
        <v>3189</v>
      </c>
      <c r="N199" t="s">
        <v>3186</v>
      </c>
      <c r="P199" t="s">
        <v>3622</v>
      </c>
      <c r="Q199" t="s">
        <v>3635</v>
      </c>
      <c r="S199" t="s">
        <v>206</v>
      </c>
      <c r="T199" t="s">
        <v>3660</v>
      </c>
      <c r="U199" t="s">
        <v>3184</v>
      </c>
      <c r="W199" t="s">
        <v>3670</v>
      </c>
      <c r="Y199">
        <v>1725</v>
      </c>
      <c r="Z199" t="s">
        <v>3691</v>
      </c>
      <c r="AC199" t="s">
        <v>3899</v>
      </c>
      <c r="AF199">
        <v>65</v>
      </c>
      <c r="AI199">
        <v>20</v>
      </c>
      <c r="AJ199">
        <v>6</v>
      </c>
      <c r="AK199">
        <v>2</v>
      </c>
      <c r="AL199">
        <v>71.84</v>
      </c>
      <c r="AO199" t="s">
        <v>5847</v>
      </c>
      <c r="AP199">
        <v>31200</v>
      </c>
      <c r="AV199">
        <v>0</v>
      </c>
      <c r="AX199" t="s">
        <v>61</v>
      </c>
    </row>
    <row r="200" spans="1:50">
      <c r="A200" s="1">
        <f>HYPERLINK("https://lsnyc.legalserver.org/matter/dynamic-profile/view/1907589","19-1907589")</f>
        <v>0</v>
      </c>
      <c r="B200" t="s">
        <v>87</v>
      </c>
      <c r="C200" t="s">
        <v>191</v>
      </c>
      <c r="D200" t="s">
        <v>206</v>
      </c>
      <c r="F200" t="s">
        <v>595</v>
      </c>
      <c r="G200" t="s">
        <v>1336</v>
      </c>
      <c r="H200" t="s">
        <v>2093</v>
      </c>
      <c r="I200" t="s">
        <v>2817</v>
      </c>
      <c r="J200" t="s">
        <v>3148</v>
      </c>
      <c r="K200">
        <v>11210</v>
      </c>
      <c r="L200" t="s">
        <v>3185</v>
      </c>
      <c r="M200" t="s">
        <v>3189</v>
      </c>
      <c r="N200" t="s">
        <v>3186</v>
      </c>
      <c r="P200" t="s">
        <v>3610</v>
      </c>
      <c r="Q200" t="s">
        <v>3638</v>
      </c>
      <c r="S200" t="s">
        <v>206</v>
      </c>
      <c r="T200" t="s">
        <v>3660</v>
      </c>
      <c r="U200" t="s">
        <v>3184</v>
      </c>
      <c r="W200" t="s">
        <v>3670</v>
      </c>
      <c r="Y200">
        <v>1725</v>
      </c>
      <c r="Z200" t="s">
        <v>3691</v>
      </c>
      <c r="AC200" t="s">
        <v>3899</v>
      </c>
      <c r="AF200">
        <v>65</v>
      </c>
      <c r="AI200">
        <v>20</v>
      </c>
      <c r="AJ200">
        <v>6</v>
      </c>
      <c r="AK200">
        <v>2</v>
      </c>
      <c r="AL200">
        <v>71.84</v>
      </c>
      <c r="AO200" t="s">
        <v>5847</v>
      </c>
      <c r="AP200">
        <v>31200</v>
      </c>
      <c r="AV200">
        <v>1.5</v>
      </c>
      <c r="AW200" t="s">
        <v>206</v>
      </c>
      <c r="AX200" t="s">
        <v>61</v>
      </c>
    </row>
    <row r="201" spans="1:50">
      <c r="A201" s="1">
        <f>HYPERLINK("https://lsnyc.legalserver.org/matter/dynamic-profile/view/1908397","19-1908397")</f>
        <v>0</v>
      </c>
      <c r="B201" t="s">
        <v>87</v>
      </c>
      <c r="C201" t="s">
        <v>191</v>
      </c>
      <c r="D201" t="s">
        <v>262</v>
      </c>
      <c r="F201" t="s">
        <v>483</v>
      </c>
      <c r="G201" t="s">
        <v>1337</v>
      </c>
      <c r="H201" t="s">
        <v>2094</v>
      </c>
      <c r="I201" t="s">
        <v>2816</v>
      </c>
      <c r="J201" t="s">
        <v>3148</v>
      </c>
      <c r="K201">
        <v>11217</v>
      </c>
      <c r="L201" t="s">
        <v>3185</v>
      </c>
      <c r="N201" t="s">
        <v>3186</v>
      </c>
      <c r="Q201" t="s">
        <v>3635</v>
      </c>
      <c r="S201" t="s">
        <v>262</v>
      </c>
      <c r="T201" t="s">
        <v>3660</v>
      </c>
      <c r="W201" t="s">
        <v>3670</v>
      </c>
      <c r="Y201">
        <v>0</v>
      </c>
      <c r="Z201" t="s">
        <v>3691</v>
      </c>
      <c r="AC201" t="s">
        <v>3900</v>
      </c>
      <c r="AE201" t="s">
        <v>5032</v>
      </c>
      <c r="AF201">
        <v>8</v>
      </c>
      <c r="AI201">
        <v>0</v>
      </c>
      <c r="AJ201">
        <v>1</v>
      </c>
      <c r="AK201">
        <v>0</v>
      </c>
      <c r="AL201">
        <v>114.49</v>
      </c>
      <c r="AO201" t="s">
        <v>5843</v>
      </c>
      <c r="AP201">
        <v>14300</v>
      </c>
      <c r="AV201">
        <v>8.4</v>
      </c>
      <c r="AW201" t="s">
        <v>196</v>
      </c>
      <c r="AX201" t="s">
        <v>131</v>
      </c>
    </row>
    <row r="202" spans="1:50">
      <c r="A202" s="1">
        <f>HYPERLINK("https://lsnyc.legalserver.org/matter/dynamic-profile/view/1908391","19-1908391")</f>
        <v>0</v>
      </c>
      <c r="B202" t="s">
        <v>87</v>
      </c>
      <c r="C202" t="s">
        <v>191</v>
      </c>
      <c r="D202" t="s">
        <v>262</v>
      </c>
      <c r="F202" t="s">
        <v>596</v>
      </c>
      <c r="G202" t="s">
        <v>1338</v>
      </c>
      <c r="H202" t="s">
        <v>2090</v>
      </c>
      <c r="I202" t="s">
        <v>2912</v>
      </c>
      <c r="J202" t="s">
        <v>3148</v>
      </c>
      <c r="K202">
        <v>11219</v>
      </c>
      <c r="L202" t="s">
        <v>3185</v>
      </c>
      <c r="N202" t="s">
        <v>3186</v>
      </c>
      <c r="Q202" t="s">
        <v>3635</v>
      </c>
      <c r="S202" t="s">
        <v>262</v>
      </c>
      <c r="T202" t="s">
        <v>3660</v>
      </c>
      <c r="W202" t="s">
        <v>3670</v>
      </c>
      <c r="Y202">
        <v>0</v>
      </c>
      <c r="Z202" t="s">
        <v>3691</v>
      </c>
      <c r="AC202" t="s">
        <v>3901</v>
      </c>
      <c r="AE202" t="s">
        <v>5033</v>
      </c>
      <c r="AF202">
        <v>20</v>
      </c>
      <c r="AI202">
        <v>0</v>
      </c>
      <c r="AJ202">
        <v>3</v>
      </c>
      <c r="AK202">
        <v>0</v>
      </c>
      <c r="AL202">
        <v>234.6</v>
      </c>
      <c r="AO202" t="s">
        <v>5852</v>
      </c>
      <c r="AP202">
        <v>50040</v>
      </c>
      <c r="AV202">
        <v>10.4</v>
      </c>
      <c r="AW202" t="s">
        <v>262</v>
      </c>
      <c r="AX202" t="s">
        <v>131</v>
      </c>
    </row>
    <row r="203" spans="1:50">
      <c r="A203" s="1">
        <f>HYPERLINK("https://lsnyc.legalserver.org/matter/dynamic-profile/view/1909245","19-1909245")</f>
        <v>0</v>
      </c>
      <c r="B203" t="s">
        <v>87</v>
      </c>
      <c r="C203" t="s">
        <v>191</v>
      </c>
      <c r="D203" t="s">
        <v>228</v>
      </c>
      <c r="F203" t="s">
        <v>597</v>
      </c>
      <c r="G203" t="s">
        <v>1339</v>
      </c>
      <c r="H203" t="s">
        <v>2090</v>
      </c>
      <c r="I203" t="s">
        <v>2913</v>
      </c>
      <c r="J203" t="s">
        <v>3148</v>
      </c>
      <c r="K203">
        <v>11219</v>
      </c>
      <c r="L203" t="s">
        <v>3185</v>
      </c>
      <c r="M203" t="s">
        <v>3189</v>
      </c>
      <c r="N203" t="s">
        <v>3186</v>
      </c>
      <c r="Q203" t="s">
        <v>3638</v>
      </c>
      <c r="S203" t="s">
        <v>228</v>
      </c>
      <c r="T203" t="s">
        <v>3660</v>
      </c>
      <c r="U203" t="s">
        <v>3184</v>
      </c>
      <c r="W203" t="s">
        <v>3670</v>
      </c>
      <c r="Y203">
        <v>1737.44</v>
      </c>
      <c r="Z203" t="s">
        <v>3691</v>
      </c>
      <c r="AC203" t="s">
        <v>3902</v>
      </c>
      <c r="AE203" t="s">
        <v>5034</v>
      </c>
      <c r="AF203">
        <v>20</v>
      </c>
      <c r="AI203">
        <v>8</v>
      </c>
      <c r="AJ203">
        <v>2</v>
      </c>
      <c r="AK203">
        <v>1</v>
      </c>
      <c r="AL203">
        <v>191.84</v>
      </c>
      <c r="AO203" t="s">
        <v>5843</v>
      </c>
      <c r="AP203">
        <v>40920</v>
      </c>
      <c r="AV203">
        <v>0</v>
      </c>
      <c r="AX203" t="s">
        <v>61</v>
      </c>
    </row>
    <row r="204" spans="1:50">
      <c r="A204" s="1">
        <f>HYPERLINK("https://lsnyc.legalserver.org/matter/dynamic-profile/view/1899279","19-1899279")</f>
        <v>0</v>
      </c>
      <c r="B204" t="s">
        <v>88</v>
      </c>
      <c r="C204" t="s">
        <v>191</v>
      </c>
      <c r="D204" t="s">
        <v>263</v>
      </c>
      <c r="F204" t="s">
        <v>471</v>
      </c>
      <c r="G204" t="s">
        <v>1340</v>
      </c>
      <c r="H204" t="s">
        <v>2095</v>
      </c>
      <c r="I204" t="s">
        <v>2914</v>
      </c>
      <c r="J204" t="s">
        <v>3147</v>
      </c>
      <c r="K204">
        <v>10453</v>
      </c>
      <c r="L204" t="s">
        <v>3186</v>
      </c>
      <c r="N204" t="s">
        <v>3186</v>
      </c>
      <c r="Q204" t="s">
        <v>3635</v>
      </c>
      <c r="T204" t="s">
        <v>3660</v>
      </c>
      <c r="W204" t="s">
        <v>3671</v>
      </c>
      <c r="Y204">
        <v>0</v>
      </c>
      <c r="Z204" t="s">
        <v>3690</v>
      </c>
      <c r="AC204" t="s">
        <v>3903</v>
      </c>
      <c r="AE204" t="s">
        <v>5035</v>
      </c>
      <c r="AF204">
        <v>55</v>
      </c>
      <c r="AI204">
        <v>0</v>
      </c>
      <c r="AJ204">
        <v>1</v>
      </c>
      <c r="AK204">
        <v>0</v>
      </c>
      <c r="AL204">
        <v>11.53</v>
      </c>
      <c r="AO204" t="s">
        <v>5844</v>
      </c>
      <c r="AP204">
        <v>1440</v>
      </c>
      <c r="AQ204" t="s">
        <v>5872</v>
      </c>
      <c r="AV204">
        <v>0.6</v>
      </c>
      <c r="AW204" t="s">
        <v>272</v>
      </c>
      <c r="AX204" t="s">
        <v>88</v>
      </c>
    </row>
    <row r="205" spans="1:50">
      <c r="A205" s="1">
        <f>HYPERLINK("https://lsnyc.legalserver.org/matter/dynamic-profile/view/1898702","19-1898702")</f>
        <v>0</v>
      </c>
      <c r="B205" t="s">
        <v>89</v>
      </c>
      <c r="C205" t="s">
        <v>192</v>
      </c>
      <c r="D205" t="s">
        <v>264</v>
      </c>
      <c r="E205" t="s">
        <v>202</v>
      </c>
      <c r="F205" t="s">
        <v>598</v>
      </c>
      <c r="G205" t="s">
        <v>1341</v>
      </c>
      <c r="H205" t="s">
        <v>2096</v>
      </c>
      <c r="I205">
        <v>1</v>
      </c>
      <c r="J205" t="s">
        <v>3148</v>
      </c>
      <c r="K205">
        <v>11207</v>
      </c>
      <c r="L205" t="s">
        <v>3185</v>
      </c>
      <c r="M205" t="s">
        <v>3189</v>
      </c>
      <c r="N205" t="s">
        <v>3185</v>
      </c>
      <c r="O205" t="s">
        <v>3257</v>
      </c>
      <c r="P205" t="s">
        <v>3615</v>
      </c>
      <c r="Q205" t="s">
        <v>3634</v>
      </c>
      <c r="R205" t="s">
        <v>3642</v>
      </c>
      <c r="S205" t="s">
        <v>285</v>
      </c>
      <c r="T205" t="s">
        <v>3660</v>
      </c>
      <c r="U205" t="s">
        <v>3184</v>
      </c>
      <c r="W205" t="s">
        <v>3670</v>
      </c>
      <c r="X205" t="s">
        <v>3681</v>
      </c>
      <c r="Y205">
        <v>870</v>
      </c>
      <c r="Z205" t="s">
        <v>3691</v>
      </c>
      <c r="AB205" t="s">
        <v>3712</v>
      </c>
      <c r="AC205" t="s">
        <v>3904</v>
      </c>
      <c r="AF205">
        <v>2</v>
      </c>
      <c r="AG205" t="s">
        <v>5814</v>
      </c>
      <c r="AI205">
        <v>2</v>
      </c>
      <c r="AJ205">
        <v>3</v>
      </c>
      <c r="AK205">
        <v>1</v>
      </c>
      <c r="AL205">
        <v>149.44</v>
      </c>
      <c r="AO205" t="s">
        <v>5844</v>
      </c>
      <c r="AP205">
        <v>38480</v>
      </c>
      <c r="AV205">
        <v>0.5</v>
      </c>
      <c r="AW205" t="s">
        <v>202</v>
      </c>
      <c r="AX205" t="s">
        <v>158</v>
      </c>
    </row>
    <row r="206" spans="1:50">
      <c r="A206" s="1">
        <f>HYPERLINK("https://lsnyc.legalserver.org/matter/dynamic-profile/view/1908599","19-1908599")</f>
        <v>0</v>
      </c>
      <c r="B206" t="s">
        <v>89</v>
      </c>
      <c r="C206" t="s">
        <v>192</v>
      </c>
      <c r="D206" t="s">
        <v>231</v>
      </c>
      <c r="E206" t="s">
        <v>261</v>
      </c>
      <c r="F206" t="s">
        <v>599</v>
      </c>
      <c r="G206" t="s">
        <v>1342</v>
      </c>
      <c r="H206" t="s">
        <v>2097</v>
      </c>
      <c r="I206" t="s">
        <v>2915</v>
      </c>
      <c r="J206" t="s">
        <v>3148</v>
      </c>
      <c r="K206">
        <v>11233</v>
      </c>
      <c r="L206" t="s">
        <v>3185</v>
      </c>
      <c r="M206" t="s">
        <v>3189</v>
      </c>
      <c r="N206" t="s">
        <v>3186</v>
      </c>
      <c r="O206" t="s">
        <v>3264</v>
      </c>
      <c r="P206" t="s">
        <v>3610</v>
      </c>
      <c r="Q206" t="s">
        <v>3634</v>
      </c>
      <c r="R206" t="s">
        <v>3642</v>
      </c>
      <c r="S206" t="s">
        <v>231</v>
      </c>
      <c r="T206" t="s">
        <v>3660</v>
      </c>
      <c r="U206" t="s">
        <v>3184</v>
      </c>
      <c r="W206" t="s">
        <v>3670</v>
      </c>
      <c r="X206" t="s">
        <v>3681</v>
      </c>
      <c r="Y206">
        <v>827.8200000000001</v>
      </c>
      <c r="Z206" t="s">
        <v>3691</v>
      </c>
      <c r="AA206" t="s">
        <v>3696</v>
      </c>
      <c r="AB206" t="s">
        <v>3712</v>
      </c>
      <c r="AC206" t="s">
        <v>3905</v>
      </c>
      <c r="AD206">
        <v>32751364</v>
      </c>
      <c r="AE206" t="s">
        <v>5036</v>
      </c>
      <c r="AF206">
        <v>1107</v>
      </c>
      <c r="AG206" t="s">
        <v>5813</v>
      </c>
      <c r="AH206" t="s">
        <v>5830</v>
      </c>
      <c r="AI206">
        <v>24</v>
      </c>
      <c r="AJ206">
        <v>2</v>
      </c>
      <c r="AK206">
        <v>0</v>
      </c>
      <c r="AL206">
        <v>97.98</v>
      </c>
      <c r="AO206" t="s">
        <v>5843</v>
      </c>
      <c r="AP206">
        <v>16568.3</v>
      </c>
      <c r="AV206">
        <v>1.4</v>
      </c>
      <c r="AW206" t="s">
        <v>222</v>
      </c>
      <c r="AX206" t="s">
        <v>158</v>
      </c>
    </row>
    <row r="207" spans="1:50">
      <c r="A207" s="1">
        <f>HYPERLINK("https://lsnyc.legalserver.org/matter/dynamic-profile/view/1905047","19-1905047")</f>
        <v>0</v>
      </c>
      <c r="B207" t="s">
        <v>88</v>
      </c>
      <c r="C207" t="s">
        <v>191</v>
      </c>
      <c r="D207" t="s">
        <v>249</v>
      </c>
      <c r="F207" t="s">
        <v>600</v>
      </c>
      <c r="G207" t="s">
        <v>1343</v>
      </c>
      <c r="H207" t="s">
        <v>2098</v>
      </c>
      <c r="I207" t="s">
        <v>2817</v>
      </c>
      <c r="J207" t="s">
        <v>3147</v>
      </c>
      <c r="K207">
        <v>10453</v>
      </c>
      <c r="L207" t="s">
        <v>3186</v>
      </c>
      <c r="N207" t="s">
        <v>3186</v>
      </c>
      <c r="T207" t="s">
        <v>3660</v>
      </c>
      <c r="W207" t="s">
        <v>3670</v>
      </c>
      <c r="Y207">
        <v>963.8</v>
      </c>
      <c r="Z207" t="s">
        <v>3690</v>
      </c>
      <c r="AA207" t="s">
        <v>3696</v>
      </c>
      <c r="AC207" t="s">
        <v>3906</v>
      </c>
      <c r="AE207" t="s">
        <v>5037</v>
      </c>
      <c r="AF207">
        <v>100</v>
      </c>
      <c r="AG207" t="s">
        <v>5811</v>
      </c>
      <c r="AH207" t="s">
        <v>5827</v>
      </c>
      <c r="AI207">
        <v>28</v>
      </c>
      <c r="AJ207">
        <v>1</v>
      </c>
      <c r="AK207">
        <v>0</v>
      </c>
      <c r="AL207">
        <v>74.94</v>
      </c>
      <c r="AO207" t="s">
        <v>5843</v>
      </c>
      <c r="AP207">
        <v>9360</v>
      </c>
      <c r="AQ207" t="s">
        <v>5873</v>
      </c>
      <c r="AV207">
        <v>8.5</v>
      </c>
      <c r="AW207" t="s">
        <v>291</v>
      </c>
      <c r="AX207" t="s">
        <v>6014</v>
      </c>
    </row>
    <row r="208" spans="1:50">
      <c r="A208" s="1">
        <f>HYPERLINK("https://lsnyc.legalserver.org/matter/dynamic-profile/view/1905887","19-1905887")</f>
        <v>0</v>
      </c>
      <c r="B208" t="s">
        <v>88</v>
      </c>
      <c r="C208" t="s">
        <v>191</v>
      </c>
      <c r="D208" t="s">
        <v>265</v>
      </c>
      <c r="F208" t="s">
        <v>601</v>
      </c>
      <c r="G208" t="s">
        <v>1344</v>
      </c>
      <c r="H208" t="s">
        <v>2099</v>
      </c>
      <c r="I208" t="s">
        <v>2891</v>
      </c>
      <c r="J208" t="s">
        <v>3147</v>
      </c>
      <c r="K208">
        <v>10453</v>
      </c>
      <c r="L208" t="s">
        <v>3186</v>
      </c>
      <c r="N208" t="s">
        <v>3186</v>
      </c>
      <c r="T208" t="s">
        <v>3660</v>
      </c>
      <c r="W208" t="s">
        <v>3670</v>
      </c>
      <c r="Y208">
        <v>1126</v>
      </c>
      <c r="Z208" t="s">
        <v>3690</v>
      </c>
      <c r="AA208" t="s">
        <v>3699</v>
      </c>
      <c r="AC208" t="s">
        <v>3907</v>
      </c>
      <c r="AE208" t="s">
        <v>5038</v>
      </c>
      <c r="AF208">
        <v>35</v>
      </c>
      <c r="AH208" t="s">
        <v>3188</v>
      </c>
      <c r="AI208">
        <v>16</v>
      </c>
      <c r="AJ208">
        <v>1</v>
      </c>
      <c r="AK208">
        <v>0</v>
      </c>
      <c r="AL208">
        <v>80.7</v>
      </c>
      <c r="AO208" t="s">
        <v>5843</v>
      </c>
      <c r="AP208">
        <v>10080</v>
      </c>
      <c r="AV208">
        <v>1</v>
      </c>
      <c r="AW208" t="s">
        <v>265</v>
      </c>
      <c r="AX208" t="s">
        <v>6014</v>
      </c>
    </row>
    <row r="209" spans="1:50">
      <c r="A209" s="1">
        <f>HYPERLINK("https://lsnyc.legalserver.org/matter/dynamic-profile/view/1905665","19-1905665")</f>
        <v>0</v>
      </c>
      <c r="B209" t="s">
        <v>88</v>
      </c>
      <c r="C209" t="s">
        <v>191</v>
      </c>
      <c r="D209" t="s">
        <v>203</v>
      </c>
      <c r="F209" t="s">
        <v>602</v>
      </c>
      <c r="G209" t="s">
        <v>1345</v>
      </c>
      <c r="H209" t="s">
        <v>2100</v>
      </c>
      <c r="I209" t="s">
        <v>2891</v>
      </c>
      <c r="J209" t="s">
        <v>3147</v>
      </c>
      <c r="K209">
        <v>10453</v>
      </c>
      <c r="L209" t="s">
        <v>3186</v>
      </c>
      <c r="N209" t="s">
        <v>3186</v>
      </c>
      <c r="T209" t="s">
        <v>3660</v>
      </c>
      <c r="W209" t="s">
        <v>3670</v>
      </c>
      <c r="Y209">
        <v>877</v>
      </c>
      <c r="Z209" t="s">
        <v>3690</v>
      </c>
      <c r="AA209" t="s">
        <v>3696</v>
      </c>
      <c r="AC209" t="s">
        <v>3908</v>
      </c>
      <c r="AE209" t="s">
        <v>5039</v>
      </c>
      <c r="AF209">
        <v>65</v>
      </c>
      <c r="AG209" t="s">
        <v>5813</v>
      </c>
      <c r="AH209" t="s">
        <v>3188</v>
      </c>
      <c r="AI209">
        <v>5</v>
      </c>
      <c r="AJ209">
        <v>1</v>
      </c>
      <c r="AK209">
        <v>0</v>
      </c>
      <c r="AL209">
        <v>104.08</v>
      </c>
      <c r="AO209" t="s">
        <v>5843</v>
      </c>
      <c r="AP209">
        <v>13000</v>
      </c>
      <c r="AV209">
        <v>1.66</v>
      </c>
      <c r="AW209" t="s">
        <v>211</v>
      </c>
      <c r="AX209" t="s">
        <v>6014</v>
      </c>
    </row>
    <row r="210" spans="1:50">
      <c r="A210" s="1">
        <f>HYPERLINK("https://lsnyc.legalserver.org/matter/dynamic-profile/view/1855004","18-1855004")</f>
        <v>0</v>
      </c>
      <c r="B210" t="s">
        <v>88</v>
      </c>
      <c r="C210" t="s">
        <v>191</v>
      </c>
      <c r="D210" t="s">
        <v>266</v>
      </c>
      <c r="F210" t="s">
        <v>603</v>
      </c>
      <c r="G210" t="s">
        <v>1346</v>
      </c>
      <c r="H210" t="s">
        <v>2101</v>
      </c>
      <c r="I210" t="s">
        <v>2840</v>
      </c>
      <c r="J210" t="s">
        <v>3147</v>
      </c>
      <c r="K210">
        <v>10453</v>
      </c>
      <c r="L210" t="s">
        <v>3186</v>
      </c>
      <c r="N210" t="s">
        <v>3186</v>
      </c>
      <c r="P210" t="s">
        <v>3620</v>
      </c>
      <c r="T210" t="s">
        <v>3660</v>
      </c>
      <c r="W210" t="s">
        <v>3670</v>
      </c>
      <c r="Y210">
        <v>0</v>
      </c>
      <c r="Z210" t="s">
        <v>3690</v>
      </c>
      <c r="AC210" t="s">
        <v>3909</v>
      </c>
      <c r="AE210" t="s">
        <v>5040</v>
      </c>
      <c r="AF210">
        <v>25</v>
      </c>
      <c r="AI210">
        <v>0</v>
      </c>
      <c r="AJ210">
        <v>2</v>
      </c>
      <c r="AK210">
        <v>2</v>
      </c>
      <c r="AL210">
        <v>162.6</v>
      </c>
      <c r="AP210">
        <v>40000</v>
      </c>
      <c r="AQ210" t="s">
        <v>5874</v>
      </c>
      <c r="AV210">
        <v>4.5</v>
      </c>
      <c r="AW210" t="s">
        <v>5975</v>
      </c>
      <c r="AX210" t="s">
        <v>6031</v>
      </c>
    </row>
    <row r="211" spans="1:50">
      <c r="A211" s="1">
        <f>HYPERLINK("https://lsnyc.legalserver.org/matter/dynamic-profile/view/1900072","19-1900072")</f>
        <v>0</v>
      </c>
      <c r="B211" t="s">
        <v>90</v>
      </c>
      <c r="C211" t="s">
        <v>192</v>
      </c>
      <c r="D211" t="s">
        <v>195</v>
      </c>
      <c r="E211" t="s">
        <v>195</v>
      </c>
      <c r="F211" t="s">
        <v>604</v>
      </c>
      <c r="G211" t="s">
        <v>1347</v>
      </c>
      <c r="H211" t="s">
        <v>2102</v>
      </c>
      <c r="I211" t="s">
        <v>2856</v>
      </c>
      <c r="J211" t="s">
        <v>3147</v>
      </c>
      <c r="K211">
        <v>10461</v>
      </c>
      <c r="L211" t="s">
        <v>3186</v>
      </c>
      <c r="N211" t="s">
        <v>3186</v>
      </c>
      <c r="Q211" t="s">
        <v>3634</v>
      </c>
      <c r="R211" t="s">
        <v>3642</v>
      </c>
      <c r="T211" t="s">
        <v>3660</v>
      </c>
      <c r="W211" t="s">
        <v>3670</v>
      </c>
      <c r="Y211">
        <v>1091.07</v>
      </c>
      <c r="Z211" t="s">
        <v>3690</v>
      </c>
      <c r="AA211" t="s">
        <v>3695</v>
      </c>
      <c r="AB211" t="s">
        <v>3712</v>
      </c>
      <c r="AC211" t="s">
        <v>3910</v>
      </c>
      <c r="AF211">
        <v>0</v>
      </c>
      <c r="AG211" t="s">
        <v>5813</v>
      </c>
      <c r="AH211" t="s">
        <v>3188</v>
      </c>
      <c r="AI211">
        <v>4</v>
      </c>
      <c r="AJ211">
        <v>1</v>
      </c>
      <c r="AK211">
        <v>1</v>
      </c>
      <c r="AL211">
        <v>65.05</v>
      </c>
      <c r="AO211" t="s">
        <v>5844</v>
      </c>
      <c r="AP211">
        <v>11000</v>
      </c>
      <c r="AV211">
        <v>0.5</v>
      </c>
      <c r="AW211" t="s">
        <v>195</v>
      </c>
      <c r="AX211" t="s">
        <v>90</v>
      </c>
    </row>
    <row r="212" spans="1:50">
      <c r="A212" s="1">
        <f>HYPERLINK("https://lsnyc.legalserver.org/matter/dynamic-profile/view/1900059","19-1900059")</f>
        <v>0</v>
      </c>
      <c r="B212" t="s">
        <v>90</v>
      </c>
      <c r="C212" t="s">
        <v>192</v>
      </c>
      <c r="D212" t="s">
        <v>195</v>
      </c>
      <c r="E212" t="s">
        <v>195</v>
      </c>
      <c r="F212" t="s">
        <v>605</v>
      </c>
      <c r="G212" t="s">
        <v>1348</v>
      </c>
      <c r="H212" t="s">
        <v>2103</v>
      </c>
      <c r="I212" t="s">
        <v>2916</v>
      </c>
      <c r="J212" t="s">
        <v>3147</v>
      </c>
      <c r="K212">
        <v>10458</v>
      </c>
      <c r="L212" t="s">
        <v>3186</v>
      </c>
      <c r="N212" t="s">
        <v>3186</v>
      </c>
      <c r="Q212" t="s">
        <v>3634</v>
      </c>
      <c r="R212" t="s">
        <v>3642</v>
      </c>
      <c r="T212" t="s">
        <v>3660</v>
      </c>
      <c r="W212" t="s">
        <v>3670</v>
      </c>
      <c r="Y212">
        <v>170.4</v>
      </c>
      <c r="Z212" t="s">
        <v>3690</v>
      </c>
      <c r="AA212" t="s">
        <v>3700</v>
      </c>
      <c r="AB212" t="s">
        <v>3712</v>
      </c>
      <c r="AC212" t="s">
        <v>3911</v>
      </c>
      <c r="AE212" t="s">
        <v>5041</v>
      </c>
      <c r="AF212">
        <v>0</v>
      </c>
      <c r="AG212" t="s">
        <v>5820</v>
      </c>
      <c r="AH212" t="s">
        <v>3632</v>
      </c>
      <c r="AI212">
        <v>6</v>
      </c>
      <c r="AJ212">
        <v>1</v>
      </c>
      <c r="AK212">
        <v>0</v>
      </c>
      <c r="AL212">
        <v>67.73</v>
      </c>
      <c r="AO212" t="s">
        <v>5843</v>
      </c>
      <c r="AP212">
        <v>8460</v>
      </c>
      <c r="AV212">
        <v>0.5</v>
      </c>
      <c r="AW212" t="s">
        <v>195</v>
      </c>
      <c r="AX212" t="s">
        <v>90</v>
      </c>
    </row>
    <row r="213" spans="1:50">
      <c r="A213" s="1">
        <f>HYPERLINK("https://lsnyc.legalserver.org/matter/dynamic-profile/view/1900068","19-1900068")</f>
        <v>0</v>
      </c>
      <c r="B213" t="s">
        <v>90</v>
      </c>
      <c r="C213" t="s">
        <v>192</v>
      </c>
      <c r="D213" t="s">
        <v>195</v>
      </c>
      <c r="E213" t="s">
        <v>195</v>
      </c>
      <c r="F213" t="s">
        <v>606</v>
      </c>
      <c r="G213" t="s">
        <v>1349</v>
      </c>
      <c r="H213" t="s">
        <v>2104</v>
      </c>
      <c r="J213" t="s">
        <v>3147</v>
      </c>
      <c r="K213">
        <v>10467</v>
      </c>
      <c r="L213" t="s">
        <v>3186</v>
      </c>
      <c r="N213" t="s">
        <v>3186</v>
      </c>
      <c r="Q213" t="s">
        <v>3634</v>
      </c>
      <c r="R213" t="s">
        <v>3642</v>
      </c>
      <c r="T213" t="s">
        <v>3660</v>
      </c>
      <c r="U213" t="s">
        <v>3184</v>
      </c>
      <c r="W213" t="s">
        <v>3670</v>
      </c>
      <c r="Y213">
        <v>1074.58</v>
      </c>
      <c r="Z213" t="s">
        <v>3690</v>
      </c>
      <c r="AB213" t="s">
        <v>3712</v>
      </c>
      <c r="AC213" t="s">
        <v>3912</v>
      </c>
      <c r="AE213" t="s">
        <v>5042</v>
      </c>
      <c r="AF213">
        <v>0</v>
      </c>
      <c r="AG213" t="s">
        <v>5813</v>
      </c>
      <c r="AI213">
        <v>13</v>
      </c>
      <c r="AJ213">
        <v>1</v>
      </c>
      <c r="AK213">
        <v>1</v>
      </c>
      <c r="AL213">
        <v>76.88</v>
      </c>
      <c r="AP213">
        <v>13000</v>
      </c>
      <c r="AV213">
        <v>0.5</v>
      </c>
      <c r="AW213" t="s">
        <v>195</v>
      </c>
      <c r="AX213" t="s">
        <v>90</v>
      </c>
    </row>
    <row r="214" spans="1:50">
      <c r="A214" s="1">
        <f>HYPERLINK("https://lsnyc.legalserver.org/matter/dynamic-profile/view/1904669","19-1904669")</f>
        <v>0</v>
      </c>
      <c r="B214" t="s">
        <v>89</v>
      </c>
      <c r="C214" t="s">
        <v>191</v>
      </c>
      <c r="D214" t="s">
        <v>214</v>
      </c>
      <c r="F214" t="s">
        <v>607</v>
      </c>
      <c r="G214" t="s">
        <v>1350</v>
      </c>
      <c r="H214" t="s">
        <v>2105</v>
      </c>
      <c r="I214" t="s">
        <v>2917</v>
      </c>
      <c r="J214" t="s">
        <v>3148</v>
      </c>
      <c r="K214">
        <v>11208</v>
      </c>
      <c r="L214" t="s">
        <v>3185</v>
      </c>
      <c r="M214" t="s">
        <v>3190</v>
      </c>
      <c r="N214" t="s">
        <v>3186</v>
      </c>
      <c r="O214" t="s">
        <v>3265</v>
      </c>
      <c r="P214" t="s">
        <v>3613</v>
      </c>
      <c r="Q214" t="s">
        <v>3638</v>
      </c>
      <c r="S214" t="s">
        <v>233</v>
      </c>
      <c r="T214" t="s">
        <v>3660</v>
      </c>
      <c r="U214" t="s">
        <v>3184</v>
      </c>
      <c r="W214" t="s">
        <v>3670</v>
      </c>
      <c r="X214" t="s">
        <v>3683</v>
      </c>
      <c r="Y214">
        <v>0</v>
      </c>
      <c r="Z214" t="s">
        <v>3691</v>
      </c>
      <c r="AA214" t="s">
        <v>3708</v>
      </c>
      <c r="AC214" t="s">
        <v>3913</v>
      </c>
      <c r="AD214" t="s">
        <v>4780</v>
      </c>
      <c r="AE214" t="s">
        <v>5043</v>
      </c>
      <c r="AF214">
        <v>319</v>
      </c>
      <c r="AG214" t="s">
        <v>5813</v>
      </c>
      <c r="AH214" t="s">
        <v>5825</v>
      </c>
      <c r="AI214">
        <v>0</v>
      </c>
      <c r="AJ214">
        <v>1</v>
      </c>
      <c r="AK214">
        <v>7</v>
      </c>
      <c r="AL214">
        <v>65.98</v>
      </c>
      <c r="AO214" t="s">
        <v>5843</v>
      </c>
      <c r="AP214">
        <v>28656</v>
      </c>
      <c r="AV214">
        <v>25.5</v>
      </c>
      <c r="AW214" t="s">
        <v>243</v>
      </c>
      <c r="AX214" t="s">
        <v>158</v>
      </c>
    </row>
    <row r="215" spans="1:50">
      <c r="A215" s="1">
        <f>HYPERLINK("https://lsnyc.legalserver.org/matter/dynamic-profile/view/1905315","19-1905315")</f>
        <v>0</v>
      </c>
      <c r="B215" t="s">
        <v>89</v>
      </c>
      <c r="C215" t="s">
        <v>191</v>
      </c>
      <c r="D215" t="s">
        <v>254</v>
      </c>
      <c r="F215" t="s">
        <v>608</v>
      </c>
      <c r="G215" t="s">
        <v>1351</v>
      </c>
      <c r="H215" t="s">
        <v>2106</v>
      </c>
      <c r="I215" t="s">
        <v>2918</v>
      </c>
      <c r="J215" t="s">
        <v>3148</v>
      </c>
      <c r="K215">
        <v>11208</v>
      </c>
      <c r="L215" t="s">
        <v>3185</v>
      </c>
      <c r="M215" t="s">
        <v>3189</v>
      </c>
      <c r="N215" t="s">
        <v>3186</v>
      </c>
      <c r="O215" t="s">
        <v>3266</v>
      </c>
      <c r="P215" t="s">
        <v>3610</v>
      </c>
      <c r="Q215" t="s">
        <v>3636</v>
      </c>
      <c r="S215" t="s">
        <v>254</v>
      </c>
      <c r="T215" t="s">
        <v>3660</v>
      </c>
      <c r="U215" t="s">
        <v>3184</v>
      </c>
      <c r="W215" t="s">
        <v>3670</v>
      </c>
      <c r="Y215">
        <v>1146</v>
      </c>
      <c r="Z215" t="s">
        <v>3691</v>
      </c>
      <c r="AA215" t="s">
        <v>3694</v>
      </c>
      <c r="AC215" t="s">
        <v>3914</v>
      </c>
      <c r="AE215" t="s">
        <v>5044</v>
      </c>
      <c r="AF215">
        <v>294</v>
      </c>
      <c r="AG215" t="s">
        <v>5813</v>
      </c>
      <c r="AH215" t="s">
        <v>5827</v>
      </c>
      <c r="AI215">
        <v>4</v>
      </c>
      <c r="AJ215">
        <v>1</v>
      </c>
      <c r="AK215">
        <v>0</v>
      </c>
      <c r="AL215">
        <v>230.58</v>
      </c>
      <c r="AO215" t="s">
        <v>5843</v>
      </c>
      <c r="AP215">
        <v>28800</v>
      </c>
      <c r="AV215">
        <v>0.5</v>
      </c>
      <c r="AW215" t="s">
        <v>217</v>
      </c>
      <c r="AX215" t="s">
        <v>6032</v>
      </c>
    </row>
    <row r="216" spans="1:50">
      <c r="A216" s="1">
        <f>HYPERLINK("https://lsnyc.legalserver.org/matter/dynamic-profile/view/1901836","19-1901836")</f>
        <v>0</v>
      </c>
      <c r="B216" t="s">
        <v>89</v>
      </c>
      <c r="C216" t="s">
        <v>191</v>
      </c>
      <c r="D216" t="s">
        <v>267</v>
      </c>
      <c r="F216" t="s">
        <v>465</v>
      </c>
      <c r="G216" t="s">
        <v>1195</v>
      </c>
      <c r="H216" t="s">
        <v>2107</v>
      </c>
      <c r="I216" t="s">
        <v>2919</v>
      </c>
      <c r="J216" t="s">
        <v>3148</v>
      </c>
      <c r="K216">
        <v>11233</v>
      </c>
      <c r="L216" t="s">
        <v>3185</v>
      </c>
      <c r="M216" t="s">
        <v>3190</v>
      </c>
      <c r="N216" t="s">
        <v>3186</v>
      </c>
      <c r="O216" t="s">
        <v>3267</v>
      </c>
      <c r="P216" t="s">
        <v>3610</v>
      </c>
      <c r="Q216" t="s">
        <v>3638</v>
      </c>
      <c r="S216" t="s">
        <v>229</v>
      </c>
      <c r="T216" t="s">
        <v>3660</v>
      </c>
      <c r="U216" t="s">
        <v>3184</v>
      </c>
      <c r="W216" t="s">
        <v>3670</v>
      </c>
      <c r="X216" t="s">
        <v>3683</v>
      </c>
      <c r="Y216">
        <v>0</v>
      </c>
      <c r="Z216" t="s">
        <v>3691</v>
      </c>
      <c r="AA216" t="s">
        <v>3702</v>
      </c>
      <c r="AC216" t="s">
        <v>3915</v>
      </c>
      <c r="AD216" t="s">
        <v>4781</v>
      </c>
      <c r="AE216" t="s">
        <v>5045</v>
      </c>
      <c r="AF216">
        <v>36</v>
      </c>
      <c r="AG216" t="s">
        <v>5813</v>
      </c>
      <c r="AH216" t="s">
        <v>5827</v>
      </c>
      <c r="AI216">
        <v>15</v>
      </c>
      <c r="AJ216">
        <v>2</v>
      </c>
      <c r="AK216">
        <v>0</v>
      </c>
      <c r="AL216">
        <v>64.87</v>
      </c>
      <c r="AO216" t="s">
        <v>5843</v>
      </c>
      <c r="AP216">
        <v>10970.16</v>
      </c>
      <c r="AV216">
        <v>17.5</v>
      </c>
      <c r="AW216" t="s">
        <v>291</v>
      </c>
      <c r="AX216" t="s">
        <v>6021</v>
      </c>
    </row>
    <row r="217" spans="1:50">
      <c r="A217" s="1">
        <f>HYPERLINK("https://lsnyc.legalserver.org/matter/dynamic-profile/view/1905118","19-1905118")</f>
        <v>0</v>
      </c>
      <c r="B217" t="s">
        <v>89</v>
      </c>
      <c r="C217" t="s">
        <v>191</v>
      </c>
      <c r="D217" t="s">
        <v>249</v>
      </c>
      <c r="F217" t="s">
        <v>609</v>
      </c>
      <c r="G217" t="s">
        <v>740</v>
      </c>
      <c r="H217" t="s">
        <v>2108</v>
      </c>
      <c r="I217" t="s">
        <v>2888</v>
      </c>
      <c r="J217" t="s">
        <v>3148</v>
      </c>
      <c r="K217">
        <v>11233</v>
      </c>
      <c r="L217" t="s">
        <v>3185</v>
      </c>
      <c r="M217" t="s">
        <v>3189</v>
      </c>
      <c r="N217" t="s">
        <v>3186</v>
      </c>
      <c r="O217" t="s">
        <v>3268</v>
      </c>
      <c r="P217" t="s">
        <v>3610</v>
      </c>
      <c r="Q217" t="s">
        <v>3638</v>
      </c>
      <c r="S217" t="s">
        <v>229</v>
      </c>
      <c r="T217" t="s">
        <v>3660</v>
      </c>
      <c r="U217" t="s">
        <v>3184</v>
      </c>
      <c r="W217" t="s">
        <v>3670</v>
      </c>
      <c r="X217" t="s">
        <v>3681</v>
      </c>
      <c r="Y217">
        <v>826</v>
      </c>
      <c r="Z217" t="s">
        <v>3691</v>
      </c>
      <c r="AA217" t="s">
        <v>3696</v>
      </c>
      <c r="AC217" t="s">
        <v>3916</v>
      </c>
      <c r="AD217" t="s">
        <v>4782</v>
      </c>
      <c r="AE217" t="s">
        <v>5046</v>
      </c>
      <c r="AF217">
        <v>42</v>
      </c>
      <c r="AG217" t="s">
        <v>5813</v>
      </c>
      <c r="AH217" t="s">
        <v>5828</v>
      </c>
      <c r="AI217">
        <v>14</v>
      </c>
      <c r="AJ217">
        <v>1</v>
      </c>
      <c r="AK217">
        <v>0</v>
      </c>
      <c r="AL217">
        <v>68.69</v>
      </c>
      <c r="AO217" t="s">
        <v>5843</v>
      </c>
      <c r="AP217">
        <v>8580</v>
      </c>
      <c r="AV217">
        <v>1.5</v>
      </c>
      <c r="AW217" t="s">
        <v>222</v>
      </c>
      <c r="AX217" t="s">
        <v>158</v>
      </c>
    </row>
    <row r="218" spans="1:50">
      <c r="A218" s="1">
        <f>HYPERLINK("https://lsnyc.legalserver.org/matter/dynamic-profile/view/1905577","19-1905577")</f>
        <v>0</v>
      </c>
      <c r="B218" t="s">
        <v>89</v>
      </c>
      <c r="C218" t="s">
        <v>191</v>
      </c>
      <c r="D218" t="s">
        <v>202</v>
      </c>
      <c r="F218" t="s">
        <v>610</v>
      </c>
      <c r="G218" t="s">
        <v>1352</v>
      </c>
      <c r="H218" t="s">
        <v>2109</v>
      </c>
      <c r="I218" t="s">
        <v>2848</v>
      </c>
      <c r="J218" t="s">
        <v>3148</v>
      </c>
      <c r="K218">
        <v>11239</v>
      </c>
      <c r="L218" t="s">
        <v>3185</v>
      </c>
      <c r="M218" t="s">
        <v>3189</v>
      </c>
      <c r="N218" t="s">
        <v>3186</v>
      </c>
      <c r="O218" t="s">
        <v>3269</v>
      </c>
      <c r="P218" t="s">
        <v>3610</v>
      </c>
      <c r="Q218" t="s">
        <v>3634</v>
      </c>
      <c r="S218" t="s">
        <v>229</v>
      </c>
      <c r="T218" t="s">
        <v>3660</v>
      </c>
      <c r="U218" t="s">
        <v>3184</v>
      </c>
      <c r="W218" t="s">
        <v>3670</v>
      </c>
      <c r="X218" t="s">
        <v>3681</v>
      </c>
      <c r="Y218">
        <v>989</v>
      </c>
      <c r="Z218" t="s">
        <v>3691</v>
      </c>
      <c r="AA218" t="s">
        <v>3706</v>
      </c>
      <c r="AC218" t="s">
        <v>3917</v>
      </c>
      <c r="AD218" t="s">
        <v>3218</v>
      </c>
      <c r="AE218" t="s">
        <v>5047</v>
      </c>
      <c r="AF218">
        <v>55</v>
      </c>
      <c r="AG218" t="s">
        <v>3263</v>
      </c>
      <c r="AH218" t="s">
        <v>3188</v>
      </c>
      <c r="AI218">
        <v>6</v>
      </c>
      <c r="AJ218">
        <v>1</v>
      </c>
      <c r="AK218">
        <v>0</v>
      </c>
      <c r="AL218">
        <v>166.53</v>
      </c>
      <c r="AO218" t="s">
        <v>5843</v>
      </c>
      <c r="AP218">
        <v>20800</v>
      </c>
      <c r="AV218">
        <v>0.5</v>
      </c>
      <c r="AW218" t="s">
        <v>202</v>
      </c>
      <c r="AX218" t="s">
        <v>6018</v>
      </c>
    </row>
    <row r="219" spans="1:50">
      <c r="A219" s="1">
        <f>HYPERLINK("https://lsnyc.legalserver.org/matter/dynamic-profile/view/1906449","19-1906449")</f>
        <v>0</v>
      </c>
      <c r="B219" t="s">
        <v>89</v>
      </c>
      <c r="C219" t="s">
        <v>191</v>
      </c>
      <c r="D219" t="s">
        <v>229</v>
      </c>
      <c r="F219" t="s">
        <v>611</v>
      </c>
      <c r="G219" t="s">
        <v>1353</v>
      </c>
      <c r="H219" t="s">
        <v>2110</v>
      </c>
      <c r="I219" t="s">
        <v>2852</v>
      </c>
      <c r="J219" t="s">
        <v>3148</v>
      </c>
      <c r="K219">
        <v>11239</v>
      </c>
      <c r="L219" t="s">
        <v>3185</v>
      </c>
      <c r="M219" t="s">
        <v>3189</v>
      </c>
      <c r="N219" t="s">
        <v>3186</v>
      </c>
      <c r="O219" t="s">
        <v>3270</v>
      </c>
      <c r="P219" t="s">
        <v>3610</v>
      </c>
      <c r="Q219" t="s">
        <v>3638</v>
      </c>
      <c r="S219" t="s">
        <v>226</v>
      </c>
      <c r="T219" t="s">
        <v>3660</v>
      </c>
      <c r="U219" t="s">
        <v>3184</v>
      </c>
      <c r="W219" t="s">
        <v>3670</v>
      </c>
      <c r="X219" t="s">
        <v>3681</v>
      </c>
      <c r="Y219">
        <v>1205</v>
      </c>
      <c r="Z219" t="s">
        <v>3691</v>
      </c>
      <c r="AA219" t="s">
        <v>3695</v>
      </c>
      <c r="AC219" t="s">
        <v>3918</v>
      </c>
      <c r="AD219" t="s">
        <v>3218</v>
      </c>
      <c r="AE219" t="s">
        <v>5048</v>
      </c>
      <c r="AF219">
        <v>80</v>
      </c>
      <c r="AG219" t="s">
        <v>5813</v>
      </c>
      <c r="AH219" t="s">
        <v>5830</v>
      </c>
      <c r="AI219">
        <v>9</v>
      </c>
      <c r="AJ219">
        <v>1</v>
      </c>
      <c r="AK219">
        <v>0</v>
      </c>
      <c r="AL219">
        <v>187.35</v>
      </c>
      <c r="AO219" t="s">
        <v>5843</v>
      </c>
      <c r="AP219">
        <v>23400</v>
      </c>
      <c r="AV219">
        <v>4.3</v>
      </c>
      <c r="AW219" t="s">
        <v>195</v>
      </c>
      <c r="AX219" t="s">
        <v>6008</v>
      </c>
    </row>
    <row r="220" spans="1:50">
      <c r="A220" s="1">
        <f>HYPERLINK("https://lsnyc.legalserver.org/matter/dynamic-profile/view/1907358","19-1907358")</f>
        <v>0</v>
      </c>
      <c r="B220" t="s">
        <v>89</v>
      </c>
      <c r="C220" t="s">
        <v>191</v>
      </c>
      <c r="D220" t="s">
        <v>253</v>
      </c>
      <c r="F220" t="s">
        <v>612</v>
      </c>
      <c r="G220" t="s">
        <v>1354</v>
      </c>
      <c r="H220" t="s">
        <v>2111</v>
      </c>
      <c r="I220" t="s">
        <v>2917</v>
      </c>
      <c r="J220" t="s">
        <v>3148</v>
      </c>
      <c r="K220">
        <v>11233</v>
      </c>
      <c r="L220" t="s">
        <v>3185</v>
      </c>
      <c r="M220" t="s">
        <v>3189</v>
      </c>
      <c r="N220" t="s">
        <v>3186</v>
      </c>
      <c r="O220" t="s">
        <v>3271</v>
      </c>
      <c r="P220" t="s">
        <v>3610</v>
      </c>
      <c r="Q220" t="s">
        <v>3638</v>
      </c>
      <c r="S220" t="s">
        <v>234</v>
      </c>
      <c r="T220" t="s">
        <v>3660</v>
      </c>
      <c r="U220" t="s">
        <v>3184</v>
      </c>
      <c r="W220" t="s">
        <v>3670</v>
      </c>
      <c r="Y220">
        <v>1542</v>
      </c>
      <c r="Z220" t="s">
        <v>3691</v>
      </c>
      <c r="AA220" t="s">
        <v>3632</v>
      </c>
      <c r="AC220" t="s">
        <v>3919</v>
      </c>
      <c r="AE220" t="s">
        <v>5049</v>
      </c>
      <c r="AF220">
        <v>287</v>
      </c>
      <c r="AH220" t="s">
        <v>3188</v>
      </c>
      <c r="AI220">
        <v>4</v>
      </c>
      <c r="AJ220">
        <v>1</v>
      </c>
      <c r="AK220">
        <v>2</v>
      </c>
      <c r="AL220">
        <v>0</v>
      </c>
      <c r="AO220" t="s">
        <v>5843</v>
      </c>
      <c r="AP220">
        <v>0</v>
      </c>
      <c r="AV220">
        <v>6.9</v>
      </c>
      <c r="AW220" t="s">
        <v>211</v>
      </c>
      <c r="AX220" t="s">
        <v>6012</v>
      </c>
    </row>
    <row r="221" spans="1:50">
      <c r="A221" s="1">
        <f>HYPERLINK("https://lsnyc.legalserver.org/matter/dynamic-profile/view/1906165","19-1906165")</f>
        <v>0</v>
      </c>
      <c r="B221" t="s">
        <v>89</v>
      </c>
      <c r="C221" t="s">
        <v>191</v>
      </c>
      <c r="D221" t="s">
        <v>219</v>
      </c>
      <c r="F221" t="s">
        <v>613</v>
      </c>
      <c r="G221" t="s">
        <v>1355</v>
      </c>
      <c r="H221" t="s">
        <v>2112</v>
      </c>
      <c r="I221" t="s">
        <v>2920</v>
      </c>
      <c r="J221" t="s">
        <v>3148</v>
      </c>
      <c r="K221">
        <v>11233</v>
      </c>
      <c r="L221" t="s">
        <v>3185</v>
      </c>
      <c r="M221" t="s">
        <v>3189</v>
      </c>
      <c r="N221" t="s">
        <v>3186</v>
      </c>
      <c r="O221" t="s">
        <v>3272</v>
      </c>
      <c r="P221" t="s">
        <v>3610</v>
      </c>
      <c r="Q221" t="s">
        <v>3638</v>
      </c>
      <c r="S221" t="s">
        <v>206</v>
      </c>
      <c r="T221" t="s">
        <v>3660</v>
      </c>
      <c r="U221" t="s">
        <v>3184</v>
      </c>
      <c r="W221" t="s">
        <v>3670</v>
      </c>
      <c r="Y221">
        <v>2100</v>
      </c>
      <c r="Z221" t="s">
        <v>3691</v>
      </c>
      <c r="AA221" t="s">
        <v>3632</v>
      </c>
      <c r="AC221" t="s">
        <v>3920</v>
      </c>
      <c r="AD221">
        <v>6659617</v>
      </c>
      <c r="AE221" t="s">
        <v>5050</v>
      </c>
      <c r="AF221">
        <v>287</v>
      </c>
      <c r="AG221" t="s">
        <v>5813</v>
      </c>
      <c r="AH221" t="s">
        <v>5827</v>
      </c>
      <c r="AI221">
        <v>3</v>
      </c>
      <c r="AJ221">
        <v>1</v>
      </c>
      <c r="AK221">
        <v>0</v>
      </c>
      <c r="AL221">
        <v>98.8</v>
      </c>
      <c r="AO221" t="s">
        <v>5843</v>
      </c>
      <c r="AP221">
        <v>12340</v>
      </c>
      <c r="AV221">
        <v>6.5</v>
      </c>
      <c r="AW221" t="s">
        <v>207</v>
      </c>
      <c r="AX221" t="s">
        <v>6012</v>
      </c>
    </row>
    <row r="222" spans="1:50">
      <c r="A222" s="1">
        <f>HYPERLINK("https://lsnyc.legalserver.org/matter/dynamic-profile/view/1907496","19-1907496")</f>
        <v>0</v>
      </c>
      <c r="B222" t="s">
        <v>89</v>
      </c>
      <c r="C222" t="s">
        <v>191</v>
      </c>
      <c r="D222" t="s">
        <v>234</v>
      </c>
      <c r="F222" t="s">
        <v>614</v>
      </c>
      <c r="G222" t="s">
        <v>1356</v>
      </c>
      <c r="H222" t="s">
        <v>2113</v>
      </c>
      <c r="I222" t="s">
        <v>2817</v>
      </c>
      <c r="J222" t="s">
        <v>3148</v>
      </c>
      <c r="K222">
        <v>11212</v>
      </c>
      <c r="L222" t="s">
        <v>3185</v>
      </c>
      <c r="M222" t="s">
        <v>3189</v>
      </c>
      <c r="N222" t="s">
        <v>3186</v>
      </c>
      <c r="O222" t="s">
        <v>3273</v>
      </c>
      <c r="P222" t="s">
        <v>3610</v>
      </c>
      <c r="Q222" t="s">
        <v>3638</v>
      </c>
      <c r="S222" t="s">
        <v>211</v>
      </c>
      <c r="T222" t="s">
        <v>3660</v>
      </c>
      <c r="U222" t="s">
        <v>3184</v>
      </c>
      <c r="W222" t="s">
        <v>3670</v>
      </c>
      <c r="Y222">
        <v>800.29</v>
      </c>
      <c r="Z222" t="s">
        <v>3691</v>
      </c>
      <c r="AA222" t="s">
        <v>3696</v>
      </c>
      <c r="AC222" t="s">
        <v>3921</v>
      </c>
      <c r="AE222" t="s">
        <v>5051</v>
      </c>
      <c r="AF222">
        <v>48</v>
      </c>
      <c r="AG222" t="s">
        <v>5813</v>
      </c>
      <c r="AH222" t="s">
        <v>3188</v>
      </c>
      <c r="AI222">
        <v>47</v>
      </c>
      <c r="AJ222">
        <v>1</v>
      </c>
      <c r="AK222">
        <v>0</v>
      </c>
      <c r="AL222">
        <v>184.15</v>
      </c>
      <c r="AO222" t="s">
        <v>5843</v>
      </c>
      <c r="AP222">
        <v>23000</v>
      </c>
      <c r="AV222">
        <v>2.5</v>
      </c>
      <c r="AW222" t="s">
        <v>222</v>
      </c>
      <c r="AX222" t="s">
        <v>82</v>
      </c>
    </row>
    <row r="223" spans="1:50">
      <c r="A223" s="1">
        <f>HYPERLINK("https://lsnyc.legalserver.org/matter/dynamic-profile/view/1903611","19-1903611")</f>
        <v>0</v>
      </c>
      <c r="B223" t="s">
        <v>90</v>
      </c>
      <c r="C223" t="s">
        <v>192</v>
      </c>
      <c r="D223" t="s">
        <v>195</v>
      </c>
      <c r="E223" t="s">
        <v>195</v>
      </c>
      <c r="F223" t="s">
        <v>615</v>
      </c>
      <c r="G223" t="s">
        <v>1357</v>
      </c>
      <c r="H223" t="s">
        <v>2114</v>
      </c>
      <c r="J223" t="s">
        <v>3147</v>
      </c>
      <c r="K223">
        <v>10453</v>
      </c>
      <c r="L223" t="s">
        <v>3186</v>
      </c>
      <c r="N223" t="s">
        <v>3186</v>
      </c>
      <c r="P223" t="s">
        <v>3612</v>
      </c>
      <c r="Q223" t="s">
        <v>3634</v>
      </c>
      <c r="R223" t="s">
        <v>3642</v>
      </c>
      <c r="T223" t="s">
        <v>3660</v>
      </c>
      <c r="W223" t="s">
        <v>3670</v>
      </c>
      <c r="Y223">
        <v>0</v>
      </c>
      <c r="Z223" t="s">
        <v>3690</v>
      </c>
      <c r="AA223" t="s">
        <v>3697</v>
      </c>
      <c r="AB223" t="s">
        <v>3712</v>
      </c>
      <c r="AC223" t="s">
        <v>3922</v>
      </c>
      <c r="AE223" t="s">
        <v>5052</v>
      </c>
      <c r="AF223">
        <v>49</v>
      </c>
      <c r="AI223">
        <v>6</v>
      </c>
      <c r="AJ223">
        <v>2</v>
      </c>
      <c r="AK223">
        <v>0</v>
      </c>
      <c r="AL223">
        <v>77.20999999999999</v>
      </c>
      <c r="AO223" t="s">
        <v>5843</v>
      </c>
      <c r="AP223">
        <v>13056</v>
      </c>
      <c r="AV223">
        <v>0.5</v>
      </c>
      <c r="AW223" t="s">
        <v>195</v>
      </c>
      <c r="AX223" t="s">
        <v>90</v>
      </c>
    </row>
    <row r="224" spans="1:50">
      <c r="A224" s="1">
        <f>HYPERLINK("https://lsnyc.legalserver.org/matter/dynamic-profile/view/1903610","19-1903610")</f>
        <v>0</v>
      </c>
      <c r="B224" t="s">
        <v>90</v>
      </c>
      <c r="C224" t="s">
        <v>192</v>
      </c>
      <c r="D224" t="s">
        <v>195</v>
      </c>
      <c r="E224" t="s">
        <v>195</v>
      </c>
      <c r="F224" t="s">
        <v>616</v>
      </c>
      <c r="G224" t="s">
        <v>1358</v>
      </c>
      <c r="H224" t="s">
        <v>2115</v>
      </c>
      <c r="J224" t="s">
        <v>3147</v>
      </c>
      <c r="K224">
        <v>10452</v>
      </c>
      <c r="L224" t="s">
        <v>3186</v>
      </c>
      <c r="N224" t="s">
        <v>3186</v>
      </c>
      <c r="P224" t="s">
        <v>3257</v>
      </c>
      <c r="Q224" t="s">
        <v>3634</v>
      </c>
      <c r="R224" t="s">
        <v>3642</v>
      </c>
      <c r="T224" t="s">
        <v>3660</v>
      </c>
      <c r="U224" t="s">
        <v>3184</v>
      </c>
      <c r="W224" t="s">
        <v>3670</v>
      </c>
      <c r="Y224">
        <v>1764.15</v>
      </c>
      <c r="Z224" t="s">
        <v>3690</v>
      </c>
      <c r="AA224" t="s">
        <v>3632</v>
      </c>
      <c r="AB224" t="s">
        <v>3712</v>
      </c>
      <c r="AC224" t="s">
        <v>3923</v>
      </c>
      <c r="AE224" t="s">
        <v>5053</v>
      </c>
      <c r="AF224">
        <v>58</v>
      </c>
      <c r="AI224">
        <v>3</v>
      </c>
      <c r="AJ224">
        <v>2</v>
      </c>
      <c r="AK224">
        <v>2</v>
      </c>
      <c r="AL224">
        <v>116.5</v>
      </c>
      <c r="AO224" t="s">
        <v>5844</v>
      </c>
      <c r="AP224">
        <v>30000</v>
      </c>
      <c r="AV224">
        <v>0.5</v>
      </c>
      <c r="AW224" t="s">
        <v>195</v>
      </c>
      <c r="AX224" t="s">
        <v>90</v>
      </c>
    </row>
    <row r="225" spans="1:50">
      <c r="A225" s="1">
        <f>HYPERLINK("https://lsnyc.legalserver.org/matter/dynamic-profile/view/1900046","19-1900046")</f>
        <v>0</v>
      </c>
      <c r="B225" t="s">
        <v>90</v>
      </c>
      <c r="C225" t="s">
        <v>192</v>
      </c>
      <c r="D225" t="s">
        <v>195</v>
      </c>
      <c r="E225" t="s">
        <v>195</v>
      </c>
      <c r="F225" t="s">
        <v>617</v>
      </c>
      <c r="G225" t="s">
        <v>1359</v>
      </c>
      <c r="H225" t="s">
        <v>2116</v>
      </c>
      <c r="I225" t="s">
        <v>2921</v>
      </c>
      <c r="J225" t="s">
        <v>3147</v>
      </c>
      <c r="K225">
        <v>10456</v>
      </c>
      <c r="L225" t="s">
        <v>3186</v>
      </c>
      <c r="N225" t="s">
        <v>3186</v>
      </c>
      <c r="P225" t="s">
        <v>3613</v>
      </c>
      <c r="Q225" t="s">
        <v>3634</v>
      </c>
      <c r="R225" t="s">
        <v>3642</v>
      </c>
      <c r="T225" t="s">
        <v>3660</v>
      </c>
      <c r="W225" t="s">
        <v>3670</v>
      </c>
      <c r="Y225">
        <v>497</v>
      </c>
      <c r="Z225" t="s">
        <v>3690</v>
      </c>
      <c r="AA225" t="s">
        <v>3700</v>
      </c>
      <c r="AB225" t="s">
        <v>3712</v>
      </c>
      <c r="AC225" t="s">
        <v>3924</v>
      </c>
      <c r="AE225" t="s">
        <v>5054</v>
      </c>
      <c r="AF225">
        <v>0</v>
      </c>
      <c r="AG225" t="s">
        <v>5813</v>
      </c>
      <c r="AH225" t="s">
        <v>3188</v>
      </c>
      <c r="AI225">
        <v>6</v>
      </c>
      <c r="AJ225">
        <v>3</v>
      </c>
      <c r="AK225">
        <v>0</v>
      </c>
      <c r="AL225">
        <v>117.21</v>
      </c>
      <c r="AO225" t="s">
        <v>5850</v>
      </c>
      <c r="AP225">
        <v>25000</v>
      </c>
      <c r="AV225">
        <v>0.5</v>
      </c>
      <c r="AW225" t="s">
        <v>195</v>
      </c>
      <c r="AX225" t="s">
        <v>90</v>
      </c>
    </row>
    <row r="226" spans="1:50">
      <c r="A226" s="1">
        <f>HYPERLINK("https://lsnyc.legalserver.org/matter/dynamic-profile/view/1908353","19-1908353")</f>
        <v>0</v>
      </c>
      <c r="B226" t="s">
        <v>91</v>
      </c>
      <c r="C226" t="s">
        <v>191</v>
      </c>
      <c r="D226" t="s">
        <v>262</v>
      </c>
      <c r="F226" t="s">
        <v>618</v>
      </c>
      <c r="G226" t="s">
        <v>1360</v>
      </c>
      <c r="H226" t="s">
        <v>2117</v>
      </c>
      <c r="I226" t="s">
        <v>2922</v>
      </c>
      <c r="J226" t="s">
        <v>3146</v>
      </c>
      <c r="K226">
        <v>10029</v>
      </c>
      <c r="L226" t="s">
        <v>3185</v>
      </c>
      <c r="M226" t="s">
        <v>3189</v>
      </c>
      <c r="N226" t="s">
        <v>3186</v>
      </c>
      <c r="P226" t="s">
        <v>3257</v>
      </c>
      <c r="Q226" t="s">
        <v>3636</v>
      </c>
      <c r="S226" t="s">
        <v>229</v>
      </c>
      <c r="T226" t="s">
        <v>3660</v>
      </c>
      <c r="U226" t="s">
        <v>3184</v>
      </c>
      <c r="W226" t="s">
        <v>3670</v>
      </c>
      <c r="X226" t="s">
        <v>3681</v>
      </c>
      <c r="Y226">
        <v>4169</v>
      </c>
      <c r="Z226" t="s">
        <v>3689</v>
      </c>
      <c r="AA226" t="s">
        <v>3696</v>
      </c>
      <c r="AC226" t="s">
        <v>3925</v>
      </c>
      <c r="AD226">
        <v>43832149</v>
      </c>
      <c r="AE226" t="s">
        <v>5055</v>
      </c>
      <c r="AF226">
        <v>323</v>
      </c>
      <c r="AG226" t="s">
        <v>3263</v>
      </c>
      <c r="AH226" t="s">
        <v>5827</v>
      </c>
      <c r="AI226">
        <v>36</v>
      </c>
      <c r="AJ226">
        <v>3</v>
      </c>
      <c r="AK226">
        <v>1</v>
      </c>
      <c r="AL226">
        <v>102.9</v>
      </c>
      <c r="AO226" t="s">
        <v>5843</v>
      </c>
      <c r="AP226">
        <v>26496</v>
      </c>
      <c r="AV226">
        <v>0.1</v>
      </c>
      <c r="AW226" t="s">
        <v>225</v>
      </c>
      <c r="AX226" t="s">
        <v>6007</v>
      </c>
    </row>
    <row r="227" spans="1:50">
      <c r="A227" s="1">
        <f>HYPERLINK("https://lsnyc.legalserver.org/matter/dynamic-profile/view/1909123","19-1909123")</f>
        <v>0</v>
      </c>
      <c r="B227" t="s">
        <v>91</v>
      </c>
      <c r="C227" t="s">
        <v>191</v>
      </c>
      <c r="D227" t="s">
        <v>228</v>
      </c>
      <c r="F227" t="s">
        <v>619</v>
      </c>
      <c r="G227" t="s">
        <v>1361</v>
      </c>
      <c r="H227" t="s">
        <v>2015</v>
      </c>
      <c r="I227" t="s">
        <v>2896</v>
      </c>
      <c r="J227" t="s">
        <v>3146</v>
      </c>
      <c r="K227">
        <v>10035</v>
      </c>
      <c r="L227" t="s">
        <v>3185</v>
      </c>
      <c r="M227" t="s">
        <v>3189</v>
      </c>
      <c r="N227" t="s">
        <v>3186</v>
      </c>
      <c r="P227" t="s">
        <v>3612</v>
      </c>
      <c r="Q227" t="s">
        <v>3637</v>
      </c>
      <c r="S227" t="s">
        <v>282</v>
      </c>
      <c r="T227" t="s">
        <v>3660</v>
      </c>
      <c r="U227" t="s">
        <v>3185</v>
      </c>
      <c r="W227" t="s">
        <v>3670</v>
      </c>
      <c r="X227" t="s">
        <v>3687</v>
      </c>
      <c r="Y227">
        <v>1893</v>
      </c>
      <c r="Z227" t="s">
        <v>3689</v>
      </c>
      <c r="AA227" t="s">
        <v>3707</v>
      </c>
      <c r="AC227" t="s">
        <v>3926</v>
      </c>
      <c r="AE227" t="s">
        <v>5056</v>
      </c>
      <c r="AF227">
        <v>72</v>
      </c>
      <c r="AG227" t="s">
        <v>5813</v>
      </c>
      <c r="AH227" t="s">
        <v>5827</v>
      </c>
      <c r="AI227">
        <v>33</v>
      </c>
      <c r="AJ227">
        <v>3</v>
      </c>
      <c r="AK227">
        <v>1</v>
      </c>
      <c r="AL227">
        <v>229.13</v>
      </c>
      <c r="AO227" t="s">
        <v>5843</v>
      </c>
      <c r="AP227">
        <v>59000</v>
      </c>
      <c r="AV227">
        <v>0</v>
      </c>
      <c r="AX227" t="s">
        <v>6007</v>
      </c>
    </row>
    <row r="228" spans="1:50">
      <c r="A228" s="1">
        <f>HYPERLINK("https://lsnyc.legalserver.org/matter/dynamic-profile/view/1909127","19-1909127")</f>
        <v>0</v>
      </c>
      <c r="B228" t="s">
        <v>91</v>
      </c>
      <c r="C228" t="s">
        <v>191</v>
      </c>
      <c r="D228" t="s">
        <v>228</v>
      </c>
      <c r="F228" t="s">
        <v>605</v>
      </c>
      <c r="G228" t="s">
        <v>1362</v>
      </c>
      <c r="H228" t="s">
        <v>2015</v>
      </c>
      <c r="I228" t="s">
        <v>2827</v>
      </c>
      <c r="J228" t="s">
        <v>3146</v>
      </c>
      <c r="K228">
        <v>10035</v>
      </c>
      <c r="L228" t="s">
        <v>3185</v>
      </c>
      <c r="M228" t="s">
        <v>3189</v>
      </c>
      <c r="N228" t="s">
        <v>3186</v>
      </c>
      <c r="P228" t="s">
        <v>3613</v>
      </c>
      <c r="Q228" t="s">
        <v>3637</v>
      </c>
      <c r="S228" t="s">
        <v>282</v>
      </c>
      <c r="T228" t="s">
        <v>3660</v>
      </c>
      <c r="U228" t="s">
        <v>3185</v>
      </c>
      <c r="W228" t="s">
        <v>3670</v>
      </c>
      <c r="X228" t="s">
        <v>3681</v>
      </c>
      <c r="Y228">
        <v>2150</v>
      </c>
      <c r="Z228" t="s">
        <v>3689</v>
      </c>
      <c r="AA228" t="s">
        <v>3707</v>
      </c>
      <c r="AC228" t="s">
        <v>3927</v>
      </c>
      <c r="AE228" t="s">
        <v>5057</v>
      </c>
      <c r="AF228">
        <v>72</v>
      </c>
      <c r="AG228" t="s">
        <v>5813</v>
      </c>
      <c r="AH228" t="s">
        <v>3188</v>
      </c>
      <c r="AI228">
        <v>1</v>
      </c>
      <c r="AJ228">
        <v>2</v>
      </c>
      <c r="AK228">
        <v>0</v>
      </c>
      <c r="AL228">
        <v>413.96</v>
      </c>
      <c r="AO228" t="s">
        <v>5843</v>
      </c>
      <c r="AP228">
        <v>70000</v>
      </c>
      <c r="AV228">
        <v>1.5</v>
      </c>
      <c r="AW228" t="s">
        <v>228</v>
      </c>
      <c r="AX228" t="s">
        <v>6007</v>
      </c>
    </row>
    <row r="229" spans="1:50">
      <c r="A229" s="1">
        <f>HYPERLINK("https://lsnyc.legalserver.org/matter/dynamic-profile/view/1906910","19-1906910")</f>
        <v>0</v>
      </c>
      <c r="B229" t="s">
        <v>91</v>
      </c>
      <c r="C229" t="s">
        <v>191</v>
      </c>
      <c r="D229" t="s">
        <v>226</v>
      </c>
      <c r="F229" t="s">
        <v>478</v>
      </c>
      <c r="G229" t="s">
        <v>1363</v>
      </c>
      <c r="H229" t="s">
        <v>2118</v>
      </c>
      <c r="I229" t="s">
        <v>2905</v>
      </c>
      <c r="J229" t="s">
        <v>3146</v>
      </c>
      <c r="K229">
        <v>10035</v>
      </c>
      <c r="L229" t="s">
        <v>3185</v>
      </c>
      <c r="M229" t="s">
        <v>3189</v>
      </c>
      <c r="N229" t="s">
        <v>3186</v>
      </c>
      <c r="P229" t="s">
        <v>3617</v>
      </c>
      <c r="Q229" t="s">
        <v>3639</v>
      </c>
      <c r="S229" t="s">
        <v>226</v>
      </c>
      <c r="T229" t="s">
        <v>3660</v>
      </c>
      <c r="U229" t="s">
        <v>3184</v>
      </c>
      <c r="W229" t="s">
        <v>3670</v>
      </c>
      <c r="X229" t="s">
        <v>3683</v>
      </c>
      <c r="Y229">
        <v>645</v>
      </c>
      <c r="Z229" t="s">
        <v>3689</v>
      </c>
      <c r="AA229" t="s">
        <v>3696</v>
      </c>
      <c r="AC229" t="s">
        <v>3928</v>
      </c>
      <c r="AF229">
        <v>8</v>
      </c>
      <c r="AG229" t="s">
        <v>5813</v>
      </c>
      <c r="AH229" t="s">
        <v>5827</v>
      </c>
      <c r="AI229">
        <v>20</v>
      </c>
      <c r="AJ229">
        <v>1</v>
      </c>
      <c r="AK229">
        <v>2</v>
      </c>
      <c r="AL229">
        <v>14.91</v>
      </c>
      <c r="AO229" t="s">
        <v>5844</v>
      </c>
      <c r="AP229">
        <v>3180</v>
      </c>
      <c r="AV229">
        <v>15.1</v>
      </c>
      <c r="AW229" t="s">
        <v>243</v>
      </c>
      <c r="AX229" t="s">
        <v>6007</v>
      </c>
    </row>
    <row r="230" spans="1:50">
      <c r="A230" s="1">
        <f>HYPERLINK("https://lsnyc.legalserver.org/matter/dynamic-profile/view/1908586","19-1908586")</f>
        <v>0</v>
      </c>
      <c r="B230" t="s">
        <v>91</v>
      </c>
      <c r="C230" t="s">
        <v>191</v>
      </c>
      <c r="D230" t="s">
        <v>231</v>
      </c>
      <c r="F230" t="s">
        <v>620</v>
      </c>
      <c r="G230" t="s">
        <v>1364</v>
      </c>
      <c r="H230" t="s">
        <v>2015</v>
      </c>
      <c r="I230" t="s">
        <v>2834</v>
      </c>
      <c r="J230" t="s">
        <v>3146</v>
      </c>
      <c r="K230">
        <v>10035</v>
      </c>
      <c r="L230" t="s">
        <v>3185</v>
      </c>
      <c r="M230" t="s">
        <v>3189</v>
      </c>
      <c r="N230" t="s">
        <v>3186</v>
      </c>
      <c r="O230" t="s">
        <v>3274</v>
      </c>
      <c r="P230" t="s">
        <v>3610</v>
      </c>
      <c r="Q230" t="s">
        <v>3638</v>
      </c>
      <c r="S230" t="s">
        <v>226</v>
      </c>
      <c r="T230" t="s">
        <v>3660</v>
      </c>
      <c r="U230" t="s">
        <v>3185</v>
      </c>
      <c r="W230" t="s">
        <v>3670</v>
      </c>
      <c r="X230" t="s">
        <v>3681</v>
      </c>
      <c r="Y230">
        <v>1630.81</v>
      </c>
      <c r="Z230" t="s">
        <v>3689</v>
      </c>
      <c r="AA230" t="s">
        <v>3704</v>
      </c>
      <c r="AC230" t="s">
        <v>3929</v>
      </c>
      <c r="AE230" t="s">
        <v>5058</v>
      </c>
      <c r="AF230">
        <v>72</v>
      </c>
      <c r="AG230" t="s">
        <v>5813</v>
      </c>
      <c r="AH230" t="s">
        <v>5827</v>
      </c>
      <c r="AI230">
        <v>19</v>
      </c>
      <c r="AJ230">
        <v>2</v>
      </c>
      <c r="AK230">
        <v>2</v>
      </c>
      <c r="AL230">
        <v>73.70999999999999</v>
      </c>
      <c r="AO230" t="s">
        <v>5843</v>
      </c>
      <c r="AP230">
        <v>18980</v>
      </c>
      <c r="AV230">
        <v>0</v>
      </c>
      <c r="AX230" t="s">
        <v>6007</v>
      </c>
    </row>
    <row r="231" spans="1:50">
      <c r="A231" s="1">
        <f>HYPERLINK("https://lsnyc.legalserver.org/matter/dynamic-profile/view/1908585","19-1908585")</f>
        <v>0</v>
      </c>
      <c r="B231" t="s">
        <v>91</v>
      </c>
      <c r="C231" t="s">
        <v>191</v>
      </c>
      <c r="D231" t="s">
        <v>231</v>
      </c>
      <c r="F231" t="s">
        <v>621</v>
      </c>
      <c r="G231" t="s">
        <v>1365</v>
      </c>
      <c r="H231" t="s">
        <v>2119</v>
      </c>
      <c r="I231" t="s">
        <v>2909</v>
      </c>
      <c r="J231" t="s">
        <v>3146</v>
      </c>
      <c r="K231">
        <v>10035</v>
      </c>
      <c r="L231" t="s">
        <v>3185</v>
      </c>
      <c r="M231" t="s">
        <v>3189</v>
      </c>
      <c r="N231" t="s">
        <v>3186</v>
      </c>
      <c r="P231" t="s">
        <v>3257</v>
      </c>
      <c r="Q231" t="s">
        <v>3634</v>
      </c>
      <c r="S231" t="s">
        <v>268</v>
      </c>
      <c r="T231" t="s">
        <v>3660</v>
      </c>
      <c r="U231" t="s">
        <v>3184</v>
      </c>
      <c r="W231" t="s">
        <v>3670</v>
      </c>
      <c r="X231" t="s">
        <v>3681</v>
      </c>
      <c r="Y231">
        <v>354</v>
      </c>
      <c r="Z231" t="s">
        <v>3689</v>
      </c>
      <c r="AA231" t="s">
        <v>3704</v>
      </c>
      <c r="AC231" t="s">
        <v>3930</v>
      </c>
      <c r="AE231" t="s">
        <v>5059</v>
      </c>
      <c r="AF231">
        <v>24</v>
      </c>
      <c r="AG231" t="s">
        <v>3263</v>
      </c>
      <c r="AH231" t="s">
        <v>3188</v>
      </c>
      <c r="AI231">
        <v>33</v>
      </c>
      <c r="AJ231">
        <v>1</v>
      </c>
      <c r="AK231">
        <v>0</v>
      </c>
      <c r="AL231">
        <v>73.79000000000001</v>
      </c>
      <c r="AO231" t="s">
        <v>5844</v>
      </c>
      <c r="AP231">
        <v>9216</v>
      </c>
      <c r="AV231">
        <v>1</v>
      </c>
      <c r="AW231" t="s">
        <v>286</v>
      </c>
      <c r="AX231" t="s">
        <v>6007</v>
      </c>
    </row>
    <row r="232" spans="1:50">
      <c r="A232" s="1">
        <f>HYPERLINK("https://lsnyc.legalserver.org/matter/dynamic-profile/view/1907870","19-1907870")</f>
        <v>0</v>
      </c>
      <c r="B232" t="s">
        <v>91</v>
      </c>
      <c r="C232" t="s">
        <v>191</v>
      </c>
      <c r="D232" t="s">
        <v>268</v>
      </c>
      <c r="F232" t="s">
        <v>622</v>
      </c>
      <c r="G232" t="s">
        <v>1366</v>
      </c>
      <c r="H232" t="s">
        <v>2120</v>
      </c>
      <c r="I232" t="s">
        <v>2829</v>
      </c>
      <c r="J232" t="s">
        <v>3146</v>
      </c>
      <c r="K232">
        <v>10035</v>
      </c>
      <c r="L232" t="s">
        <v>3185</v>
      </c>
      <c r="M232" t="s">
        <v>3189</v>
      </c>
      <c r="N232" t="s">
        <v>3186</v>
      </c>
      <c r="P232" t="s">
        <v>3257</v>
      </c>
      <c r="Q232" t="s">
        <v>3636</v>
      </c>
      <c r="S232" t="s">
        <v>268</v>
      </c>
      <c r="T232" t="s">
        <v>3660</v>
      </c>
      <c r="U232" t="s">
        <v>3184</v>
      </c>
      <c r="W232" t="s">
        <v>3670</v>
      </c>
      <c r="X232" t="s">
        <v>3681</v>
      </c>
      <c r="Y232">
        <v>1530</v>
      </c>
      <c r="Z232" t="s">
        <v>3689</v>
      </c>
      <c r="AA232" t="s">
        <v>3632</v>
      </c>
      <c r="AC232" t="s">
        <v>3931</v>
      </c>
      <c r="AE232" t="s">
        <v>5060</v>
      </c>
      <c r="AF232">
        <v>16</v>
      </c>
      <c r="AG232" t="s">
        <v>5813</v>
      </c>
      <c r="AH232" t="s">
        <v>3188</v>
      </c>
      <c r="AI232">
        <v>4</v>
      </c>
      <c r="AJ232">
        <v>1</v>
      </c>
      <c r="AK232">
        <v>1</v>
      </c>
      <c r="AL232">
        <v>130.1</v>
      </c>
      <c r="AO232" t="s">
        <v>5843</v>
      </c>
      <c r="AP232">
        <v>22000</v>
      </c>
      <c r="AV232">
        <v>0</v>
      </c>
      <c r="AX232" t="s">
        <v>6007</v>
      </c>
    </row>
    <row r="233" spans="1:50">
      <c r="A233" s="1">
        <f>HYPERLINK("https://lsnyc.legalserver.org/matter/dynamic-profile/view/1908410","19-1908410")</f>
        <v>0</v>
      </c>
      <c r="B233" t="s">
        <v>91</v>
      </c>
      <c r="C233" t="s">
        <v>191</v>
      </c>
      <c r="D233" t="s">
        <v>262</v>
      </c>
      <c r="F233" t="s">
        <v>623</v>
      </c>
      <c r="G233" t="s">
        <v>1207</v>
      </c>
      <c r="H233" t="s">
        <v>2015</v>
      </c>
      <c r="I233" t="s">
        <v>2923</v>
      </c>
      <c r="J233" t="s">
        <v>3146</v>
      </c>
      <c r="K233">
        <v>10035</v>
      </c>
      <c r="L233" t="s">
        <v>3185</v>
      </c>
      <c r="M233" t="s">
        <v>3189</v>
      </c>
      <c r="N233" t="s">
        <v>3186</v>
      </c>
      <c r="P233" t="s">
        <v>3257</v>
      </c>
      <c r="Q233" t="s">
        <v>3636</v>
      </c>
      <c r="S233" t="s">
        <v>268</v>
      </c>
      <c r="T233" t="s">
        <v>3660</v>
      </c>
      <c r="U233" t="s">
        <v>3185</v>
      </c>
      <c r="W233" t="s">
        <v>3670</v>
      </c>
      <c r="X233" t="s">
        <v>3681</v>
      </c>
      <c r="Y233">
        <v>2487</v>
      </c>
      <c r="Z233" t="s">
        <v>3689</v>
      </c>
      <c r="AA233" t="s">
        <v>3704</v>
      </c>
      <c r="AC233" t="s">
        <v>3932</v>
      </c>
      <c r="AE233" t="s">
        <v>5061</v>
      </c>
      <c r="AF233">
        <v>72</v>
      </c>
      <c r="AG233" t="s">
        <v>5813</v>
      </c>
      <c r="AH233" t="s">
        <v>3188</v>
      </c>
      <c r="AI233">
        <v>11</v>
      </c>
      <c r="AJ233">
        <v>1</v>
      </c>
      <c r="AK233">
        <v>0</v>
      </c>
      <c r="AL233">
        <v>360.29</v>
      </c>
      <c r="AO233" t="s">
        <v>5843</v>
      </c>
      <c r="AP233">
        <v>45000</v>
      </c>
      <c r="AV233">
        <v>0</v>
      </c>
      <c r="AX233" t="s">
        <v>6007</v>
      </c>
    </row>
    <row r="234" spans="1:50">
      <c r="A234" s="1">
        <f>HYPERLINK("https://lsnyc.legalserver.org/matter/dynamic-profile/view/1908412","19-1908412")</f>
        <v>0</v>
      </c>
      <c r="B234" t="s">
        <v>91</v>
      </c>
      <c r="C234" t="s">
        <v>191</v>
      </c>
      <c r="D234" t="s">
        <v>262</v>
      </c>
      <c r="F234" t="s">
        <v>624</v>
      </c>
      <c r="G234" t="s">
        <v>1367</v>
      </c>
      <c r="H234" t="s">
        <v>2015</v>
      </c>
      <c r="I234" t="s">
        <v>2924</v>
      </c>
      <c r="J234" t="s">
        <v>3146</v>
      </c>
      <c r="K234">
        <v>10035</v>
      </c>
      <c r="L234" t="s">
        <v>3185</v>
      </c>
      <c r="M234" t="s">
        <v>3189</v>
      </c>
      <c r="N234" t="s">
        <v>3186</v>
      </c>
      <c r="P234" t="s">
        <v>3257</v>
      </c>
      <c r="Q234" t="s">
        <v>3636</v>
      </c>
      <c r="S234" t="s">
        <v>268</v>
      </c>
      <c r="T234" t="s">
        <v>3660</v>
      </c>
      <c r="U234" t="s">
        <v>3185</v>
      </c>
      <c r="W234" t="s">
        <v>3670</v>
      </c>
      <c r="X234" t="s">
        <v>3681</v>
      </c>
      <c r="Y234">
        <v>1510</v>
      </c>
      <c r="Z234" t="s">
        <v>3689</v>
      </c>
      <c r="AA234" t="s">
        <v>3704</v>
      </c>
      <c r="AC234" t="s">
        <v>3933</v>
      </c>
      <c r="AE234" t="s">
        <v>5062</v>
      </c>
      <c r="AF234">
        <v>72</v>
      </c>
      <c r="AG234" t="s">
        <v>5813</v>
      </c>
      <c r="AH234" t="s">
        <v>3188</v>
      </c>
      <c r="AI234">
        <v>6</v>
      </c>
      <c r="AJ234">
        <v>1</v>
      </c>
      <c r="AK234">
        <v>0</v>
      </c>
      <c r="AL234">
        <v>800.64</v>
      </c>
      <c r="AO234" t="s">
        <v>5843</v>
      </c>
      <c r="AP234">
        <v>100000</v>
      </c>
      <c r="AV234">
        <v>0</v>
      </c>
      <c r="AX234" t="s">
        <v>6007</v>
      </c>
    </row>
    <row r="235" spans="1:50">
      <c r="A235" s="1">
        <f>HYPERLINK("https://lsnyc.legalserver.org/matter/dynamic-profile/view/1908462","19-1908462")</f>
        <v>0</v>
      </c>
      <c r="B235" t="s">
        <v>91</v>
      </c>
      <c r="C235" t="s">
        <v>191</v>
      </c>
      <c r="D235" t="s">
        <v>216</v>
      </c>
      <c r="F235" t="s">
        <v>625</v>
      </c>
      <c r="G235" t="s">
        <v>1368</v>
      </c>
      <c r="H235" t="s">
        <v>2015</v>
      </c>
      <c r="I235" t="s">
        <v>2925</v>
      </c>
      <c r="J235" t="s">
        <v>3146</v>
      </c>
      <c r="K235">
        <v>10035</v>
      </c>
      <c r="L235" t="s">
        <v>3185</v>
      </c>
      <c r="M235" t="s">
        <v>3189</v>
      </c>
      <c r="N235" t="s">
        <v>3186</v>
      </c>
      <c r="P235" t="s">
        <v>3257</v>
      </c>
      <c r="Q235" t="s">
        <v>3636</v>
      </c>
      <c r="S235" t="s">
        <v>251</v>
      </c>
      <c r="T235" t="s">
        <v>3660</v>
      </c>
      <c r="U235" t="s">
        <v>3185</v>
      </c>
      <c r="W235" t="s">
        <v>3670</v>
      </c>
      <c r="X235" t="s">
        <v>3681</v>
      </c>
      <c r="Y235">
        <v>1937.63</v>
      </c>
      <c r="Z235" t="s">
        <v>3689</v>
      </c>
      <c r="AA235" t="s">
        <v>3704</v>
      </c>
      <c r="AC235" t="s">
        <v>3934</v>
      </c>
      <c r="AE235" t="s">
        <v>5063</v>
      </c>
      <c r="AF235">
        <v>72</v>
      </c>
      <c r="AG235" t="s">
        <v>5813</v>
      </c>
      <c r="AH235" t="s">
        <v>5827</v>
      </c>
      <c r="AI235">
        <v>39</v>
      </c>
      <c r="AJ235">
        <v>1</v>
      </c>
      <c r="AK235">
        <v>0</v>
      </c>
      <c r="AL235">
        <v>144.12</v>
      </c>
      <c r="AO235" t="s">
        <v>5843</v>
      </c>
      <c r="AP235">
        <v>18000</v>
      </c>
      <c r="AV235">
        <v>0</v>
      </c>
      <c r="AX235" t="s">
        <v>6007</v>
      </c>
    </row>
    <row r="236" spans="1:50">
      <c r="A236" s="1">
        <f>HYPERLINK("https://lsnyc.legalserver.org/matter/dynamic-profile/view/1908368","19-1908368")</f>
        <v>0</v>
      </c>
      <c r="B236" t="s">
        <v>91</v>
      </c>
      <c r="C236" t="s">
        <v>191</v>
      </c>
      <c r="D236" t="s">
        <v>262</v>
      </c>
      <c r="F236" t="s">
        <v>460</v>
      </c>
      <c r="G236" t="s">
        <v>1369</v>
      </c>
      <c r="H236" t="s">
        <v>2015</v>
      </c>
      <c r="I236" t="s">
        <v>2926</v>
      </c>
      <c r="J236" t="s">
        <v>3146</v>
      </c>
      <c r="K236">
        <v>10035</v>
      </c>
      <c r="L236" t="s">
        <v>3185</v>
      </c>
      <c r="M236" t="s">
        <v>3189</v>
      </c>
      <c r="N236" t="s">
        <v>3186</v>
      </c>
      <c r="P236" t="s">
        <v>3257</v>
      </c>
      <c r="Q236" t="s">
        <v>3636</v>
      </c>
      <c r="S236" t="s">
        <v>251</v>
      </c>
      <c r="T236" t="s">
        <v>3660</v>
      </c>
      <c r="U236" t="s">
        <v>3185</v>
      </c>
      <c r="W236" t="s">
        <v>3670</v>
      </c>
      <c r="X236" t="s">
        <v>3681</v>
      </c>
      <c r="Y236">
        <v>72</v>
      </c>
      <c r="Z236" t="s">
        <v>3689</v>
      </c>
      <c r="AA236" t="s">
        <v>3704</v>
      </c>
      <c r="AC236" t="s">
        <v>3935</v>
      </c>
      <c r="AE236" t="s">
        <v>5064</v>
      </c>
      <c r="AF236">
        <v>72</v>
      </c>
      <c r="AG236" t="s">
        <v>5813</v>
      </c>
      <c r="AH236" t="s">
        <v>5827</v>
      </c>
      <c r="AI236">
        <v>20</v>
      </c>
      <c r="AJ236">
        <v>1</v>
      </c>
      <c r="AK236">
        <v>0</v>
      </c>
      <c r="AL236">
        <v>416.33</v>
      </c>
      <c r="AO236" t="s">
        <v>5843</v>
      </c>
      <c r="AP236">
        <v>52000</v>
      </c>
      <c r="AV236">
        <v>0</v>
      </c>
      <c r="AX236" t="s">
        <v>6007</v>
      </c>
    </row>
    <row r="237" spans="1:50">
      <c r="A237" s="1">
        <f>HYPERLINK("https://lsnyc.legalserver.org/matter/dynamic-profile/view/1908656","19-1908656")</f>
        <v>0</v>
      </c>
      <c r="B237" t="s">
        <v>91</v>
      </c>
      <c r="C237" t="s">
        <v>191</v>
      </c>
      <c r="D237" t="s">
        <v>244</v>
      </c>
      <c r="F237" t="s">
        <v>626</v>
      </c>
      <c r="G237" t="s">
        <v>1370</v>
      </c>
      <c r="H237" t="s">
        <v>2015</v>
      </c>
      <c r="I237" t="s">
        <v>2927</v>
      </c>
      <c r="J237" t="s">
        <v>3146</v>
      </c>
      <c r="K237">
        <v>10035</v>
      </c>
      <c r="L237" t="s">
        <v>3185</v>
      </c>
      <c r="M237" t="s">
        <v>3189</v>
      </c>
      <c r="N237" t="s">
        <v>3186</v>
      </c>
      <c r="P237" t="s">
        <v>3612</v>
      </c>
      <c r="Q237" t="s">
        <v>3637</v>
      </c>
      <c r="S237" t="s">
        <v>244</v>
      </c>
      <c r="T237" t="s">
        <v>3660</v>
      </c>
      <c r="U237" t="s">
        <v>3185</v>
      </c>
      <c r="W237" t="s">
        <v>3670</v>
      </c>
      <c r="X237" t="s">
        <v>3681</v>
      </c>
      <c r="Y237">
        <v>1883.38</v>
      </c>
      <c r="Z237" t="s">
        <v>3689</v>
      </c>
      <c r="AA237" t="s">
        <v>3704</v>
      </c>
      <c r="AC237" t="s">
        <v>3936</v>
      </c>
      <c r="AE237" t="s">
        <v>5065</v>
      </c>
      <c r="AF237">
        <v>72</v>
      </c>
      <c r="AG237" t="s">
        <v>5813</v>
      </c>
      <c r="AH237" t="s">
        <v>5827</v>
      </c>
      <c r="AI237">
        <v>36</v>
      </c>
      <c r="AJ237">
        <v>1</v>
      </c>
      <c r="AK237">
        <v>0</v>
      </c>
      <c r="AL237">
        <v>92.52</v>
      </c>
      <c r="AO237" t="s">
        <v>5843</v>
      </c>
      <c r="AP237">
        <v>11556</v>
      </c>
      <c r="AV237">
        <v>6.5</v>
      </c>
      <c r="AW237" t="s">
        <v>268</v>
      </c>
      <c r="AX237" t="s">
        <v>6007</v>
      </c>
    </row>
    <row r="238" spans="1:50">
      <c r="A238" s="1">
        <f>HYPERLINK("https://lsnyc.legalserver.org/matter/dynamic-profile/view/1908662","19-1908662")</f>
        <v>0</v>
      </c>
      <c r="B238" t="s">
        <v>91</v>
      </c>
      <c r="C238" t="s">
        <v>191</v>
      </c>
      <c r="D238" t="s">
        <v>244</v>
      </c>
      <c r="F238" t="s">
        <v>627</v>
      </c>
      <c r="G238" t="s">
        <v>1371</v>
      </c>
      <c r="H238" t="s">
        <v>2015</v>
      </c>
      <c r="I238" t="s">
        <v>2928</v>
      </c>
      <c r="J238" t="s">
        <v>3146</v>
      </c>
      <c r="K238">
        <v>10035</v>
      </c>
      <c r="L238" t="s">
        <v>3185</v>
      </c>
      <c r="M238" t="s">
        <v>3189</v>
      </c>
      <c r="N238" t="s">
        <v>3186</v>
      </c>
      <c r="O238" t="s">
        <v>3275</v>
      </c>
      <c r="P238" t="s">
        <v>3612</v>
      </c>
      <c r="Q238" t="s">
        <v>3638</v>
      </c>
      <c r="S238" t="s">
        <v>244</v>
      </c>
      <c r="T238" t="s">
        <v>3660</v>
      </c>
      <c r="U238" t="s">
        <v>3185</v>
      </c>
      <c r="W238" t="s">
        <v>3670</v>
      </c>
      <c r="X238" t="s">
        <v>3681</v>
      </c>
      <c r="Y238">
        <v>1133.6</v>
      </c>
      <c r="Z238" t="s">
        <v>3689</v>
      </c>
      <c r="AA238" t="s">
        <v>3704</v>
      </c>
      <c r="AC238" t="s">
        <v>3937</v>
      </c>
      <c r="AE238" t="s">
        <v>5066</v>
      </c>
      <c r="AF238">
        <v>72</v>
      </c>
      <c r="AG238" t="s">
        <v>5813</v>
      </c>
      <c r="AH238" t="s">
        <v>3188</v>
      </c>
      <c r="AI238">
        <v>9</v>
      </c>
      <c r="AJ238">
        <v>2</v>
      </c>
      <c r="AK238">
        <v>0</v>
      </c>
      <c r="AL238">
        <v>141.93</v>
      </c>
      <c r="AO238" t="s">
        <v>5843</v>
      </c>
      <c r="AP238">
        <v>24000</v>
      </c>
      <c r="AV238">
        <v>0</v>
      </c>
      <c r="AX238" t="s">
        <v>6007</v>
      </c>
    </row>
    <row r="239" spans="1:50">
      <c r="A239" s="1">
        <f>HYPERLINK("https://lsnyc.legalserver.org/matter/dynamic-profile/view/1909597","19-1909597")</f>
        <v>0</v>
      </c>
      <c r="B239" t="s">
        <v>91</v>
      </c>
      <c r="C239" t="s">
        <v>191</v>
      </c>
      <c r="D239" t="s">
        <v>269</v>
      </c>
      <c r="F239" t="s">
        <v>628</v>
      </c>
      <c r="G239" t="s">
        <v>481</v>
      </c>
      <c r="H239" t="s">
        <v>2121</v>
      </c>
      <c r="I239" t="s">
        <v>2904</v>
      </c>
      <c r="J239" t="s">
        <v>3146</v>
      </c>
      <c r="K239">
        <v>10035</v>
      </c>
      <c r="L239" t="s">
        <v>3185</v>
      </c>
      <c r="M239" t="s">
        <v>3189</v>
      </c>
      <c r="N239" t="s">
        <v>3186</v>
      </c>
      <c r="P239" t="s">
        <v>3612</v>
      </c>
      <c r="Q239" t="s">
        <v>3637</v>
      </c>
      <c r="S239" t="s">
        <v>197</v>
      </c>
      <c r="T239" t="s">
        <v>3660</v>
      </c>
      <c r="U239" t="s">
        <v>3185</v>
      </c>
      <c r="W239" t="s">
        <v>3670</v>
      </c>
      <c r="X239" t="s">
        <v>3681</v>
      </c>
      <c r="Y239">
        <v>793</v>
      </c>
      <c r="Z239" t="s">
        <v>3689</v>
      </c>
      <c r="AA239" t="s">
        <v>3632</v>
      </c>
      <c r="AC239" t="s">
        <v>3938</v>
      </c>
      <c r="AE239" t="s">
        <v>5067</v>
      </c>
      <c r="AF239">
        <v>60</v>
      </c>
      <c r="AG239" t="s">
        <v>5813</v>
      </c>
      <c r="AH239" t="s">
        <v>5827</v>
      </c>
      <c r="AI239">
        <v>14</v>
      </c>
      <c r="AJ239">
        <v>2</v>
      </c>
      <c r="AK239">
        <v>1</v>
      </c>
      <c r="AL239">
        <v>164.09</v>
      </c>
      <c r="AO239" t="s">
        <v>5843</v>
      </c>
      <c r="AP239">
        <v>35000</v>
      </c>
      <c r="AV239">
        <v>0</v>
      </c>
      <c r="AX239" t="s">
        <v>6007</v>
      </c>
    </row>
    <row r="240" spans="1:50">
      <c r="A240" s="1">
        <f>HYPERLINK("https://lsnyc.legalserver.org/matter/dynamic-profile/view/1910459","19-1910459")</f>
        <v>0</v>
      </c>
      <c r="B240" t="s">
        <v>91</v>
      </c>
      <c r="C240" t="s">
        <v>191</v>
      </c>
      <c r="D240" t="s">
        <v>199</v>
      </c>
      <c r="F240" t="s">
        <v>629</v>
      </c>
      <c r="G240" t="s">
        <v>1372</v>
      </c>
      <c r="H240" t="s">
        <v>2122</v>
      </c>
      <c r="I240" t="s">
        <v>2908</v>
      </c>
      <c r="J240" t="s">
        <v>3146</v>
      </c>
      <c r="K240">
        <v>10035</v>
      </c>
      <c r="L240" t="s">
        <v>3185</v>
      </c>
      <c r="M240" t="s">
        <v>3189</v>
      </c>
      <c r="N240" t="s">
        <v>3186</v>
      </c>
      <c r="O240" t="s">
        <v>3276</v>
      </c>
      <c r="P240" t="s">
        <v>3613</v>
      </c>
      <c r="Q240" t="s">
        <v>3638</v>
      </c>
      <c r="S240" t="s">
        <v>252</v>
      </c>
      <c r="T240" t="s">
        <v>3660</v>
      </c>
      <c r="U240" t="s">
        <v>3184</v>
      </c>
      <c r="W240" t="s">
        <v>3670</v>
      </c>
      <c r="X240" t="s">
        <v>3681</v>
      </c>
      <c r="Y240">
        <v>650</v>
      </c>
      <c r="Z240" t="s">
        <v>3689</v>
      </c>
      <c r="AA240" t="s">
        <v>3696</v>
      </c>
      <c r="AC240" t="s">
        <v>3939</v>
      </c>
      <c r="AE240" t="s">
        <v>5068</v>
      </c>
      <c r="AF240">
        <v>0</v>
      </c>
      <c r="AG240" t="s">
        <v>3263</v>
      </c>
      <c r="AH240" t="s">
        <v>3188</v>
      </c>
      <c r="AI240">
        <v>22</v>
      </c>
      <c r="AJ240">
        <v>3</v>
      </c>
      <c r="AK240">
        <v>1</v>
      </c>
      <c r="AL240">
        <v>100.58</v>
      </c>
      <c r="AO240" t="s">
        <v>5843</v>
      </c>
      <c r="AP240">
        <v>25900</v>
      </c>
      <c r="AV240">
        <v>0</v>
      </c>
      <c r="AX240" t="s">
        <v>6007</v>
      </c>
    </row>
    <row r="241" spans="1:50">
      <c r="A241" s="1">
        <f>HYPERLINK("https://lsnyc.legalserver.org/matter/dynamic-profile/view/1910410","19-1910410")</f>
        <v>0</v>
      </c>
      <c r="B241" t="s">
        <v>91</v>
      </c>
      <c r="C241" t="s">
        <v>191</v>
      </c>
      <c r="D241" t="s">
        <v>199</v>
      </c>
      <c r="F241" t="s">
        <v>630</v>
      </c>
      <c r="G241" t="s">
        <v>1373</v>
      </c>
      <c r="H241" t="s">
        <v>2123</v>
      </c>
      <c r="I241" t="s">
        <v>2927</v>
      </c>
      <c r="J241" t="s">
        <v>3146</v>
      </c>
      <c r="K241">
        <v>10028</v>
      </c>
      <c r="L241" t="s">
        <v>3185</v>
      </c>
      <c r="M241" t="s">
        <v>3189</v>
      </c>
      <c r="N241" t="s">
        <v>3186</v>
      </c>
      <c r="P241" t="s">
        <v>3617</v>
      </c>
      <c r="Q241" t="s">
        <v>3635</v>
      </c>
      <c r="S241" t="s">
        <v>198</v>
      </c>
      <c r="T241" t="s">
        <v>3660</v>
      </c>
      <c r="U241" t="s">
        <v>3184</v>
      </c>
      <c r="W241" t="s">
        <v>3676</v>
      </c>
      <c r="X241" t="s">
        <v>3681</v>
      </c>
      <c r="Y241">
        <v>1844.37</v>
      </c>
      <c r="Z241" t="s">
        <v>3689</v>
      </c>
      <c r="AA241" t="s">
        <v>3696</v>
      </c>
      <c r="AC241" t="s">
        <v>3940</v>
      </c>
      <c r="AD241" t="s">
        <v>4783</v>
      </c>
      <c r="AE241" t="s">
        <v>5069</v>
      </c>
      <c r="AF241">
        <v>60</v>
      </c>
      <c r="AG241" t="s">
        <v>5811</v>
      </c>
      <c r="AH241" t="s">
        <v>5826</v>
      </c>
      <c r="AI241">
        <v>49</v>
      </c>
      <c r="AJ241">
        <v>2</v>
      </c>
      <c r="AK241">
        <v>0</v>
      </c>
      <c r="AL241">
        <v>109.78</v>
      </c>
      <c r="AO241" t="s">
        <v>5843</v>
      </c>
      <c r="AP241">
        <v>18564</v>
      </c>
      <c r="AV241">
        <v>0</v>
      </c>
      <c r="AX241" t="s">
        <v>6007</v>
      </c>
    </row>
    <row r="242" spans="1:50">
      <c r="A242" s="1">
        <f>HYPERLINK("https://lsnyc.legalserver.org/matter/dynamic-profile/view/1908588","19-1908588")</f>
        <v>0</v>
      </c>
      <c r="B242" t="s">
        <v>91</v>
      </c>
      <c r="C242" t="s">
        <v>191</v>
      </c>
      <c r="D242" t="s">
        <v>231</v>
      </c>
      <c r="F242" t="s">
        <v>631</v>
      </c>
      <c r="G242" t="s">
        <v>1268</v>
      </c>
      <c r="H242" t="s">
        <v>2015</v>
      </c>
      <c r="I242" t="s">
        <v>2875</v>
      </c>
      <c r="J242" t="s">
        <v>3146</v>
      </c>
      <c r="K242">
        <v>10035</v>
      </c>
      <c r="L242" t="s">
        <v>3185</v>
      </c>
      <c r="M242" t="s">
        <v>3189</v>
      </c>
      <c r="N242" t="s">
        <v>3186</v>
      </c>
      <c r="P242" t="s">
        <v>3612</v>
      </c>
      <c r="Q242" t="s">
        <v>3637</v>
      </c>
      <c r="S242" t="s">
        <v>3651</v>
      </c>
      <c r="T242" t="s">
        <v>3660</v>
      </c>
      <c r="U242" t="s">
        <v>3185</v>
      </c>
      <c r="W242" t="s">
        <v>3670</v>
      </c>
      <c r="X242" t="s">
        <v>3681</v>
      </c>
      <c r="Y242">
        <v>1967.89</v>
      </c>
      <c r="Z242" t="s">
        <v>3689</v>
      </c>
      <c r="AA242" t="s">
        <v>3704</v>
      </c>
      <c r="AC242" t="s">
        <v>3941</v>
      </c>
      <c r="AE242" t="s">
        <v>5070</v>
      </c>
      <c r="AF242">
        <v>72</v>
      </c>
      <c r="AG242" t="s">
        <v>5811</v>
      </c>
      <c r="AH242" t="s">
        <v>5827</v>
      </c>
      <c r="AI242">
        <v>39</v>
      </c>
      <c r="AJ242">
        <v>3</v>
      </c>
      <c r="AK242">
        <v>0</v>
      </c>
      <c r="AL242">
        <v>43.38</v>
      </c>
      <c r="AO242" t="s">
        <v>5843</v>
      </c>
      <c r="AP242">
        <v>9252</v>
      </c>
      <c r="AV242">
        <v>0</v>
      </c>
      <c r="AX242" t="s">
        <v>6007</v>
      </c>
    </row>
    <row r="243" spans="1:50">
      <c r="A243" s="1">
        <f>HYPERLINK("https://lsnyc.legalserver.org/matter/dynamic-profile/view/1906893","19-1906893")</f>
        <v>0</v>
      </c>
      <c r="B243" t="s">
        <v>92</v>
      </c>
      <c r="C243" t="s">
        <v>192</v>
      </c>
      <c r="D243" t="s">
        <v>226</v>
      </c>
      <c r="E243" t="s">
        <v>206</v>
      </c>
      <c r="F243" t="s">
        <v>632</v>
      </c>
      <c r="G243" t="s">
        <v>1374</v>
      </c>
      <c r="H243" t="s">
        <v>2124</v>
      </c>
      <c r="J243" t="s">
        <v>3148</v>
      </c>
      <c r="K243">
        <v>11233</v>
      </c>
      <c r="L243" t="s">
        <v>3185</v>
      </c>
      <c r="M243" t="s">
        <v>3189</v>
      </c>
      <c r="N243" t="s">
        <v>3186</v>
      </c>
      <c r="O243" t="s">
        <v>3277</v>
      </c>
      <c r="P243" t="s">
        <v>3610</v>
      </c>
      <c r="Q243" t="s">
        <v>3634</v>
      </c>
      <c r="R243" t="s">
        <v>3642</v>
      </c>
      <c r="S243" t="s">
        <v>282</v>
      </c>
      <c r="T243" t="s">
        <v>3660</v>
      </c>
      <c r="U243" t="s">
        <v>3184</v>
      </c>
      <c r="W243" t="s">
        <v>3670</v>
      </c>
      <c r="Y243">
        <v>0</v>
      </c>
      <c r="Z243" t="s">
        <v>3691</v>
      </c>
      <c r="AB243" t="s">
        <v>3712</v>
      </c>
      <c r="AC243" t="s">
        <v>3942</v>
      </c>
      <c r="AF243">
        <v>2</v>
      </c>
      <c r="AI243">
        <v>0</v>
      </c>
      <c r="AJ243">
        <v>2</v>
      </c>
      <c r="AK243">
        <v>2</v>
      </c>
      <c r="AL243">
        <v>252.43</v>
      </c>
      <c r="AO243" t="s">
        <v>5843</v>
      </c>
      <c r="AP243">
        <v>65000</v>
      </c>
      <c r="AV243">
        <v>2</v>
      </c>
      <c r="AW243" t="s">
        <v>282</v>
      </c>
      <c r="AX243" t="s">
        <v>82</v>
      </c>
    </row>
    <row r="244" spans="1:50">
      <c r="A244" s="1">
        <f>HYPERLINK("https://lsnyc.legalserver.org/matter/dynamic-profile/view/1906532","19-1906532")</f>
        <v>0</v>
      </c>
      <c r="B244" t="s">
        <v>92</v>
      </c>
      <c r="C244" t="s">
        <v>192</v>
      </c>
      <c r="D244" t="s">
        <v>270</v>
      </c>
      <c r="E244" t="s">
        <v>291</v>
      </c>
      <c r="F244" t="s">
        <v>633</v>
      </c>
      <c r="G244" t="s">
        <v>1375</v>
      </c>
      <c r="H244" t="s">
        <v>2125</v>
      </c>
      <c r="I244" t="s">
        <v>2929</v>
      </c>
      <c r="J244" t="s">
        <v>3148</v>
      </c>
      <c r="K244">
        <v>11207</v>
      </c>
      <c r="L244" t="s">
        <v>3185</v>
      </c>
      <c r="M244" t="s">
        <v>3189</v>
      </c>
      <c r="N244" t="s">
        <v>3186</v>
      </c>
      <c r="O244" t="s">
        <v>3278</v>
      </c>
      <c r="P244" t="s">
        <v>3610</v>
      </c>
      <c r="Q244" t="s">
        <v>3634</v>
      </c>
      <c r="R244" t="s">
        <v>3642</v>
      </c>
      <c r="S244" t="s">
        <v>234</v>
      </c>
      <c r="T244" t="s">
        <v>3660</v>
      </c>
      <c r="U244" t="s">
        <v>3184</v>
      </c>
      <c r="W244" t="s">
        <v>3670</v>
      </c>
      <c r="Y244">
        <v>1500</v>
      </c>
      <c r="Z244" t="s">
        <v>3691</v>
      </c>
      <c r="AA244" t="s">
        <v>3632</v>
      </c>
      <c r="AB244" t="s">
        <v>3712</v>
      </c>
      <c r="AC244" t="s">
        <v>3943</v>
      </c>
      <c r="AD244" t="s">
        <v>3257</v>
      </c>
      <c r="AE244" t="s">
        <v>5071</v>
      </c>
      <c r="AF244">
        <v>18</v>
      </c>
      <c r="AG244" t="s">
        <v>5813</v>
      </c>
      <c r="AH244" t="s">
        <v>3188</v>
      </c>
      <c r="AI244">
        <v>1</v>
      </c>
      <c r="AJ244">
        <v>1</v>
      </c>
      <c r="AK244">
        <v>1</v>
      </c>
      <c r="AL244">
        <v>286.6</v>
      </c>
      <c r="AO244" t="s">
        <v>5843</v>
      </c>
      <c r="AP244">
        <v>48464</v>
      </c>
      <c r="AU244" t="s">
        <v>5953</v>
      </c>
      <c r="AV244">
        <v>1.1</v>
      </c>
      <c r="AW244" t="s">
        <v>291</v>
      </c>
      <c r="AX244" t="s">
        <v>82</v>
      </c>
    </row>
    <row r="245" spans="1:50">
      <c r="A245" s="1">
        <f>HYPERLINK("https://lsnyc.legalserver.org/matter/dynamic-profile/view/1903509","19-1903509")</f>
        <v>0</v>
      </c>
      <c r="B245" t="s">
        <v>90</v>
      </c>
      <c r="C245" t="s">
        <v>192</v>
      </c>
      <c r="D245" t="s">
        <v>195</v>
      </c>
      <c r="E245" t="s">
        <v>195</v>
      </c>
      <c r="F245" t="s">
        <v>634</v>
      </c>
      <c r="G245" t="s">
        <v>1203</v>
      </c>
      <c r="H245" t="s">
        <v>2126</v>
      </c>
      <c r="I245" t="s">
        <v>2844</v>
      </c>
      <c r="J245" t="s">
        <v>3147</v>
      </c>
      <c r="K245">
        <v>10458</v>
      </c>
      <c r="L245" t="s">
        <v>3186</v>
      </c>
      <c r="N245" t="s">
        <v>3186</v>
      </c>
      <c r="Q245" t="s">
        <v>3641</v>
      </c>
      <c r="R245" t="s">
        <v>3642</v>
      </c>
      <c r="T245" t="s">
        <v>3660</v>
      </c>
      <c r="W245" t="s">
        <v>3670</v>
      </c>
      <c r="Y245">
        <v>0</v>
      </c>
      <c r="Z245" t="s">
        <v>3690</v>
      </c>
      <c r="AB245" t="s">
        <v>3712</v>
      </c>
      <c r="AC245" t="s">
        <v>3944</v>
      </c>
      <c r="AE245" t="s">
        <v>5072</v>
      </c>
      <c r="AF245">
        <v>0</v>
      </c>
      <c r="AI245">
        <v>0</v>
      </c>
      <c r="AJ245">
        <v>3</v>
      </c>
      <c r="AK245">
        <v>3</v>
      </c>
      <c r="AL245">
        <v>14.22</v>
      </c>
      <c r="AO245" t="s">
        <v>5844</v>
      </c>
      <c r="AP245">
        <v>4920</v>
      </c>
      <c r="AV245">
        <v>0.5</v>
      </c>
      <c r="AW245" t="s">
        <v>195</v>
      </c>
      <c r="AX245" t="s">
        <v>90</v>
      </c>
    </row>
    <row r="246" spans="1:50">
      <c r="A246" s="1">
        <f>HYPERLINK("https://lsnyc.legalserver.org/matter/dynamic-profile/view/1903680","19-1903680")</f>
        <v>0</v>
      </c>
      <c r="B246" t="s">
        <v>92</v>
      </c>
      <c r="C246" t="s">
        <v>192</v>
      </c>
      <c r="D246" t="s">
        <v>271</v>
      </c>
      <c r="E246" t="s">
        <v>206</v>
      </c>
      <c r="F246" t="s">
        <v>471</v>
      </c>
      <c r="G246" t="s">
        <v>1376</v>
      </c>
      <c r="H246" t="s">
        <v>2127</v>
      </c>
      <c r="I246" t="s">
        <v>2930</v>
      </c>
      <c r="J246" t="s">
        <v>3148</v>
      </c>
      <c r="K246">
        <v>11208</v>
      </c>
      <c r="L246" t="s">
        <v>3185</v>
      </c>
      <c r="M246" t="s">
        <v>3189</v>
      </c>
      <c r="N246" t="s">
        <v>3186</v>
      </c>
      <c r="O246" t="s">
        <v>3279</v>
      </c>
      <c r="P246" t="s">
        <v>3610</v>
      </c>
      <c r="R246" t="s">
        <v>3643</v>
      </c>
      <c r="T246" t="s">
        <v>3660</v>
      </c>
      <c r="U246" t="s">
        <v>3184</v>
      </c>
      <c r="W246" t="s">
        <v>3670</v>
      </c>
      <c r="X246" t="s">
        <v>3682</v>
      </c>
      <c r="Y246">
        <v>1700</v>
      </c>
      <c r="Z246" t="s">
        <v>3691</v>
      </c>
      <c r="AA246" t="s">
        <v>3698</v>
      </c>
      <c r="AB246" t="s">
        <v>3712</v>
      </c>
      <c r="AC246" t="s">
        <v>3945</v>
      </c>
      <c r="AD246" t="s">
        <v>3188</v>
      </c>
      <c r="AF246">
        <v>20</v>
      </c>
      <c r="AG246" t="s">
        <v>5813</v>
      </c>
      <c r="AH246" t="s">
        <v>3188</v>
      </c>
      <c r="AI246">
        <v>2</v>
      </c>
      <c r="AJ246">
        <v>2</v>
      </c>
      <c r="AK246">
        <v>1</v>
      </c>
      <c r="AL246">
        <v>266.43</v>
      </c>
      <c r="AO246" t="s">
        <v>5843</v>
      </c>
      <c r="AP246">
        <v>56830</v>
      </c>
      <c r="AV246">
        <v>2.3</v>
      </c>
      <c r="AW246" t="s">
        <v>281</v>
      </c>
      <c r="AX246" t="s">
        <v>158</v>
      </c>
    </row>
    <row r="247" spans="1:50">
      <c r="A247" s="1">
        <f>HYPERLINK("https://lsnyc.legalserver.org/matter/dynamic-profile/view/1906349","19-1906349")</f>
        <v>0</v>
      </c>
      <c r="B247" t="s">
        <v>92</v>
      </c>
      <c r="C247" t="s">
        <v>192</v>
      </c>
      <c r="D247" t="s">
        <v>260</v>
      </c>
      <c r="E247" t="s">
        <v>291</v>
      </c>
      <c r="F247" t="s">
        <v>635</v>
      </c>
      <c r="G247" t="s">
        <v>1377</v>
      </c>
      <c r="H247" t="s">
        <v>2128</v>
      </c>
      <c r="I247">
        <v>2</v>
      </c>
      <c r="J247" t="s">
        <v>3148</v>
      </c>
      <c r="K247">
        <v>11208</v>
      </c>
      <c r="L247" t="s">
        <v>3185</v>
      </c>
      <c r="M247" t="s">
        <v>3189</v>
      </c>
      <c r="N247" t="s">
        <v>3186</v>
      </c>
      <c r="O247" t="s">
        <v>3280</v>
      </c>
      <c r="P247" t="s">
        <v>3610</v>
      </c>
      <c r="Q247" t="s">
        <v>3634</v>
      </c>
      <c r="R247" t="s">
        <v>3643</v>
      </c>
      <c r="S247" t="s">
        <v>290</v>
      </c>
      <c r="T247" t="s">
        <v>3660</v>
      </c>
      <c r="U247" t="s">
        <v>3184</v>
      </c>
      <c r="W247" t="s">
        <v>3670</v>
      </c>
      <c r="X247" t="s">
        <v>3681</v>
      </c>
      <c r="Y247">
        <v>1500</v>
      </c>
      <c r="Z247" t="s">
        <v>3691</v>
      </c>
      <c r="AA247" t="s">
        <v>3698</v>
      </c>
      <c r="AB247" t="s">
        <v>3712</v>
      </c>
      <c r="AC247" t="s">
        <v>3946</v>
      </c>
      <c r="AD247" t="s">
        <v>3263</v>
      </c>
      <c r="AE247" t="s">
        <v>5073</v>
      </c>
      <c r="AF247">
        <v>4</v>
      </c>
      <c r="AG247" t="s">
        <v>5814</v>
      </c>
      <c r="AH247" t="s">
        <v>5829</v>
      </c>
      <c r="AI247">
        <v>5</v>
      </c>
      <c r="AJ247">
        <v>1</v>
      </c>
      <c r="AK247">
        <v>2</v>
      </c>
      <c r="AL247">
        <v>70.31999999999999</v>
      </c>
      <c r="AO247" t="s">
        <v>5843</v>
      </c>
      <c r="AP247">
        <v>15000</v>
      </c>
      <c r="AT247" t="s">
        <v>5946</v>
      </c>
      <c r="AU247" t="s">
        <v>5954</v>
      </c>
      <c r="AV247">
        <v>3</v>
      </c>
      <c r="AW247" t="s">
        <v>225</v>
      </c>
      <c r="AX247" t="s">
        <v>158</v>
      </c>
    </row>
    <row r="248" spans="1:50">
      <c r="A248" s="1">
        <f>HYPERLINK("https://lsnyc.legalserver.org/matter/dynamic-profile/view/1909560","19-1909560")</f>
        <v>0</v>
      </c>
      <c r="B248" t="s">
        <v>92</v>
      </c>
      <c r="C248" t="s">
        <v>191</v>
      </c>
      <c r="D248" t="s">
        <v>197</v>
      </c>
      <c r="F248" t="s">
        <v>636</v>
      </c>
      <c r="G248" t="s">
        <v>1378</v>
      </c>
      <c r="H248" t="s">
        <v>2129</v>
      </c>
      <c r="I248" t="s">
        <v>2931</v>
      </c>
      <c r="J248" t="s">
        <v>3148</v>
      </c>
      <c r="K248">
        <v>11212</v>
      </c>
      <c r="L248" t="s">
        <v>3185</v>
      </c>
      <c r="M248" t="s">
        <v>3189</v>
      </c>
      <c r="N248" t="s">
        <v>3186</v>
      </c>
      <c r="O248" t="s">
        <v>3281</v>
      </c>
      <c r="P248" t="s">
        <v>3613</v>
      </c>
      <c r="T248" t="s">
        <v>3660</v>
      </c>
      <c r="U248" t="s">
        <v>3184</v>
      </c>
      <c r="W248" t="s">
        <v>3670</v>
      </c>
      <c r="X248" t="s">
        <v>3681</v>
      </c>
      <c r="Y248">
        <v>693</v>
      </c>
      <c r="Z248" t="s">
        <v>3691</v>
      </c>
      <c r="AA248" t="s">
        <v>3697</v>
      </c>
      <c r="AC248" t="s">
        <v>3755</v>
      </c>
      <c r="AD248" t="s">
        <v>4784</v>
      </c>
      <c r="AE248" t="s">
        <v>5074</v>
      </c>
      <c r="AF248">
        <v>80</v>
      </c>
      <c r="AG248" t="s">
        <v>3263</v>
      </c>
      <c r="AH248" t="s">
        <v>5828</v>
      </c>
      <c r="AI248">
        <v>10</v>
      </c>
      <c r="AJ248">
        <v>1</v>
      </c>
      <c r="AK248">
        <v>4</v>
      </c>
      <c r="AL248">
        <v>49.11</v>
      </c>
      <c r="AO248" t="s">
        <v>5843</v>
      </c>
      <c r="AP248">
        <v>14816</v>
      </c>
      <c r="AV248">
        <v>0</v>
      </c>
      <c r="AX248" t="s">
        <v>158</v>
      </c>
    </row>
    <row r="249" spans="1:50">
      <c r="A249" s="1">
        <f>HYPERLINK("https://lsnyc.legalserver.org/matter/dynamic-profile/view/1907516","19-1907516")</f>
        <v>0</v>
      </c>
      <c r="B249" t="s">
        <v>90</v>
      </c>
      <c r="C249" t="s">
        <v>191</v>
      </c>
      <c r="D249" t="s">
        <v>234</v>
      </c>
      <c r="F249" t="s">
        <v>637</v>
      </c>
      <c r="G249" t="s">
        <v>647</v>
      </c>
      <c r="H249" t="s">
        <v>2130</v>
      </c>
      <c r="I249" t="s">
        <v>2897</v>
      </c>
      <c r="J249" t="s">
        <v>3147</v>
      </c>
      <c r="K249">
        <v>10456</v>
      </c>
      <c r="L249" t="s">
        <v>3186</v>
      </c>
      <c r="N249" t="s">
        <v>3186</v>
      </c>
      <c r="P249" t="s">
        <v>3612</v>
      </c>
      <c r="Q249" t="s">
        <v>3634</v>
      </c>
      <c r="T249" t="s">
        <v>3660</v>
      </c>
      <c r="U249" t="s">
        <v>3185</v>
      </c>
      <c r="V249" t="s">
        <v>3660</v>
      </c>
      <c r="W249" t="s">
        <v>3670</v>
      </c>
      <c r="Y249">
        <v>255</v>
      </c>
      <c r="Z249" t="s">
        <v>3690</v>
      </c>
      <c r="AA249" t="s">
        <v>3700</v>
      </c>
      <c r="AC249" t="s">
        <v>3947</v>
      </c>
      <c r="AE249" t="s">
        <v>5075</v>
      </c>
      <c r="AF249">
        <v>65</v>
      </c>
      <c r="AG249" t="s">
        <v>5813</v>
      </c>
      <c r="AI249">
        <v>6</v>
      </c>
      <c r="AJ249">
        <v>1</v>
      </c>
      <c r="AK249">
        <v>0</v>
      </c>
      <c r="AL249">
        <v>0</v>
      </c>
      <c r="AP249">
        <v>0</v>
      </c>
      <c r="AV249">
        <v>0.1</v>
      </c>
      <c r="AW249" t="s">
        <v>252</v>
      </c>
      <c r="AX249" t="s">
        <v>90</v>
      </c>
    </row>
    <row r="250" spans="1:50">
      <c r="A250" s="1">
        <f>HYPERLINK("https://lsnyc.legalserver.org/matter/dynamic-profile/view/1907525","19-1907525")</f>
        <v>0</v>
      </c>
      <c r="B250" t="s">
        <v>90</v>
      </c>
      <c r="C250" t="s">
        <v>191</v>
      </c>
      <c r="D250" t="s">
        <v>234</v>
      </c>
      <c r="F250" t="s">
        <v>638</v>
      </c>
      <c r="G250" t="s">
        <v>1379</v>
      </c>
      <c r="H250" t="s">
        <v>2131</v>
      </c>
      <c r="I250">
        <v>29</v>
      </c>
      <c r="J250" t="s">
        <v>3147</v>
      </c>
      <c r="K250">
        <v>10456</v>
      </c>
      <c r="L250" t="s">
        <v>3186</v>
      </c>
      <c r="N250" t="s">
        <v>3186</v>
      </c>
      <c r="Q250" t="s">
        <v>3634</v>
      </c>
      <c r="T250" t="s">
        <v>3660</v>
      </c>
      <c r="U250" t="s">
        <v>3185</v>
      </c>
      <c r="W250" t="s">
        <v>3670</v>
      </c>
      <c r="Y250">
        <v>50</v>
      </c>
      <c r="Z250" t="s">
        <v>3690</v>
      </c>
      <c r="AA250" t="s">
        <v>3704</v>
      </c>
      <c r="AC250" t="s">
        <v>3948</v>
      </c>
      <c r="AE250" t="s">
        <v>5076</v>
      </c>
      <c r="AF250">
        <v>54</v>
      </c>
      <c r="AG250" t="s">
        <v>5813</v>
      </c>
      <c r="AI250">
        <v>0</v>
      </c>
      <c r="AJ250">
        <v>2</v>
      </c>
      <c r="AK250">
        <v>0</v>
      </c>
      <c r="AL250">
        <v>0</v>
      </c>
      <c r="AO250" t="s">
        <v>5843</v>
      </c>
      <c r="AP250">
        <v>0</v>
      </c>
      <c r="AV250">
        <v>0</v>
      </c>
      <c r="AX250" t="s">
        <v>90</v>
      </c>
    </row>
    <row r="251" spans="1:50">
      <c r="A251" s="1">
        <f>HYPERLINK("https://lsnyc.legalserver.org/matter/dynamic-profile/view/1909471","19-1909471")</f>
        <v>0</v>
      </c>
      <c r="B251" t="s">
        <v>92</v>
      </c>
      <c r="C251" t="s">
        <v>191</v>
      </c>
      <c r="D251" t="s">
        <v>197</v>
      </c>
      <c r="F251" t="s">
        <v>639</v>
      </c>
      <c r="G251" t="s">
        <v>1380</v>
      </c>
      <c r="H251" t="s">
        <v>2132</v>
      </c>
      <c r="I251" t="s">
        <v>2830</v>
      </c>
      <c r="J251" t="s">
        <v>3148</v>
      </c>
      <c r="K251">
        <v>11233</v>
      </c>
      <c r="L251" t="s">
        <v>3185</v>
      </c>
      <c r="M251" t="s">
        <v>3189</v>
      </c>
      <c r="N251" t="s">
        <v>3186</v>
      </c>
      <c r="O251" t="s">
        <v>3282</v>
      </c>
      <c r="P251" t="s">
        <v>3610</v>
      </c>
      <c r="T251" t="s">
        <v>3660</v>
      </c>
      <c r="U251" t="s">
        <v>3184</v>
      </c>
      <c r="W251" t="s">
        <v>3670</v>
      </c>
      <c r="X251" t="s">
        <v>3685</v>
      </c>
      <c r="Y251">
        <v>1300</v>
      </c>
      <c r="Z251" t="s">
        <v>3691</v>
      </c>
      <c r="AA251" t="s">
        <v>3699</v>
      </c>
      <c r="AC251" t="s">
        <v>3949</v>
      </c>
      <c r="AD251" t="s">
        <v>4778</v>
      </c>
      <c r="AE251" t="s">
        <v>5077</v>
      </c>
      <c r="AF251">
        <v>9</v>
      </c>
      <c r="AG251" t="s">
        <v>5813</v>
      </c>
      <c r="AH251" t="s">
        <v>3188</v>
      </c>
      <c r="AI251">
        <v>7</v>
      </c>
      <c r="AJ251">
        <v>1</v>
      </c>
      <c r="AK251">
        <v>1</v>
      </c>
      <c r="AL251">
        <v>222.02</v>
      </c>
      <c r="AO251" t="s">
        <v>5843</v>
      </c>
      <c r="AP251">
        <v>37544</v>
      </c>
      <c r="AQ251" t="s">
        <v>5875</v>
      </c>
      <c r="AV251">
        <v>8.300000000000001</v>
      </c>
      <c r="AW251" t="s">
        <v>221</v>
      </c>
      <c r="AX251" t="s">
        <v>158</v>
      </c>
    </row>
    <row r="252" spans="1:50">
      <c r="A252" s="1">
        <f>HYPERLINK("https://lsnyc.legalserver.org/matter/dynamic-profile/view/1904419","19-1904419")</f>
        <v>0</v>
      </c>
      <c r="B252" t="s">
        <v>92</v>
      </c>
      <c r="C252" t="s">
        <v>191</v>
      </c>
      <c r="D252" t="s">
        <v>272</v>
      </c>
      <c r="F252" t="s">
        <v>525</v>
      </c>
      <c r="G252" t="s">
        <v>1381</v>
      </c>
      <c r="H252" t="s">
        <v>2087</v>
      </c>
      <c r="I252" t="s">
        <v>2932</v>
      </c>
      <c r="J252" t="s">
        <v>3148</v>
      </c>
      <c r="K252">
        <v>11213</v>
      </c>
      <c r="L252" t="s">
        <v>3185</v>
      </c>
      <c r="M252" t="s">
        <v>3189</v>
      </c>
      <c r="N252" t="s">
        <v>3186</v>
      </c>
      <c r="O252" t="s">
        <v>3283</v>
      </c>
      <c r="P252" t="s">
        <v>3613</v>
      </c>
      <c r="T252" t="s">
        <v>3660</v>
      </c>
      <c r="U252" t="s">
        <v>3184</v>
      </c>
      <c r="W252" t="s">
        <v>3670</v>
      </c>
      <c r="X252" t="s">
        <v>3681</v>
      </c>
      <c r="Y252">
        <v>876</v>
      </c>
      <c r="Z252" t="s">
        <v>3691</v>
      </c>
      <c r="AA252" t="s">
        <v>3699</v>
      </c>
      <c r="AC252" t="s">
        <v>3950</v>
      </c>
      <c r="AD252" t="s">
        <v>3188</v>
      </c>
      <c r="AE252" t="s">
        <v>5078</v>
      </c>
      <c r="AF252">
        <v>107</v>
      </c>
      <c r="AG252" t="s">
        <v>5813</v>
      </c>
      <c r="AH252" t="s">
        <v>3188</v>
      </c>
      <c r="AI252">
        <v>35</v>
      </c>
      <c r="AJ252">
        <v>1</v>
      </c>
      <c r="AK252">
        <v>0</v>
      </c>
      <c r="AL252">
        <v>333.07</v>
      </c>
      <c r="AO252" t="s">
        <v>5843</v>
      </c>
      <c r="AP252">
        <v>41600</v>
      </c>
      <c r="AV252">
        <v>1.1</v>
      </c>
      <c r="AW252" t="s">
        <v>214</v>
      </c>
      <c r="AX252" t="s">
        <v>158</v>
      </c>
    </row>
    <row r="253" spans="1:50">
      <c r="A253" s="1">
        <f>HYPERLINK("https://lsnyc.legalserver.org/matter/dynamic-profile/view/1907493","19-1907493")</f>
        <v>0</v>
      </c>
      <c r="B253" t="s">
        <v>90</v>
      </c>
      <c r="C253" t="s">
        <v>191</v>
      </c>
      <c r="D253" t="s">
        <v>234</v>
      </c>
      <c r="F253" t="s">
        <v>640</v>
      </c>
      <c r="G253" t="s">
        <v>1382</v>
      </c>
      <c r="H253" t="s">
        <v>2133</v>
      </c>
      <c r="I253" t="s">
        <v>2933</v>
      </c>
      <c r="J253" t="s">
        <v>3147</v>
      </c>
      <c r="K253">
        <v>10452</v>
      </c>
      <c r="L253" t="s">
        <v>3186</v>
      </c>
      <c r="N253" t="s">
        <v>3186</v>
      </c>
      <c r="P253" t="s">
        <v>3257</v>
      </c>
      <c r="Q253" t="s">
        <v>3634</v>
      </c>
      <c r="T253" t="s">
        <v>3660</v>
      </c>
      <c r="U253" t="s">
        <v>3185</v>
      </c>
      <c r="W253" t="s">
        <v>3670</v>
      </c>
      <c r="X253" t="s">
        <v>3681</v>
      </c>
      <c r="Y253">
        <v>1400</v>
      </c>
      <c r="Z253" t="s">
        <v>3690</v>
      </c>
      <c r="AA253" t="s">
        <v>3696</v>
      </c>
      <c r="AC253" t="s">
        <v>3951</v>
      </c>
      <c r="AE253" t="s">
        <v>5079</v>
      </c>
      <c r="AF253">
        <v>0</v>
      </c>
      <c r="AG253" t="s">
        <v>5813</v>
      </c>
      <c r="AH253" t="s">
        <v>5825</v>
      </c>
      <c r="AI253">
        <v>5</v>
      </c>
      <c r="AJ253">
        <v>2</v>
      </c>
      <c r="AK253">
        <v>3</v>
      </c>
      <c r="AL253">
        <v>66.29000000000001</v>
      </c>
      <c r="AO253" t="s">
        <v>5843</v>
      </c>
      <c r="AP253">
        <v>20000</v>
      </c>
      <c r="AV253">
        <v>0</v>
      </c>
      <c r="AX253" t="s">
        <v>90</v>
      </c>
    </row>
    <row r="254" spans="1:50">
      <c r="A254" s="1">
        <f>HYPERLINK("https://lsnyc.legalserver.org/matter/dynamic-profile/view/1903131","19-1903131")</f>
        <v>0</v>
      </c>
      <c r="B254" t="s">
        <v>92</v>
      </c>
      <c r="C254" t="s">
        <v>191</v>
      </c>
      <c r="D254" t="s">
        <v>273</v>
      </c>
      <c r="F254" t="s">
        <v>641</v>
      </c>
      <c r="G254" t="s">
        <v>1383</v>
      </c>
      <c r="H254" t="s">
        <v>2134</v>
      </c>
      <c r="I254" t="s">
        <v>2826</v>
      </c>
      <c r="J254" t="s">
        <v>3148</v>
      </c>
      <c r="K254">
        <v>11212</v>
      </c>
      <c r="L254" t="s">
        <v>3185</v>
      </c>
      <c r="M254" t="s">
        <v>3190</v>
      </c>
      <c r="N254" t="s">
        <v>3186</v>
      </c>
      <c r="O254" t="s">
        <v>3284</v>
      </c>
      <c r="P254" t="s">
        <v>3610</v>
      </c>
      <c r="Q254" t="s">
        <v>3637</v>
      </c>
      <c r="S254" t="s">
        <v>194</v>
      </c>
      <c r="T254" t="s">
        <v>3660</v>
      </c>
      <c r="U254" t="s">
        <v>3184</v>
      </c>
      <c r="W254" t="s">
        <v>3670</v>
      </c>
      <c r="X254" t="s">
        <v>3681</v>
      </c>
      <c r="Y254">
        <v>1235</v>
      </c>
      <c r="Z254" t="s">
        <v>3691</v>
      </c>
      <c r="AA254" t="s">
        <v>3697</v>
      </c>
      <c r="AB254" t="s">
        <v>3712</v>
      </c>
      <c r="AC254" t="s">
        <v>3952</v>
      </c>
      <c r="AD254" t="s">
        <v>4785</v>
      </c>
      <c r="AF254">
        <v>4</v>
      </c>
      <c r="AG254" t="s">
        <v>5814</v>
      </c>
      <c r="AH254" t="s">
        <v>5832</v>
      </c>
      <c r="AI254">
        <v>30</v>
      </c>
      <c r="AJ254">
        <v>1</v>
      </c>
      <c r="AK254">
        <v>0</v>
      </c>
      <c r="AL254">
        <v>151.8</v>
      </c>
      <c r="AO254" t="s">
        <v>5843</v>
      </c>
      <c r="AP254">
        <v>18960</v>
      </c>
      <c r="AV254">
        <v>2.16</v>
      </c>
      <c r="AW254" t="s">
        <v>213</v>
      </c>
      <c r="AX254" t="s">
        <v>6018</v>
      </c>
    </row>
    <row r="255" spans="1:50">
      <c r="A255" s="1">
        <f>HYPERLINK("https://lsnyc.legalserver.org/matter/dynamic-profile/view/1906473","19-1906473")</f>
        <v>0</v>
      </c>
      <c r="B255" t="s">
        <v>92</v>
      </c>
      <c r="C255" t="s">
        <v>191</v>
      </c>
      <c r="D255" t="s">
        <v>270</v>
      </c>
      <c r="F255" t="s">
        <v>642</v>
      </c>
      <c r="G255" t="s">
        <v>488</v>
      </c>
      <c r="H255" t="s">
        <v>2135</v>
      </c>
      <c r="I255" t="s">
        <v>2844</v>
      </c>
      <c r="J255" t="s">
        <v>3148</v>
      </c>
      <c r="K255">
        <v>11208</v>
      </c>
      <c r="L255" t="s">
        <v>3185</v>
      </c>
      <c r="M255" t="s">
        <v>3189</v>
      </c>
      <c r="N255" t="s">
        <v>3186</v>
      </c>
      <c r="O255" t="s">
        <v>3285</v>
      </c>
      <c r="P255" t="s">
        <v>3610</v>
      </c>
      <c r="Q255" t="s">
        <v>3638</v>
      </c>
      <c r="S255" t="s">
        <v>260</v>
      </c>
      <c r="T255" t="s">
        <v>3660</v>
      </c>
      <c r="U255" t="s">
        <v>3184</v>
      </c>
      <c r="W255" t="s">
        <v>3670</v>
      </c>
      <c r="X255" t="s">
        <v>3681</v>
      </c>
      <c r="Y255">
        <v>913</v>
      </c>
      <c r="Z255" t="s">
        <v>3691</v>
      </c>
      <c r="AA255" t="s">
        <v>3696</v>
      </c>
      <c r="AC255" t="s">
        <v>3953</v>
      </c>
      <c r="AD255" t="s">
        <v>3188</v>
      </c>
      <c r="AE255" t="s">
        <v>5080</v>
      </c>
      <c r="AF255">
        <v>64</v>
      </c>
      <c r="AG255" t="s">
        <v>5813</v>
      </c>
      <c r="AH255" t="s">
        <v>3188</v>
      </c>
      <c r="AI255">
        <v>5</v>
      </c>
      <c r="AJ255">
        <v>2</v>
      </c>
      <c r="AK255">
        <v>0</v>
      </c>
      <c r="AL255">
        <v>218.81</v>
      </c>
      <c r="AM255" t="s">
        <v>228</v>
      </c>
      <c r="AN255" t="s">
        <v>5839</v>
      </c>
      <c r="AO255" t="s">
        <v>5843</v>
      </c>
      <c r="AP255">
        <v>37000</v>
      </c>
      <c r="AV255">
        <v>5.6</v>
      </c>
      <c r="AW255" t="s">
        <v>198</v>
      </c>
      <c r="AX255" t="s">
        <v>158</v>
      </c>
    </row>
    <row r="256" spans="1:50">
      <c r="A256" s="1">
        <f>HYPERLINK("https://lsnyc.legalserver.org/matter/dynamic-profile/view/1888023","19-1888023")</f>
        <v>0</v>
      </c>
      <c r="B256" t="s">
        <v>93</v>
      </c>
      <c r="C256" t="s">
        <v>191</v>
      </c>
      <c r="D256" t="s">
        <v>274</v>
      </c>
      <c r="F256" t="s">
        <v>614</v>
      </c>
      <c r="G256" t="s">
        <v>1384</v>
      </c>
      <c r="H256" t="s">
        <v>2136</v>
      </c>
      <c r="I256">
        <v>606</v>
      </c>
      <c r="J256" t="s">
        <v>3147</v>
      </c>
      <c r="K256">
        <v>10457</v>
      </c>
      <c r="L256" t="s">
        <v>3186</v>
      </c>
      <c r="N256" t="s">
        <v>3186</v>
      </c>
      <c r="P256" t="s">
        <v>3615</v>
      </c>
      <c r="Q256" t="s">
        <v>3634</v>
      </c>
      <c r="T256" t="s">
        <v>3660</v>
      </c>
      <c r="W256" t="s">
        <v>3670</v>
      </c>
      <c r="Y256">
        <v>833</v>
      </c>
      <c r="Z256" t="s">
        <v>3690</v>
      </c>
      <c r="AC256" t="s">
        <v>3954</v>
      </c>
      <c r="AE256" t="s">
        <v>5081</v>
      </c>
      <c r="AF256">
        <v>88</v>
      </c>
      <c r="AI256">
        <v>7</v>
      </c>
      <c r="AJ256">
        <v>1</v>
      </c>
      <c r="AK256">
        <v>0</v>
      </c>
      <c r="AL256">
        <v>137.73</v>
      </c>
      <c r="AO256" t="s">
        <v>5843</v>
      </c>
      <c r="AP256">
        <v>16720</v>
      </c>
      <c r="AQ256" t="s">
        <v>5876</v>
      </c>
      <c r="AV256">
        <v>2</v>
      </c>
      <c r="AW256" t="s">
        <v>5976</v>
      </c>
      <c r="AX256" t="s">
        <v>6012</v>
      </c>
    </row>
    <row r="257" spans="1:50">
      <c r="A257" s="1">
        <f>HYPERLINK("https://lsnyc.legalserver.org/matter/dynamic-profile/view/1907517","19-1907517")</f>
        <v>0</v>
      </c>
      <c r="B257" t="s">
        <v>92</v>
      </c>
      <c r="C257" t="s">
        <v>191</v>
      </c>
      <c r="D257" t="s">
        <v>234</v>
      </c>
      <c r="F257" t="s">
        <v>643</v>
      </c>
      <c r="G257" t="s">
        <v>1385</v>
      </c>
      <c r="H257" t="s">
        <v>2097</v>
      </c>
      <c r="I257" t="s">
        <v>2934</v>
      </c>
      <c r="J257" t="s">
        <v>3148</v>
      </c>
      <c r="K257">
        <v>11233</v>
      </c>
      <c r="L257" t="s">
        <v>3185</v>
      </c>
      <c r="M257" t="s">
        <v>3189</v>
      </c>
      <c r="N257" t="s">
        <v>3186</v>
      </c>
      <c r="O257" t="s">
        <v>3286</v>
      </c>
      <c r="P257" t="s">
        <v>3610</v>
      </c>
      <c r="Q257" t="s">
        <v>3638</v>
      </c>
      <c r="S257" t="s">
        <v>234</v>
      </c>
      <c r="T257" t="s">
        <v>3660</v>
      </c>
      <c r="U257" t="s">
        <v>3184</v>
      </c>
      <c r="W257" t="s">
        <v>3670</v>
      </c>
      <c r="Y257">
        <v>997.45</v>
      </c>
      <c r="Z257" t="s">
        <v>3691</v>
      </c>
      <c r="AA257" t="s">
        <v>3632</v>
      </c>
      <c r="AC257" t="s">
        <v>3955</v>
      </c>
      <c r="AF257">
        <v>1107</v>
      </c>
      <c r="AG257" t="s">
        <v>5813</v>
      </c>
      <c r="AH257" t="s">
        <v>3188</v>
      </c>
      <c r="AI257">
        <v>9</v>
      </c>
      <c r="AJ257">
        <v>3</v>
      </c>
      <c r="AK257">
        <v>0</v>
      </c>
      <c r="AL257">
        <v>0</v>
      </c>
      <c r="AO257" t="s">
        <v>5843</v>
      </c>
      <c r="AP257">
        <v>0</v>
      </c>
      <c r="AV257">
        <v>15.5</v>
      </c>
      <c r="AW257" t="s">
        <v>280</v>
      </c>
      <c r="AX257" t="s">
        <v>82</v>
      </c>
    </row>
    <row r="258" spans="1:50">
      <c r="A258" s="1">
        <f>HYPERLINK("https://lsnyc.legalserver.org/matter/dynamic-profile/view/1906523","19-1906523")</f>
        <v>0</v>
      </c>
      <c r="B258" t="s">
        <v>92</v>
      </c>
      <c r="C258" t="s">
        <v>191</v>
      </c>
      <c r="D258" t="s">
        <v>270</v>
      </c>
      <c r="F258" t="s">
        <v>644</v>
      </c>
      <c r="G258" t="s">
        <v>1386</v>
      </c>
      <c r="H258" t="s">
        <v>2137</v>
      </c>
      <c r="I258" t="s">
        <v>2895</v>
      </c>
      <c r="J258" t="s">
        <v>3148</v>
      </c>
      <c r="K258">
        <v>11212</v>
      </c>
      <c r="L258" t="s">
        <v>3185</v>
      </c>
      <c r="M258" t="s">
        <v>3189</v>
      </c>
      <c r="N258" t="s">
        <v>3186</v>
      </c>
      <c r="O258" t="s">
        <v>3287</v>
      </c>
      <c r="P258" t="s">
        <v>3610</v>
      </c>
      <c r="Q258" t="s">
        <v>3638</v>
      </c>
      <c r="S258" t="s">
        <v>234</v>
      </c>
      <c r="T258" t="s">
        <v>3660</v>
      </c>
      <c r="U258" t="s">
        <v>3184</v>
      </c>
      <c r="W258" t="s">
        <v>3670</v>
      </c>
      <c r="X258" t="s">
        <v>3682</v>
      </c>
      <c r="Y258">
        <v>2001</v>
      </c>
      <c r="Z258" t="s">
        <v>3691</v>
      </c>
      <c r="AA258" t="s">
        <v>3707</v>
      </c>
      <c r="AC258" t="s">
        <v>3956</v>
      </c>
      <c r="AD258" t="s">
        <v>3218</v>
      </c>
      <c r="AE258" t="s">
        <v>5082</v>
      </c>
      <c r="AF258">
        <v>74</v>
      </c>
      <c r="AG258" t="s">
        <v>5812</v>
      </c>
      <c r="AH258" t="s">
        <v>5830</v>
      </c>
      <c r="AI258">
        <v>11</v>
      </c>
      <c r="AJ258">
        <v>2</v>
      </c>
      <c r="AK258">
        <v>1</v>
      </c>
      <c r="AL258">
        <v>73.14</v>
      </c>
      <c r="AO258" t="s">
        <v>5843</v>
      </c>
      <c r="AP258">
        <v>15600</v>
      </c>
      <c r="AV258">
        <v>2</v>
      </c>
      <c r="AW258" t="s">
        <v>268</v>
      </c>
      <c r="AX258" t="s">
        <v>158</v>
      </c>
    </row>
    <row r="259" spans="1:50">
      <c r="A259" s="1">
        <f>HYPERLINK("https://lsnyc.legalserver.org/matter/dynamic-profile/view/1907956","19-1907956")</f>
        <v>0</v>
      </c>
      <c r="B259" t="s">
        <v>92</v>
      </c>
      <c r="C259" t="s">
        <v>191</v>
      </c>
      <c r="D259" t="s">
        <v>251</v>
      </c>
      <c r="F259" t="s">
        <v>645</v>
      </c>
      <c r="G259" t="s">
        <v>1387</v>
      </c>
      <c r="H259" t="s">
        <v>2138</v>
      </c>
      <c r="I259" t="s">
        <v>2826</v>
      </c>
      <c r="J259" t="s">
        <v>3148</v>
      </c>
      <c r="K259">
        <v>11207</v>
      </c>
      <c r="L259" t="s">
        <v>3185</v>
      </c>
      <c r="M259" t="s">
        <v>3189</v>
      </c>
      <c r="N259" t="s">
        <v>3186</v>
      </c>
      <c r="O259" t="s">
        <v>3288</v>
      </c>
      <c r="P259" t="s">
        <v>3613</v>
      </c>
      <c r="Q259" t="s">
        <v>3638</v>
      </c>
      <c r="S259" t="s">
        <v>251</v>
      </c>
      <c r="T259" t="s">
        <v>3660</v>
      </c>
      <c r="U259" t="s">
        <v>3184</v>
      </c>
      <c r="W259" t="s">
        <v>3670</v>
      </c>
      <c r="Y259">
        <v>1000</v>
      </c>
      <c r="Z259" t="s">
        <v>3691</v>
      </c>
      <c r="AA259" t="s">
        <v>3697</v>
      </c>
      <c r="AC259" t="s">
        <v>3957</v>
      </c>
      <c r="AE259" t="s">
        <v>5083</v>
      </c>
      <c r="AF259">
        <v>3</v>
      </c>
      <c r="AG259" t="s">
        <v>5814</v>
      </c>
      <c r="AH259" t="s">
        <v>3188</v>
      </c>
      <c r="AI259">
        <v>2</v>
      </c>
      <c r="AJ259">
        <v>2</v>
      </c>
      <c r="AK259">
        <v>0</v>
      </c>
      <c r="AL259">
        <v>0</v>
      </c>
      <c r="AO259" t="s">
        <v>5843</v>
      </c>
      <c r="AP259">
        <v>0</v>
      </c>
      <c r="AV259">
        <v>6</v>
      </c>
      <c r="AW259" t="s">
        <v>243</v>
      </c>
      <c r="AX259" t="s">
        <v>82</v>
      </c>
    </row>
    <row r="260" spans="1:50">
      <c r="A260" s="1">
        <f>HYPERLINK("https://lsnyc.legalserver.org/matter/dynamic-profile/view/1908943","19-1908943")</f>
        <v>0</v>
      </c>
      <c r="B260" t="s">
        <v>92</v>
      </c>
      <c r="C260" t="s">
        <v>191</v>
      </c>
      <c r="D260" t="s">
        <v>211</v>
      </c>
      <c r="F260" t="s">
        <v>646</v>
      </c>
      <c r="G260" t="s">
        <v>1334</v>
      </c>
      <c r="H260" t="s">
        <v>2139</v>
      </c>
      <c r="I260">
        <v>2</v>
      </c>
      <c r="J260" t="s">
        <v>3148</v>
      </c>
      <c r="K260">
        <v>11207</v>
      </c>
      <c r="L260" t="s">
        <v>3185</v>
      </c>
      <c r="M260" t="s">
        <v>3189</v>
      </c>
      <c r="N260" t="s">
        <v>3186</v>
      </c>
      <c r="O260" t="s">
        <v>3288</v>
      </c>
      <c r="P260" t="s">
        <v>3613</v>
      </c>
      <c r="Q260" t="s">
        <v>3638</v>
      </c>
      <c r="S260" t="s">
        <v>286</v>
      </c>
      <c r="T260" t="s">
        <v>3660</v>
      </c>
      <c r="U260" t="s">
        <v>3184</v>
      </c>
      <c r="W260" t="s">
        <v>3670</v>
      </c>
      <c r="Y260">
        <v>1000</v>
      </c>
      <c r="Z260" t="s">
        <v>3691</v>
      </c>
      <c r="AA260" t="s">
        <v>3697</v>
      </c>
      <c r="AC260" t="s">
        <v>3958</v>
      </c>
      <c r="AF260">
        <v>3</v>
      </c>
      <c r="AG260" t="s">
        <v>5814</v>
      </c>
      <c r="AH260" t="s">
        <v>3188</v>
      </c>
      <c r="AI260">
        <v>2</v>
      </c>
      <c r="AJ260">
        <v>2</v>
      </c>
      <c r="AK260">
        <v>0</v>
      </c>
      <c r="AL260">
        <v>206.98</v>
      </c>
      <c r="AO260" t="s">
        <v>5843</v>
      </c>
      <c r="AP260">
        <v>35000</v>
      </c>
      <c r="AV260">
        <v>0</v>
      </c>
      <c r="AX260" t="s">
        <v>82</v>
      </c>
    </row>
    <row r="261" spans="1:50">
      <c r="A261" s="1">
        <f>HYPERLINK("https://lsnyc.legalserver.org/matter/dynamic-profile/view/1904189","19-1904189")</f>
        <v>0</v>
      </c>
      <c r="B261" t="s">
        <v>92</v>
      </c>
      <c r="C261" t="s">
        <v>191</v>
      </c>
      <c r="D261" t="s">
        <v>213</v>
      </c>
      <c r="F261" t="s">
        <v>647</v>
      </c>
      <c r="G261" t="s">
        <v>1268</v>
      </c>
      <c r="H261" t="s">
        <v>2097</v>
      </c>
      <c r="I261" t="s">
        <v>2935</v>
      </c>
      <c r="J261" t="s">
        <v>3148</v>
      </c>
      <c r="K261">
        <v>11233</v>
      </c>
      <c r="L261" t="s">
        <v>3185</v>
      </c>
      <c r="M261" t="s">
        <v>3189</v>
      </c>
      <c r="N261" t="s">
        <v>3186</v>
      </c>
      <c r="O261" t="s">
        <v>3289</v>
      </c>
      <c r="P261" t="s">
        <v>3610</v>
      </c>
      <c r="Q261" t="s">
        <v>3638</v>
      </c>
      <c r="S261" t="s">
        <v>3650</v>
      </c>
      <c r="T261" t="s">
        <v>3660</v>
      </c>
      <c r="U261" t="s">
        <v>3184</v>
      </c>
      <c r="W261" t="s">
        <v>3670</v>
      </c>
      <c r="X261" t="s">
        <v>3681</v>
      </c>
      <c r="Y261">
        <v>980</v>
      </c>
      <c r="Z261" t="s">
        <v>3691</v>
      </c>
      <c r="AA261" t="s">
        <v>3701</v>
      </c>
      <c r="AC261" t="s">
        <v>3959</v>
      </c>
      <c r="AD261" t="s">
        <v>3218</v>
      </c>
      <c r="AE261" t="s">
        <v>5084</v>
      </c>
      <c r="AF261">
        <v>1107</v>
      </c>
      <c r="AG261" t="s">
        <v>5813</v>
      </c>
      <c r="AH261" t="s">
        <v>5830</v>
      </c>
      <c r="AI261">
        <v>35</v>
      </c>
      <c r="AJ261">
        <v>1</v>
      </c>
      <c r="AK261">
        <v>2</v>
      </c>
      <c r="AL261">
        <v>0</v>
      </c>
      <c r="AO261" t="s">
        <v>5843</v>
      </c>
      <c r="AP261">
        <v>0</v>
      </c>
      <c r="AV261">
        <v>7.9</v>
      </c>
      <c r="AW261" t="s">
        <v>222</v>
      </c>
      <c r="AX261" t="s">
        <v>158</v>
      </c>
    </row>
    <row r="262" spans="1:50">
      <c r="A262" s="1">
        <f>HYPERLINK("https://lsnyc.legalserver.org/matter/dynamic-profile/view/1908100","19-1908100")</f>
        <v>0</v>
      </c>
      <c r="B262" t="s">
        <v>92</v>
      </c>
      <c r="C262" t="s">
        <v>191</v>
      </c>
      <c r="D262" t="s">
        <v>195</v>
      </c>
      <c r="F262" t="s">
        <v>483</v>
      </c>
      <c r="G262" t="s">
        <v>1388</v>
      </c>
      <c r="H262" t="s">
        <v>2140</v>
      </c>
      <c r="I262" t="s">
        <v>2936</v>
      </c>
      <c r="J262" t="s">
        <v>3148</v>
      </c>
      <c r="K262">
        <v>11212</v>
      </c>
      <c r="L262" t="s">
        <v>3185</v>
      </c>
      <c r="M262" t="s">
        <v>3189</v>
      </c>
      <c r="N262" t="s">
        <v>3186</v>
      </c>
      <c r="O262" t="s">
        <v>3290</v>
      </c>
      <c r="P262" t="s">
        <v>3610</v>
      </c>
      <c r="Q262" t="s">
        <v>3638</v>
      </c>
      <c r="S262" t="s">
        <v>280</v>
      </c>
      <c r="T262" t="s">
        <v>3660</v>
      </c>
      <c r="U262" t="s">
        <v>3184</v>
      </c>
      <c r="W262" t="s">
        <v>3670</v>
      </c>
      <c r="X262" t="s">
        <v>3681</v>
      </c>
      <c r="Y262">
        <v>1027</v>
      </c>
      <c r="Z262" t="s">
        <v>3691</v>
      </c>
      <c r="AC262" t="s">
        <v>3960</v>
      </c>
      <c r="AD262" t="s">
        <v>4779</v>
      </c>
      <c r="AE262" t="s">
        <v>5085</v>
      </c>
      <c r="AF262">
        <v>260</v>
      </c>
      <c r="AG262" t="s">
        <v>5812</v>
      </c>
      <c r="AH262" t="s">
        <v>5830</v>
      </c>
      <c r="AI262">
        <v>17</v>
      </c>
      <c r="AJ262">
        <v>1</v>
      </c>
      <c r="AK262">
        <v>0</v>
      </c>
      <c r="AL262">
        <v>74.08</v>
      </c>
      <c r="AO262" t="s">
        <v>5843</v>
      </c>
      <c r="AP262">
        <v>9252</v>
      </c>
      <c r="AV262">
        <v>2.5</v>
      </c>
      <c r="AW262" t="s">
        <v>222</v>
      </c>
      <c r="AX262" t="s">
        <v>6012</v>
      </c>
    </row>
    <row r="263" spans="1:50">
      <c r="A263" s="1">
        <f>HYPERLINK("https://lsnyc.legalserver.org/matter/dynamic-profile/view/1909404","19-1909404")</f>
        <v>0</v>
      </c>
      <c r="B263" t="s">
        <v>92</v>
      </c>
      <c r="C263" t="s">
        <v>191</v>
      </c>
      <c r="D263" t="s">
        <v>196</v>
      </c>
      <c r="F263" t="s">
        <v>648</v>
      </c>
      <c r="G263" t="s">
        <v>1389</v>
      </c>
      <c r="H263" t="s">
        <v>2141</v>
      </c>
      <c r="I263">
        <v>1</v>
      </c>
      <c r="J263" t="s">
        <v>3148</v>
      </c>
      <c r="K263">
        <v>11207</v>
      </c>
      <c r="L263" t="s">
        <v>3185</v>
      </c>
      <c r="M263" t="s">
        <v>3190</v>
      </c>
      <c r="N263" t="s">
        <v>3186</v>
      </c>
      <c r="O263" t="s">
        <v>3291</v>
      </c>
      <c r="P263" t="s">
        <v>3610</v>
      </c>
      <c r="Q263" t="s">
        <v>3637</v>
      </c>
      <c r="S263" t="s">
        <v>196</v>
      </c>
      <c r="T263" t="s">
        <v>3660</v>
      </c>
      <c r="U263" t="s">
        <v>3184</v>
      </c>
      <c r="W263" t="s">
        <v>3670</v>
      </c>
      <c r="X263" t="s">
        <v>3681</v>
      </c>
      <c r="Y263">
        <v>2000</v>
      </c>
      <c r="Z263" t="s">
        <v>3691</v>
      </c>
      <c r="AA263" t="s">
        <v>3708</v>
      </c>
      <c r="AC263" t="s">
        <v>3961</v>
      </c>
      <c r="AD263" t="s">
        <v>4786</v>
      </c>
      <c r="AE263" t="s">
        <v>5086</v>
      </c>
      <c r="AF263">
        <v>3</v>
      </c>
      <c r="AI263">
        <v>0</v>
      </c>
      <c r="AJ263">
        <v>3</v>
      </c>
      <c r="AK263">
        <v>2</v>
      </c>
      <c r="AL263">
        <v>30.16</v>
      </c>
      <c r="AO263" t="s">
        <v>5843</v>
      </c>
      <c r="AP263">
        <v>9100</v>
      </c>
      <c r="AV263">
        <v>0</v>
      </c>
      <c r="AX263" t="s">
        <v>6033</v>
      </c>
    </row>
    <row r="264" spans="1:50">
      <c r="A264" s="1">
        <f>HYPERLINK("https://lsnyc.legalserver.org/matter/dynamic-profile/view/1909811","19-1909811")</f>
        <v>0</v>
      </c>
      <c r="B264" t="s">
        <v>92</v>
      </c>
      <c r="C264" t="s">
        <v>191</v>
      </c>
      <c r="D264" t="s">
        <v>275</v>
      </c>
      <c r="F264" t="s">
        <v>649</v>
      </c>
      <c r="G264" t="s">
        <v>1390</v>
      </c>
      <c r="H264" t="s">
        <v>2142</v>
      </c>
      <c r="I264" t="s">
        <v>2905</v>
      </c>
      <c r="J264" t="s">
        <v>3148</v>
      </c>
      <c r="K264">
        <v>11233</v>
      </c>
      <c r="L264" t="s">
        <v>3185</v>
      </c>
      <c r="M264" t="s">
        <v>3189</v>
      </c>
      <c r="N264" t="s">
        <v>3186</v>
      </c>
      <c r="O264" t="s">
        <v>3292</v>
      </c>
      <c r="P264" t="s">
        <v>3610</v>
      </c>
      <c r="Q264" t="s">
        <v>3638</v>
      </c>
      <c r="S264" t="s">
        <v>275</v>
      </c>
      <c r="T264" t="s">
        <v>3660</v>
      </c>
      <c r="U264" t="s">
        <v>3184</v>
      </c>
      <c r="W264" t="s">
        <v>3670</v>
      </c>
      <c r="X264" t="s">
        <v>3681</v>
      </c>
      <c r="Y264">
        <v>1515</v>
      </c>
      <c r="Z264" t="s">
        <v>3691</v>
      </c>
      <c r="AA264" t="s">
        <v>3699</v>
      </c>
      <c r="AC264" t="s">
        <v>3962</v>
      </c>
      <c r="AD264" t="s">
        <v>4787</v>
      </c>
      <c r="AE264" t="s">
        <v>5087</v>
      </c>
      <c r="AF264">
        <v>6</v>
      </c>
      <c r="AG264" t="s">
        <v>5813</v>
      </c>
      <c r="AH264" t="s">
        <v>3188</v>
      </c>
      <c r="AI264">
        <v>3</v>
      </c>
      <c r="AJ264">
        <v>1</v>
      </c>
      <c r="AK264">
        <v>0</v>
      </c>
      <c r="AL264">
        <v>13.63</v>
      </c>
      <c r="AO264" t="s">
        <v>5843</v>
      </c>
      <c r="AP264">
        <v>1703</v>
      </c>
      <c r="AV264">
        <v>0</v>
      </c>
      <c r="AX264" t="s">
        <v>158</v>
      </c>
    </row>
    <row r="265" spans="1:50">
      <c r="A265" s="1">
        <f>HYPERLINK("https://lsnyc.legalserver.org/matter/dynamic-profile/view/1899836","19-1899836")</f>
        <v>0</v>
      </c>
      <c r="B265" t="s">
        <v>94</v>
      </c>
      <c r="C265" t="s">
        <v>191</v>
      </c>
      <c r="D265" t="s">
        <v>204</v>
      </c>
      <c r="F265" t="s">
        <v>650</v>
      </c>
      <c r="G265" t="s">
        <v>1391</v>
      </c>
      <c r="H265" t="s">
        <v>2143</v>
      </c>
      <c r="I265">
        <v>2</v>
      </c>
      <c r="J265" t="s">
        <v>3147</v>
      </c>
      <c r="K265">
        <v>10473</v>
      </c>
      <c r="L265" t="s">
        <v>3186</v>
      </c>
      <c r="N265" t="s">
        <v>3186</v>
      </c>
      <c r="P265" t="s">
        <v>3615</v>
      </c>
      <c r="Q265" t="s">
        <v>3635</v>
      </c>
      <c r="T265" t="s">
        <v>3660</v>
      </c>
      <c r="U265" t="s">
        <v>3184</v>
      </c>
      <c r="W265" t="s">
        <v>3677</v>
      </c>
      <c r="Y265">
        <v>800</v>
      </c>
      <c r="Z265" t="s">
        <v>3690</v>
      </c>
      <c r="AA265" t="s">
        <v>3707</v>
      </c>
      <c r="AC265" t="s">
        <v>3963</v>
      </c>
      <c r="AD265" t="s">
        <v>4788</v>
      </c>
      <c r="AE265" t="s">
        <v>5088</v>
      </c>
      <c r="AF265">
        <v>3</v>
      </c>
      <c r="AG265" t="s">
        <v>5814</v>
      </c>
      <c r="AH265" t="s">
        <v>5828</v>
      </c>
      <c r="AI265">
        <v>1</v>
      </c>
      <c r="AJ265">
        <v>1</v>
      </c>
      <c r="AK265">
        <v>0</v>
      </c>
      <c r="AL265">
        <v>70.62</v>
      </c>
      <c r="AO265" t="s">
        <v>5843</v>
      </c>
      <c r="AP265">
        <v>8820</v>
      </c>
      <c r="AQ265" t="s">
        <v>5877</v>
      </c>
      <c r="AV265">
        <v>25.75</v>
      </c>
      <c r="AW265" t="s">
        <v>269</v>
      </c>
      <c r="AX265" t="s">
        <v>6014</v>
      </c>
    </row>
    <row r="266" spans="1:50">
      <c r="A266" s="1">
        <f>HYPERLINK("https://lsnyc.legalserver.org/matter/dynamic-profile/view/1892178","19-1892178")</f>
        <v>0</v>
      </c>
      <c r="B266" t="s">
        <v>95</v>
      </c>
      <c r="C266" t="s">
        <v>191</v>
      </c>
      <c r="D266" t="s">
        <v>276</v>
      </c>
      <c r="F266" t="s">
        <v>651</v>
      </c>
      <c r="G266" t="s">
        <v>1392</v>
      </c>
      <c r="H266" t="s">
        <v>2144</v>
      </c>
      <c r="I266" t="s">
        <v>2937</v>
      </c>
      <c r="J266" t="s">
        <v>3147</v>
      </c>
      <c r="K266">
        <v>10458</v>
      </c>
      <c r="L266" t="s">
        <v>3184</v>
      </c>
      <c r="N266" t="s">
        <v>3184</v>
      </c>
      <c r="P266" t="s">
        <v>3615</v>
      </c>
      <c r="Q266" t="s">
        <v>3636</v>
      </c>
      <c r="T266" t="s">
        <v>3660</v>
      </c>
      <c r="U266" t="s">
        <v>3184</v>
      </c>
      <c r="W266" t="s">
        <v>3670</v>
      </c>
      <c r="Y266">
        <v>0</v>
      </c>
      <c r="Z266" t="s">
        <v>3690</v>
      </c>
      <c r="AF266">
        <v>22</v>
      </c>
      <c r="AI266">
        <v>0</v>
      </c>
      <c r="AJ266">
        <v>1</v>
      </c>
      <c r="AK266">
        <v>0</v>
      </c>
      <c r="AL266">
        <v>0</v>
      </c>
      <c r="AO266" t="s">
        <v>5843</v>
      </c>
      <c r="AP266">
        <v>0</v>
      </c>
      <c r="AQ266" t="s">
        <v>5878</v>
      </c>
      <c r="AV266">
        <v>8.199999999999999</v>
      </c>
      <c r="AW266" t="s">
        <v>197</v>
      </c>
      <c r="AX266" t="s">
        <v>6034</v>
      </c>
    </row>
    <row r="267" spans="1:50">
      <c r="A267" s="1">
        <f>HYPERLINK("https://lsnyc.legalserver.org/matter/dynamic-profile/view/1907238","19-1907238")</f>
        <v>0</v>
      </c>
      <c r="B267" t="s">
        <v>59</v>
      </c>
      <c r="C267" t="s">
        <v>191</v>
      </c>
      <c r="D267" t="s">
        <v>246</v>
      </c>
      <c r="F267" t="s">
        <v>652</v>
      </c>
      <c r="G267" t="s">
        <v>1393</v>
      </c>
      <c r="H267" t="s">
        <v>1997</v>
      </c>
      <c r="I267" t="s">
        <v>2938</v>
      </c>
      <c r="J267" t="s">
        <v>3147</v>
      </c>
      <c r="K267">
        <v>10452</v>
      </c>
      <c r="L267" t="s">
        <v>3184</v>
      </c>
      <c r="N267" t="s">
        <v>3186</v>
      </c>
      <c r="O267" t="s">
        <v>3293</v>
      </c>
      <c r="P267" t="s">
        <v>3610</v>
      </c>
      <c r="Q267" t="s">
        <v>3637</v>
      </c>
      <c r="T267" t="s">
        <v>3660</v>
      </c>
      <c r="U267" t="s">
        <v>3184</v>
      </c>
      <c r="W267" t="s">
        <v>3670</v>
      </c>
      <c r="X267" t="s">
        <v>3681</v>
      </c>
      <c r="Y267">
        <v>0</v>
      </c>
      <c r="Z267" t="s">
        <v>3690</v>
      </c>
      <c r="AA267" t="s">
        <v>3696</v>
      </c>
      <c r="AC267" t="s">
        <v>3964</v>
      </c>
      <c r="AE267" t="s">
        <v>5089</v>
      </c>
      <c r="AF267">
        <v>122</v>
      </c>
      <c r="AG267" t="s">
        <v>5813</v>
      </c>
      <c r="AH267" t="s">
        <v>5827</v>
      </c>
      <c r="AI267">
        <v>28</v>
      </c>
      <c r="AJ267">
        <v>2</v>
      </c>
      <c r="AK267">
        <v>0</v>
      </c>
      <c r="AL267">
        <v>0</v>
      </c>
      <c r="AO267" t="s">
        <v>5843</v>
      </c>
      <c r="AP267">
        <v>0</v>
      </c>
      <c r="AQ267" t="s">
        <v>5863</v>
      </c>
      <c r="AV267">
        <v>6.5</v>
      </c>
      <c r="AW267" t="s">
        <v>252</v>
      </c>
      <c r="AX267" t="s">
        <v>59</v>
      </c>
    </row>
    <row r="268" spans="1:50">
      <c r="A268" s="1">
        <f>HYPERLINK("https://lsnyc.legalserver.org/matter/dynamic-profile/view/1906690","19-1906690")</f>
        <v>0</v>
      </c>
      <c r="B268" t="s">
        <v>96</v>
      </c>
      <c r="C268" t="s">
        <v>191</v>
      </c>
      <c r="D268" t="s">
        <v>277</v>
      </c>
      <c r="F268" t="s">
        <v>653</v>
      </c>
      <c r="G268" t="s">
        <v>522</v>
      </c>
      <c r="H268" t="s">
        <v>2145</v>
      </c>
      <c r="J268" t="s">
        <v>3149</v>
      </c>
      <c r="K268">
        <v>11354</v>
      </c>
      <c r="L268" t="s">
        <v>3185</v>
      </c>
      <c r="M268" t="s">
        <v>3189</v>
      </c>
      <c r="N268" t="s">
        <v>3186</v>
      </c>
      <c r="O268" t="s">
        <v>3294</v>
      </c>
      <c r="P268" t="s">
        <v>3623</v>
      </c>
      <c r="Q268" t="s">
        <v>3639</v>
      </c>
      <c r="S268" t="s">
        <v>277</v>
      </c>
      <c r="T268" t="s">
        <v>3660</v>
      </c>
      <c r="U268" t="s">
        <v>3184</v>
      </c>
      <c r="W268" t="s">
        <v>3670</v>
      </c>
      <c r="X268" t="s">
        <v>3681</v>
      </c>
      <c r="Y268">
        <v>1100</v>
      </c>
      <c r="Z268" t="s">
        <v>3688</v>
      </c>
      <c r="AA268" t="s">
        <v>3696</v>
      </c>
      <c r="AC268" t="s">
        <v>3965</v>
      </c>
      <c r="AD268" t="s">
        <v>4764</v>
      </c>
      <c r="AE268" t="s">
        <v>5090</v>
      </c>
      <c r="AF268">
        <v>2</v>
      </c>
      <c r="AG268" t="s">
        <v>5814</v>
      </c>
      <c r="AH268" t="s">
        <v>3188</v>
      </c>
      <c r="AI268">
        <v>1</v>
      </c>
      <c r="AJ268">
        <v>1</v>
      </c>
      <c r="AK268">
        <v>0</v>
      </c>
      <c r="AL268">
        <v>120.1</v>
      </c>
      <c r="AO268" t="s">
        <v>5853</v>
      </c>
      <c r="AP268">
        <v>15000</v>
      </c>
      <c r="AV268">
        <v>15.35</v>
      </c>
      <c r="AW268" t="s">
        <v>196</v>
      </c>
      <c r="AX268" t="s">
        <v>62</v>
      </c>
    </row>
    <row r="269" spans="1:50">
      <c r="A269" s="1">
        <f>HYPERLINK("https://lsnyc.legalserver.org/matter/dynamic-profile/view/0806247","16-0806247")</f>
        <v>0</v>
      </c>
      <c r="B269" t="s">
        <v>60</v>
      </c>
      <c r="C269" t="s">
        <v>191</v>
      </c>
      <c r="D269" t="s">
        <v>278</v>
      </c>
      <c r="F269" t="s">
        <v>475</v>
      </c>
      <c r="G269" t="s">
        <v>1222</v>
      </c>
      <c r="H269" t="s">
        <v>1997</v>
      </c>
      <c r="I269" t="s">
        <v>2840</v>
      </c>
      <c r="J269" t="s">
        <v>3147</v>
      </c>
      <c r="K269">
        <v>10452</v>
      </c>
      <c r="L269" t="s">
        <v>3184</v>
      </c>
      <c r="N269" t="s">
        <v>3186</v>
      </c>
      <c r="O269" t="s">
        <v>3295</v>
      </c>
      <c r="P269" t="s">
        <v>3624</v>
      </c>
      <c r="Q269" t="s">
        <v>3638</v>
      </c>
      <c r="T269" t="s">
        <v>3660</v>
      </c>
      <c r="U269" t="s">
        <v>3185</v>
      </c>
      <c r="W269" t="s">
        <v>3670</v>
      </c>
      <c r="Y269">
        <v>855.3099999999999</v>
      </c>
      <c r="Z269" t="s">
        <v>3690</v>
      </c>
      <c r="AA269" t="s">
        <v>3700</v>
      </c>
      <c r="AC269" t="s">
        <v>3761</v>
      </c>
      <c r="AF269">
        <v>121</v>
      </c>
      <c r="AG269" t="s">
        <v>5813</v>
      </c>
      <c r="AH269" t="s">
        <v>3188</v>
      </c>
      <c r="AI269">
        <v>7</v>
      </c>
      <c r="AJ269">
        <v>2</v>
      </c>
      <c r="AK269">
        <v>0</v>
      </c>
      <c r="AL269">
        <v>0</v>
      </c>
      <c r="AO269" t="s">
        <v>5843</v>
      </c>
      <c r="AP269">
        <v>0</v>
      </c>
      <c r="AV269">
        <v>0.1</v>
      </c>
      <c r="AW269" t="s">
        <v>5977</v>
      </c>
      <c r="AX269" t="s">
        <v>68</v>
      </c>
    </row>
    <row r="270" spans="1:50">
      <c r="A270" s="1">
        <f>HYPERLINK("https://lsnyc.legalserver.org/matter/dynamic-profile/view/0806186","16-0806186")</f>
        <v>0</v>
      </c>
      <c r="B270" t="s">
        <v>60</v>
      </c>
      <c r="C270" t="s">
        <v>191</v>
      </c>
      <c r="D270" t="s">
        <v>278</v>
      </c>
      <c r="F270" t="s">
        <v>491</v>
      </c>
      <c r="G270" t="s">
        <v>1238</v>
      </c>
      <c r="H270" t="s">
        <v>1997</v>
      </c>
      <c r="I270" t="s">
        <v>2853</v>
      </c>
      <c r="J270" t="s">
        <v>3147</v>
      </c>
      <c r="K270">
        <v>10452</v>
      </c>
      <c r="L270" t="s">
        <v>3184</v>
      </c>
      <c r="N270" t="s">
        <v>3185</v>
      </c>
      <c r="O270" t="s">
        <v>3295</v>
      </c>
      <c r="P270" t="s">
        <v>3624</v>
      </c>
      <c r="Q270" t="s">
        <v>3638</v>
      </c>
      <c r="T270" t="s">
        <v>3660</v>
      </c>
      <c r="U270" t="s">
        <v>3185</v>
      </c>
      <c r="W270" t="s">
        <v>3670</v>
      </c>
      <c r="Y270">
        <v>1197.41</v>
      </c>
      <c r="Z270" t="s">
        <v>3690</v>
      </c>
      <c r="AA270" t="s">
        <v>3700</v>
      </c>
      <c r="AC270" t="s">
        <v>3780</v>
      </c>
      <c r="AD270" t="s">
        <v>4772</v>
      </c>
      <c r="AF270">
        <v>122</v>
      </c>
      <c r="AG270" t="s">
        <v>5813</v>
      </c>
      <c r="AH270" t="s">
        <v>3188</v>
      </c>
      <c r="AI270">
        <v>8</v>
      </c>
      <c r="AJ270">
        <v>2</v>
      </c>
      <c r="AK270">
        <v>5</v>
      </c>
      <c r="AL270">
        <v>62.62</v>
      </c>
      <c r="AO270" t="s">
        <v>5843</v>
      </c>
      <c r="AP270">
        <v>23000</v>
      </c>
      <c r="AQ270" t="s">
        <v>5879</v>
      </c>
      <c r="AV270">
        <v>0.1</v>
      </c>
      <c r="AW270" t="s">
        <v>5977</v>
      </c>
      <c r="AX270" t="s">
        <v>68</v>
      </c>
    </row>
    <row r="271" spans="1:50">
      <c r="A271" s="1">
        <f>HYPERLINK("https://lsnyc.legalserver.org/matter/dynamic-profile/view/0789070","15-0789070")</f>
        <v>0</v>
      </c>
      <c r="B271" t="s">
        <v>60</v>
      </c>
      <c r="C271" t="s">
        <v>191</v>
      </c>
      <c r="D271" t="s">
        <v>279</v>
      </c>
      <c r="F271" t="s">
        <v>509</v>
      </c>
      <c r="G271" t="s">
        <v>1257</v>
      </c>
      <c r="H271" t="s">
        <v>1997</v>
      </c>
      <c r="I271" t="s">
        <v>2863</v>
      </c>
      <c r="J271" t="s">
        <v>3147</v>
      </c>
      <c r="K271">
        <v>10452</v>
      </c>
      <c r="L271" t="s">
        <v>3184</v>
      </c>
      <c r="N271" t="s">
        <v>3186</v>
      </c>
      <c r="O271" t="s">
        <v>3295</v>
      </c>
      <c r="P271" t="s">
        <v>3624</v>
      </c>
      <c r="Q271" t="s">
        <v>3638</v>
      </c>
      <c r="T271" t="s">
        <v>3660</v>
      </c>
      <c r="U271" t="s">
        <v>3185</v>
      </c>
      <c r="W271" t="s">
        <v>3670</v>
      </c>
      <c r="Y271">
        <v>1050</v>
      </c>
      <c r="Z271" t="s">
        <v>3690</v>
      </c>
      <c r="AA271" t="s">
        <v>3694</v>
      </c>
      <c r="AC271" t="s">
        <v>3800</v>
      </c>
      <c r="AE271" t="s">
        <v>4943</v>
      </c>
      <c r="AF271">
        <v>122</v>
      </c>
      <c r="AG271" t="s">
        <v>5813</v>
      </c>
      <c r="AH271" t="s">
        <v>3188</v>
      </c>
      <c r="AI271">
        <v>1</v>
      </c>
      <c r="AJ271">
        <v>1</v>
      </c>
      <c r="AK271">
        <v>0</v>
      </c>
      <c r="AL271">
        <v>278.33</v>
      </c>
      <c r="AO271" t="s">
        <v>5843</v>
      </c>
      <c r="AP271">
        <v>32760</v>
      </c>
      <c r="AV271">
        <v>0.1</v>
      </c>
      <c r="AW271" t="s">
        <v>5978</v>
      </c>
      <c r="AX271" t="s">
        <v>68</v>
      </c>
    </row>
    <row r="272" spans="1:50">
      <c r="A272" s="1">
        <f>HYPERLINK("https://lsnyc.legalserver.org/matter/dynamic-profile/view/1908818","19-1908818")</f>
        <v>0</v>
      </c>
      <c r="B272" t="s">
        <v>97</v>
      </c>
      <c r="C272" t="s">
        <v>191</v>
      </c>
      <c r="D272" t="s">
        <v>280</v>
      </c>
      <c r="F272" t="s">
        <v>627</v>
      </c>
      <c r="G272" t="s">
        <v>1394</v>
      </c>
      <c r="H272" t="s">
        <v>2146</v>
      </c>
      <c r="I272" t="s">
        <v>2939</v>
      </c>
      <c r="J272" t="s">
        <v>3148</v>
      </c>
      <c r="K272">
        <v>11207</v>
      </c>
      <c r="L272" t="s">
        <v>3185</v>
      </c>
      <c r="M272" t="s">
        <v>3189</v>
      </c>
      <c r="N272" t="s">
        <v>3186</v>
      </c>
      <c r="O272" t="s">
        <v>3296</v>
      </c>
      <c r="P272" t="s">
        <v>3613</v>
      </c>
      <c r="Q272" t="s">
        <v>3634</v>
      </c>
      <c r="T272" t="s">
        <v>3660</v>
      </c>
      <c r="W272" t="s">
        <v>3670</v>
      </c>
      <c r="Y272">
        <v>800</v>
      </c>
      <c r="Z272" t="s">
        <v>3691</v>
      </c>
      <c r="AA272" t="s">
        <v>3698</v>
      </c>
      <c r="AC272" t="s">
        <v>3966</v>
      </c>
      <c r="AE272" t="s">
        <v>5091</v>
      </c>
      <c r="AF272">
        <v>0</v>
      </c>
      <c r="AI272">
        <v>0</v>
      </c>
      <c r="AJ272">
        <v>1</v>
      </c>
      <c r="AK272">
        <v>0</v>
      </c>
      <c r="AL272">
        <v>17.58</v>
      </c>
      <c r="AO272" t="s">
        <v>5843</v>
      </c>
      <c r="AP272">
        <v>2196</v>
      </c>
      <c r="AV272">
        <v>0</v>
      </c>
      <c r="AX272" t="s">
        <v>6032</v>
      </c>
    </row>
    <row r="273" spans="1:50">
      <c r="A273" s="1">
        <f>HYPERLINK("https://lsnyc.legalserver.org/matter/dynamic-profile/view/1908559","19-1908559")</f>
        <v>0</v>
      </c>
      <c r="B273" t="s">
        <v>72</v>
      </c>
      <c r="C273" t="s">
        <v>191</v>
      </c>
      <c r="D273" t="s">
        <v>216</v>
      </c>
      <c r="F273" t="s">
        <v>654</v>
      </c>
      <c r="G273" t="s">
        <v>1395</v>
      </c>
      <c r="H273" t="s">
        <v>2147</v>
      </c>
      <c r="I273">
        <v>25</v>
      </c>
      <c r="J273" t="s">
        <v>3147</v>
      </c>
      <c r="K273">
        <v>10460</v>
      </c>
      <c r="L273" t="s">
        <v>3184</v>
      </c>
      <c r="M273" t="s">
        <v>3188</v>
      </c>
      <c r="N273" t="s">
        <v>3186</v>
      </c>
      <c r="O273" t="s">
        <v>3297</v>
      </c>
      <c r="P273" t="s">
        <v>3613</v>
      </c>
      <c r="Q273" t="s">
        <v>3638</v>
      </c>
      <c r="T273" t="s">
        <v>3660</v>
      </c>
      <c r="U273" t="s">
        <v>3184</v>
      </c>
      <c r="W273" t="s">
        <v>3670</v>
      </c>
      <c r="X273" t="s">
        <v>3682</v>
      </c>
      <c r="Y273">
        <v>1587.81</v>
      </c>
      <c r="Z273" t="s">
        <v>3690</v>
      </c>
      <c r="AA273" t="s">
        <v>3696</v>
      </c>
      <c r="AC273" t="s">
        <v>3967</v>
      </c>
      <c r="AE273" t="s">
        <v>5092</v>
      </c>
      <c r="AF273">
        <v>0</v>
      </c>
      <c r="AG273" t="s">
        <v>5813</v>
      </c>
      <c r="AH273" t="s">
        <v>5827</v>
      </c>
      <c r="AI273">
        <v>8</v>
      </c>
      <c r="AJ273">
        <v>2</v>
      </c>
      <c r="AK273">
        <v>2</v>
      </c>
      <c r="AL273">
        <v>70.68000000000001</v>
      </c>
      <c r="AO273" t="s">
        <v>5844</v>
      </c>
      <c r="AP273">
        <v>18200</v>
      </c>
      <c r="AV273">
        <v>1.2</v>
      </c>
      <c r="AW273" t="s">
        <v>196</v>
      </c>
      <c r="AX273" t="s">
        <v>6024</v>
      </c>
    </row>
    <row r="274" spans="1:50">
      <c r="A274" s="1">
        <f>HYPERLINK("https://lsnyc.legalserver.org/matter/dynamic-profile/view/1908797","19-1908797")</f>
        <v>0</v>
      </c>
      <c r="B274" t="s">
        <v>97</v>
      </c>
      <c r="C274" t="s">
        <v>191</v>
      </c>
      <c r="D274" t="s">
        <v>280</v>
      </c>
      <c r="F274" t="s">
        <v>655</v>
      </c>
      <c r="G274" t="s">
        <v>1396</v>
      </c>
      <c r="H274" t="s">
        <v>2148</v>
      </c>
      <c r="I274" t="s">
        <v>2822</v>
      </c>
      <c r="J274" t="s">
        <v>3148</v>
      </c>
      <c r="K274">
        <v>11208</v>
      </c>
      <c r="L274" t="s">
        <v>3185</v>
      </c>
      <c r="M274" t="s">
        <v>3189</v>
      </c>
      <c r="N274" t="s">
        <v>3186</v>
      </c>
      <c r="O274" t="s">
        <v>3298</v>
      </c>
      <c r="P274" t="s">
        <v>3613</v>
      </c>
      <c r="Q274" t="s">
        <v>3634</v>
      </c>
      <c r="T274" t="s">
        <v>3660</v>
      </c>
      <c r="W274" t="s">
        <v>3670</v>
      </c>
      <c r="Y274">
        <v>0</v>
      </c>
      <c r="Z274" t="s">
        <v>3691</v>
      </c>
      <c r="AA274" t="s">
        <v>3698</v>
      </c>
      <c r="AC274" t="s">
        <v>3968</v>
      </c>
      <c r="AD274" t="s">
        <v>4789</v>
      </c>
      <c r="AE274" t="s">
        <v>5093</v>
      </c>
      <c r="AF274">
        <v>0</v>
      </c>
      <c r="AI274">
        <v>0</v>
      </c>
      <c r="AJ274">
        <v>1</v>
      </c>
      <c r="AK274">
        <v>0</v>
      </c>
      <c r="AL274">
        <v>120.77</v>
      </c>
      <c r="AO274" t="s">
        <v>5843</v>
      </c>
      <c r="AP274">
        <v>15084</v>
      </c>
      <c r="AV274">
        <v>0</v>
      </c>
      <c r="AX274" t="s">
        <v>6032</v>
      </c>
    </row>
    <row r="275" spans="1:50">
      <c r="A275" s="1">
        <f>HYPERLINK("https://lsnyc.legalserver.org/matter/dynamic-profile/view/1908590","19-1908590")</f>
        <v>0</v>
      </c>
      <c r="B275" t="s">
        <v>72</v>
      </c>
      <c r="C275" t="s">
        <v>191</v>
      </c>
      <c r="D275" t="s">
        <v>231</v>
      </c>
      <c r="F275" t="s">
        <v>537</v>
      </c>
      <c r="G275" t="s">
        <v>1397</v>
      </c>
      <c r="H275" t="s">
        <v>2149</v>
      </c>
      <c r="I275">
        <v>205</v>
      </c>
      <c r="J275" t="s">
        <v>3147</v>
      </c>
      <c r="K275">
        <v>10453</v>
      </c>
      <c r="L275" t="s">
        <v>3184</v>
      </c>
      <c r="M275" t="s">
        <v>3190</v>
      </c>
      <c r="N275" t="s">
        <v>3186</v>
      </c>
      <c r="O275" t="s">
        <v>3299</v>
      </c>
      <c r="P275" t="s">
        <v>3610</v>
      </c>
      <c r="T275" t="s">
        <v>3660</v>
      </c>
      <c r="U275" t="s">
        <v>3184</v>
      </c>
      <c r="W275" t="s">
        <v>3670</v>
      </c>
      <c r="Y275">
        <v>1165</v>
      </c>
      <c r="Z275" t="s">
        <v>3690</v>
      </c>
      <c r="AA275" t="s">
        <v>3698</v>
      </c>
      <c r="AC275" t="s">
        <v>3842</v>
      </c>
      <c r="AD275" t="s">
        <v>4790</v>
      </c>
      <c r="AE275" t="s">
        <v>5094</v>
      </c>
      <c r="AF275">
        <v>55</v>
      </c>
      <c r="AG275" t="s">
        <v>5813</v>
      </c>
      <c r="AH275" t="s">
        <v>5828</v>
      </c>
      <c r="AI275">
        <v>2</v>
      </c>
      <c r="AJ275">
        <v>2</v>
      </c>
      <c r="AK275">
        <v>3</v>
      </c>
      <c r="AL275">
        <v>115.62</v>
      </c>
      <c r="AP275">
        <v>34882</v>
      </c>
      <c r="AV275">
        <v>1.2</v>
      </c>
      <c r="AW275" t="s">
        <v>275</v>
      </c>
      <c r="AX275" t="s">
        <v>6024</v>
      </c>
    </row>
    <row r="276" spans="1:50">
      <c r="A276" s="1">
        <f>HYPERLINK("https://lsnyc.legalserver.org/matter/dynamic-profile/view/1906228","19-1906228")</f>
        <v>0</v>
      </c>
      <c r="B276" t="s">
        <v>98</v>
      </c>
      <c r="C276" t="s">
        <v>191</v>
      </c>
      <c r="D276" t="s">
        <v>219</v>
      </c>
      <c r="F276" t="s">
        <v>483</v>
      </c>
      <c r="G276" t="s">
        <v>1398</v>
      </c>
      <c r="H276" t="s">
        <v>2150</v>
      </c>
      <c r="I276" t="s">
        <v>2819</v>
      </c>
      <c r="J276" t="s">
        <v>3147</v>
      </c>
      <c r="K276">
        <v>10463</v>
      </c>
      <c r="L276" t="s">
        <v>3184</v>
      </c>
      <c r="M276" t="s">
        <v>3189</v>
      </c>
      <c r="N276" t="s">
        <v>3186</v>
      </c>
      <c r="Q276" t="s">
        <v>3637</v>
      </c>
      <c r="T276" t="s">
        <v>3660</v>
      </c>
      <c r="U276" t="s">
        <v>3184</v>
      </c>
      <c r="W276" t="s">
        <v>3670</v>
      </c>
      <c r="Y276">
        <v>975.72</v>
      </c>
      <c r="Z276" t="s">
        <v>3689</v>
      </c>
      <c r="AA276" t="s">
        <v>3697</v>
      </c>
      <c r="AC276" t="s">
        <v>3969</v>
      </c>
      <c r="AE276" t="s">
        <v>5095</v>
      </c>
      <c r="AF276">
        <v>41</v>
      </c>
      <c r="AG276" t="s">
        <v>5813</v>
      </c>
      <c r="AH276" t="s">
        <v>3188</v>
      </c>
      <c r="AI276">
        <v>21</v>
      </c>
      <c r="AJ276">
        <v>1</v>
      </c>
      <c r="AK276">
        <v>1</v>
      </c>
      <c r="AL276">
        <v>62.73</v>
      </c>
      <c r="AO276" t="s">
        <v>5844</v>
      </c>
      <c r="AP276">
        <v>10608</v>
      </c>
      <c r="AQ276" t="s">
        <v>5880</v>
      </c>
      <c r="AV276">
        <v>0</v>
      </c>
      <c r="AX276" t="s">
        <v>108</v>
      </c>
    </row>
    <row r="277" spans="1:50">
      <c r="A277" s="1">
        <f>HYPERLINK("https://lsnyc.legalserver.org/matter/dynamic-profile/view/1907090","19-1907090")</f>
        <v>0</v>
      </c>
      <c r="B277" t="s">
        <v>84</v>
      </c>
      <c r="C277" t="s">
        <v>192</v>
      </c>
      <c r="D277" t="s">
        <v>281</v>
      </c>
      <c r="E277" t="s">
        <v>231</v>
      </c>
      <c r="F277" t="s">
        <v>656</v>
      </c>
      <c r="G277" t="s">
        <v>1399</v>
      </c>
      <c r="H277" t="s">
        <v>2151</v>
      </c>
      <c r="I277" t="s">
        <v>2894</v>
      </c>
      <c r="J277" t="s">
        <v>3147</v>
      </c>
      <c r="K277">
        <v>10468</v>
      </c>
      <c r="L277" t="s">
        <v>3184</v>
      </c>
      <c r="N277" t="s">
        <v>3186</v>
      </c>
      <c r="P277" t="s">
        <v>3613</v>
      </c>
      <c r="Q277" t="s">
        <v>3634</v>
      </c>
      <c r="R277" t="s">
        <v>3642</v>
      </c>
      <c r="T277" t="s">
        <v>3660</v>
      </c>
      <c r="U277" t="s">
        <v>3184</v>
      </c>
      <c r="W277" t="s">
        <v>3670</v>
      </c>
      <c r="X277" t="s">
        <v>3681</v>
      </c>
      <c r="Y277">
        <v>978.29</v>
      </c>
      <c r="Z277" t="s">
        <v>3690</v>
      </c>
      <c r="AA277" t="s">
        <v>3700</v>
      </c>
      <c r="AB277" t="s">
        <v>3712</v>
      </c>
      <c r="AC277" t="s">
        <v>3970</v>
      </c>
      <c r="AE277" t="s">
        <v>5096</v>
      </c>
      <c r="AF277">
        <v>62</v>
      </c>
      <c r="AG277" t="s">
        <v>3263</v>
      </c>
      <c r="AH277" t="s">
        <v>3188</v>
      </c>
      <c r="AI277">
        <v>21</v>
      </c>
      <c r="AJ277">
        <v>2</v>
      </c>
      <c r="AK277">
        <v>0</v>
      </c>
      <c r="AL277">
        <v>172.21</v>
      </c>
      <c r="AO277" t="s">
        <v>5844</v>
      </c>
      <c r="AP277">
        <v>29120</v>
      </c>
      <c r="AV277">
        <v>1</v>
      </c>
      <c r="AW277" t="s">
        <v>231</v>
      </c>
      <c r="AX277" t="s">
        <v>78</v>
      </c>
    </row>
    <row r="278" spans="1:50">
      <c r="A278" s="1">
        <f>HYPERLINK("https://lsnyc.legalserver.org/matter/dynamic-profile/view/1907936","19-1907936")</f>
        <v>0</v>
      </c>
      <c r="B278" t="s">
        <v>84</v>
      </c>
      <c r="C278" t="s">
        <v>191</v>
      </c>
      <c r="D278" t="s">
        <v>251</v>
      </c>
      <c r="F278" t="s">
        <v>564</v>
      </c>
      <c r="G278" t="s">
        <v>1305</v>
      </c>
      <c r="H278" t="s">
        <v>2074</v>
      </c>
      <c r="I278" t="s">
        <v>2848</v>
      </c>
      <c r="J278" t="s">
        <v>3147</v>
      </c>
      <c r="K278">
        <v>10460</v>
      </c>
      <c r="L278" t="s">
        <v>3184</v>
      </c>
      <c r="M278" t="s">
        <v>3188</v>
      </c>
      <c r="N278" t="s">
        <v>3186</v>
      </c>
      <c r="P278" t="s">
        <v>3623</v>
      </c>
      <c r="Q278" t="s">
        <v>3639</v>
      </c>
      <c r="T278" t="s">
        <v>3660</v>
      </c>
      <c r="U278" t="s">
        <v>3184</v>
      </c>
      <c r="W278" t="s">
        <v>3674</v>
      </c>
      <c r="Y278">
        <v>1419</v>
      </c>
      <c r="Z278" t="s">
        <v>3690</v>
      </c>
      <c r="AA278" t="s">
        <v>3632</v>
      </c>
      <c r="AC278" t="s">
        <v>3862</v>
      </c>
      <c r="AE278" t="s">
        <v>5001</v>
      </c>
      <c r="AF278">
        <v>18</v>
      </c>
      <c r="AG278" t="s">
        <v>5813</v>
      </c>
      <c r="AH278" t="s">
        <v>5827</v>
      </c>
      <c r="AI278">
        <v>3</v>
      </c>
      <c r="AJ278">
        <v>4</v>
      </c>
      <c r="AK278">
        <v>0</v>
      </c>
      <c r="AL278">
        <v>72.23</v>
      </c>
      <c r="AO278" t="s">
        <v>5843</v>
      </c>
      <c r="AP278">
        <v>18600</v>
      </c>
      <c r="AV278">
        <v>28.95</v>
      </c>
      <c r="AW278" t="s">
        <v>199</v>
      </c>
      <c r="AX278" t="s">
        <v>6024</v>
      </c>
    </row>
    <row r="279" spans="1:50">
      <c r="A279" s="1">
        <f>HYPERLINK("https://lsnyc.legalserver.org/matter/dynamic-profile/view/1904660","19-1904660")</f>
        <v>0</v>
      </c>
      <c r="B279" t="s">
        <v>99</v>
      </c>
      <c r="C279" t="s">
        <v>192</v>
      </c>
      <c r="D279" t="s">
        <v>214</v>
      </c>
      <c r="E279" t="s">
        <v>227</v>
      </c>
      <c r="F279" t="s">
        <v>479</v>
      </c>
      <c r="G279" t="s">
        <v>1400</v>
      </c>
      <c r="H279" t="s">
        <v>2152</v>
      </c>
      <c r="I279" t="s">
        <v>2926</v>
      </c>
      <c r="J279" t="s">
        <v>3146</v>
      </c>
      <c r="K279">
        <v>10030</v>
      </c>
      <c r="L279" t="s">
        <v>3185</v>
      </c>
      <c r="M279" t="s">
        <v>3189</v>
      </c>
      <c r="N279" t="s">
        <v>3186</v>
      </c>
      <c r="O279" t="s">
        <v>3300</v>
      </c>
      <c r="P279" t="s">
        <v>3613</v>
      </c>
      <c r="Q279" t="s">
        <v>3634</v>
      </c>
      <c r="R279" t="s">
        <v>3642</v>
      </c>
      <c r="S279" t="s">
        <v>214</v>
      </c>
      <c r="T279" t="s">
        <v>3660</v>
      </c>
      <c r="U279" t="s">
        <v>3184</v>
      </c>
      <c r="W279" t="s">
        <v>3670</v>
      </c>
      <c r="X279" t="s">
        <v>3681</v>
      </c>
      <c r="Y279">
        <v>0</v>
      </c>
      <c r="Z279" t="s">
        <v>3689</v>
      </c>
      <c r="AA279" t="s">
        <v>3698</v>
      </c>
      <c r="AB279" t="s">
        <v>3712</v>
      </c>
      <c r="AC279" t="s">
        <v>3971</v>
      </c>
      <c r="AE279" t="s">
        <v>5097</v>
      </c>
      <c r="AF279">
        <v>18</v>
      </c>
      <c r="AG279" t="s">
        <v>5813</v>
      </c>
      <c r="AH279" t="s">
        <v>3188</v>
      </c>
      <c r="AI279">
        <v>8</v>
      </c>
      <c r="AJ279">
        <v>1</v>
      </c>
      <c r="AK279">
        <v>0</v>
      </c>
      <c r="AL279">
        <v>80.90000000000001</v>
      </c>
      <c r="AO279" t="s">
        <v>5843</v>
      </c>
      <c r="AP279">
        <v>10104</v>
      </c>
      <c r="AV279">
        <v>1.75</v>
      </c>
      <c r="AW279" t="s">
        <v>260</v>
      </c>
      <c r="AX279" t="s">
        <v>6007</v>
      </c>
    </row>
    <row r="280" spans="1:50">
      <c r="A280" s="1">
        <f>HYPERLINK("https://lsnyc.legalserver.org/matter/dynamic-profile/view/1904623","19-1904623")</f>
        <v>0</v>
      </c>
      <c r="B280" t="s">
        <v>99</v>
      </c>
      <c r="C280" t="s">
        <v>192</v>
      </c>
      <c r="D280" t="s">
        <v>214</v>
      </c>
      <c r="E280" t="s">
        <v>207</v>
      </c>
      <c r="F280" t="s">
        <v>523</v>
      </c>
      <c r="G280" t="s">
        <v>1401</v>
      </c>
      <c r="H280" t="s">
        <v>2153</v>
      </c>
      <c r="I280">
        <v>5</v>
      </c>
      <c r="J280" t="s">
        <v>3146</v>
      </c>
      <c r="K280">
        <v>10009</v>
      </c>
      <c r="L280" t="s">
        <v>3185</v>
      </c>
      <c r="M280" t="s">
        <v>3190</v>
      </c>
      <c r="N280" t="s">
        <v>3186</v>
      </c>
      <c r="O280" t="s">
        <v>3301</v>
      </c>
      <c r="P280" t="s">
        <v>3610</v>
      </c>
      <c r="Q280" t="s">
        <v>3634</v>
      </c>
      <c r="R280" t="s">
        <v>3642</v>
      </c>
      <c r="S280" t="s">
        <v>214</v>
      </c>
      <c r="T280" t="s">
        <v>3660</v>
      </c>
      <c r="U280" t="s">
        <v>3184</v>
      </c>
      <c r="W280" t="s">
        <v>3670</v>
      </c>
      <c r="X280" t="s">
        <v>3681</v>
      </c>
      <c r="Y280">
        <v>3125</v>
      </c>
      <c r="Z280" t="s">
        <v>3689</v>
      </c>
      <c r="AA280" t="s">
        <v>3698</v>
      </c>
      <c r="AB280" t="s">
        <v>3712</v>
      </c>
      <c r="AC280" t="s">
        <v>3972</v>
      </c>
      <c r="AD280" t="s">
        <v>4791</v>
      </c>
      <c r="AE280" t="s">
        <v>5098</v>
      </c>
      <c r="AF280">
        <v>4</v>
      </c>
      <c r="AG280" t="s">
        <v>5814</v>
      </c>
      <c r="AH280" t="s">
        <v>3188</v>
      </c>
      <c r="AI280">
        <v>27</v>
      </c>
      <c r="AJ280">
        <v>1</v>
      </c>
      <c r="AK280">
        <v>0</v>
      </c>
      <c r="AL280">
        <v>138.11</v>
      </c>
      <c r="AO280" t="s">
        <v>5843</v>
      </c>
      <c r="AP280">
        <v>17250</v>
      </c>
      <c r="AV280">
        <v>1</v>
      </c>
      <c r="AW280" t="s">
        <v>280</v>
      </c>
      <c r="AX280" t="s">
        <v>6007</v>
      </c>
    </row>
    <row r="281" spans="1:50">
      <c r="A281" s="1">
        <f>HYPERLINK("https://lsnyc.legalserver.org/matter/dynamic-profile/view/1904638","19-1904638")</f>
        <v>0</v>
      </c>
      <c r="B281" t="s">
        <v>99</v>
      </c>
      <c r="C281" t="s">
        <v>192</v>
      </c>
      <c r="D281" t="s">
        <v>214</v>
      </c>
      <c r="E281" t="s">
        <v>207</v>
      </c>
      <c r="F281" t="s">
        <v>657</v>
      </c>
      <c r="G281" t="s">
        <v>1402</v>
      </c>
      <c r="H281" t="s">
        <v>2154</v>
      </c>
      <c r="I281" t="s">
        <v>2819</v>
      </c>
      <c r="J281" t="s">
        <v>3146</v>
      </c>
      <c r="K281">
        <v>10010</v>
      </c>
      <c r="L281" t="s">
        <v>3185</v>
      </c>
      <c r="M281" t="s">
        <v>3189</v>
      </c>
      <c r="N281" t="s">
        <v>3186</v>
      </c>
      <c r="O281" t="s">
        <v>3302</v>
      </c>
      <c r="P281" t="s">
        <v>3610</v>
      </c>
      <c r="Q281" t="s">
        <v>3634</v>
      </c>
      <c r="R281" t="s">
        <v>3642</v>
      </c>
      <c r="S281" t="s">
        <v>214</v>
      </c>
      <c r="T281" t="s">
        <v>3660</v>
      </c>
      <c r="U281" t="s">
        <v>3184</v>
      </c>
      <c r="W281" t="s">
        <v>3670</v>
      </c>
      <c r="X281" t="s">
        <v>3681</v>
      </c>
      <c r="Y281">
        <v>1567.75</v>
      </c>
      <c r="Z281" t="s">
        <v>3689</v>
      </c>
      <c r="AA281" t="s">
        <v>3700</v>
      </c>
      <c r="AB281" t="s">
        <v>3712</v>
      </c>
      <c r="AC281" t="s">
        <v>3973</v>
      </c>
      <c r="AE281" t="s">
        <v>5099</v>
      </c>
      <c r="AF281">
        <v>16</v>
      </c>
      <c r="AG281" t="s">
        <v>5813</v>
      </c>
      <c r="AH281" t="s">
        <v>3188</v>
      </c>
      <c r="AI281">
        <v>26</v>
      </c>
      <c r="AJ281">
        <v>1</v>
      </c>
      <c r="AK281">
        <v>0</v>
      </c>
      <c r="AL281">
        <v>240.19</v>
      </c>
      <c r="AO281" t="s">
        <v>5843</v>
      </c>
      <c r="AP281">
        <v>30000</v>
      </c>
      <c r="AV281">
        <v>1.25</v>
      </c>
      <c r="AW281" t="s">
        <v>244</v>
      </c>
      <c r="AX281" t="s">
        <v>6007</v>
      </c>
    </row>
    <row r="282" spans="1:50">
      <c r="A282" s="1">
        <f>HYPERLINK("https://lsnyc.legalserver.org/matter/dynamic-profile/view/1904682","19-1904682")</f>
        <v>0</v>
      </c>
      <c r="B282" t="s">
        <v>99</v>
      </c>
      <c r="C282" t="s">
        <v>192</v>
      </c>
      <c r="D282" t="s">
        <v>214</v>
      </c>
      <c r="E282" t="s">
        <v>227</v>
      </c>
      <c r="F282" t="s">
        <v>658</v>
      </c>
      <c r="G282" t="s">
        <v>1324</v>
      </c>
      <c r="H282" t="s">
        <v>2155</v>
      </c>
      <c r="I282" t="s">
        <v>2940</v>
      </c>
      <c r="J282" t="s">
        <v>3146</v>
      </c>
      <c r="K282">
        <v>10035</v>
      </c>
      <c r="L282" t="s">
        <v>3185</v>
      </c>
      <c r="M282" t="s">
        <v>3189</v>
      </c>
      <c r="N282" t="s">
        <v>3186</v>
      </c>
      <c r="P282" t="s">
        <v>3257</v>
      </c>
      <c r="Q282" t="s">
        <v>3634</v>
      </c>
      <c r="R282" t="s">
        <v>3642</v>
      </c>
      <c r="S282" t="s">
        <v>214</v>
      </c>
      <c r="T282" t="s">
        <v>3660</v>
      </c>
      <c r="U282" t="s">
        <v>3184</v>
      </c>
      <c r="W282" t="s">
        <v>3670</v>
      </c>
      <c r="X282" t="s">
        <v>3681</v>
      </c>
      <c r="Y282">
        <v>215</v>
      </c>
      <c r="Z282" t="s">
        <v>3689</v>
      </c>
      <c r="AA282" t="s">
        <v>3700</v>
      </c>
      <c r="AB282" t="s">
        <v>3712</v>
      </c>
      <c r="AC282" t="s">
        <v>3974</v>
      </c>
      <c r="AE282" t="s">
        <v>5100</v>
      </c>
      <c r="AF282">
        <v>100</v>
      </c>
      <c r="AG282" t="s">
        <v>5813</v>
      </c>
      <c r="AH282" t="s">
        <v>3188</v>
      </c>
      <c r="AI282">
        <v>6</v>
      </c>
      <c r="AJ282">
        <v>1</v>
      </c>
      <c r="AK282">
        <v>0</v>
      </c>
      <c r="AL282">
        <v>392.31</v>
      </c>
      <c r="AO282" t="s">
        <v>5843</v>
      </c>
      <c r="AP282">
        <v>49000</v>
      </c>
      <c r="AV282">
        <v>0.75</v>
      </c>
      <c r="AW282" t="s">
        <v>200</v>
      </c>
      <c r="AX282" t="s">
        <v>6007</v>
      </c>
    </row>
    <row r="283" spans="1:50">
      <c r="A283" s="1">
        <f>HYPERLINK("https://lsnyc.legalserver.org/matter/dynamic-profile/view/1904645","19-1904645")</f>
        <v>0</v>
      </c>
      <c r="B283" t="s">
        <v>99</v>
      </c>
      <c r="C283" t="s">
        <v>191</v>
      </c>
      <c r="D283" t="s">
        <v>214</v>
      </c>
      <c r="F283" t="s">
        <v>659</v>
      </c>
      <c r="G283" t="s">
        <v>1403</v>
      </c>
      <c r="H283" t="s">
        <v>2156</v>
      </c>
      <c r="I283">
        <v>10</v>
      </c>
      <c r="J283" t="s">
        <v>3146</v>
      </c>
      <c r="K283">
        <v>10003</v>
      </c>
      <c r="L283" t="s">
        <v>3185</v>
      </c>
      <c r="M283" t="s">
        <v>3189</v>
      </c>
      <c r="N283" t="s">
        <v>3186</v>
      </c>
      <c r="O283" t="s">
        <v>3303</v>
      </c>
      <c r="P283" t="s">
        <v>3610</v>
      </c>
      <c r="Q283" t="s">
        <v>3637</v>
      </c>
      <c r="S283" t="s">
        <v>214</v>
      </c>
      <c r="T283" t="s">
        <v>3660</v>
      </c>
      <c r="U283" t="s">
        <v>3184</v>
      </c>
      <c r="W283" t="s">
        <v>3670</v>
      </c>
      <c r="Y283">
        <v>651.63</v>
      </c>
      <c r="Z283" t="s">
        <v>3689</v>
      </c>
      <c r="AA283" t="s">
        <v>3698</v>
      </c>
      <c r="AC283" t="s">
        <v>3975</v>
      </c>
      <c r="AE283" t="s">
        <v>5101</v>
      </c>
      <c r="AF283">
        <v>15</v>
      </c>
      <c r="AG283" t="s">
        <v>5813</v>
      </c>
      <c r="AH283" t="s">
        <v>5826</v>
      </c>
      <c r="AI283">
        <v>43</v>
      </c>
      <c r="AJ283">
        <v>1</v>
      </c>
      <c r="AK283">
        <v>0</v>
      </c>
      <c r="AL283">
        <v>149.93</v>
      </c>
      <c r="AO283" t="s">
        <v>5843</v>
      </c>
      <c r="AP283">
        <v>18726</v>
      </c>
      <c r="AV283">
        <v>2.2</v>
      </c>
      <c r="AW283" t="s">
        <v>203</v>
      </c>
      <c r="AX283" t="s">
        <v>6009</v>
      </c>
    </row>
    <row r="284" spans="1:50">
      <c r="A284" s="1">
        <f>HYPERLINK("https://lsnyc.legalserver.org/matter/dynamic-profile/view/1903617","19-1903617")</f>
        <v>0</v>
      </c>
      <c r="B284" t="s">
        <v>100</v>
      </c>
      <c r="C284" t="s">
        <v>191</v>
      </c>
      <c r="D284" t="s">
        <v>271</v>
      </c>
      <c r="F284" t="s">
        <v>660</v>
      </c>
      <c r="G284" t="s">
        <v>1404</v>
      </c>
      <c r="H284" t="s">
        <v>2157</v>
      </c>
      <c r="I284" t="s">
        <v>2899</v>
      </c>
      <c r="J284" t="s">
        <v>3146</v>
      </c>
      <c r="K284">
        <v>10033</v>
      </c>
      <c r="L284" t="s">
        <v>3185</v>
      </c>
      <c r="M284" t="s">
        <v>3189</v>
      </c>
      <c r="N284" t="s">
        <v>3186</v>
      </c>
      <c r="O284" t="s">
        <v>3304</v>
      </c>
      <c r="P284" t="s">
        <v>3613</v>
      </c>
      <c r="Q284" t="s">
        <v>3638</v>
      </c>
      <c r="S284" t="s">
        <v>229</v>
      </c>
      <c r="T284" t="s">
        <v>3660</v>
      </c>
      <c r="U284" t="s">
        <v>3184</v>
      </c>
      <c r="W284" t="s">
        <v>3670</v>
      </c>
      <c r="Y284">
        <v>1123.72</v>
      </c>
      <c r="Z284" t="s">
        <v>3689</v>
      </c>
      <c r="AC284" t="s">
        <v>3976</v>
      </c>
      <c r="AE284" t="s">
        <v>5102</v>
      </c>
      <c r="AF284">
        <v>53</v>
      </c>
      <c r="AI284">
        <v>29</v>
      </c>
      <c r="AJ284">
        <v>1</v>
      </c>
      <c r="AK284">
        <v>0</v>
      </c>
      <c r="AL284">
        <v>124.89</v>
      </c>
      <c r="AO284" t="s">
        <v>5844</v>
      </c>
      <c r="AP284">
        <v>15598.8</v>
      </c>
      <c r="AV284">
        <v>11.05</v>
      </c>
      <c r="AW284" t="s">
        <v>196</v>
      </c>
      <c r="AX284" t="s">
        <v>6035</v>
      </c>
    </row>
    <row r="285" spans="1:50">
      <c r="A285" s="1">
        <f>HYPERLINK("https://lsnyc.legalserver.org/matter/dynamic-profile/view/1908034","19-1908034")</f>
        <v>0</v>
      </c>
      <c r="B285" t="s">
        <v>100</v>
      </c>
      <c r="C285" t="s">
        <v>191</v>
      </c>
      <c r="D285" t="s">
        <v>195</v>
      </c>
      <c r="F285" t="s">
        <v>661</v>
      </c>
      <c r="G285" t="s">
        <v>1309</v>
      </c>
      <c r="H285" t="s">
        <v>2158</v>
      </c>
      <c r="I285" t="s">
        <v>2881</v>
      </c>
      <c r="J285" t="s">
        <v>3146</v>
      </c>
      <c r="K285">
        <v>10034</v>
      </c>
      <c r="L285" t="s">
        <v>3185</v>
      </c>
      <c r="M285" t="s">
        <v>3189</v>
      </c>
      <c r="N285" t="s">
        <v>3186</v>
      </c>
      <c r="O285" t="s">
        <v>3305</v>
      </c>
      <c r="P285" t="s">
        <v>3613</v>
      </c>
      <c r="Q285" t="s">
        <v>3637</v>
      </c>
      <c r="S285" t="s">
        <v>195</v>
      </c>
      <c r="T285" t="s">
        <v>3660</v>
      </c>
      <c r="U285" t="s">
        <v>3184</v>
      </c>
      <c r="W285" t="s">
        <v>3670</v>
      </c>
      <c r="Y285">
        <v>1000</v>
      </c>
      <c r="Z285" t="s">
        <v>3689</v>
      </c>
      <c r="AA285" t="s">
        <v>3698</v>
      </c>
      <c r="AC285" t="s">
        <v>3977</v>
      </c>
      <c r="AE285" t="s">
        <v>5103</v>
      </c>
      <c r="AF285">
        <v>70</v>
      </c>
      <c r="AG285" t="s">
        <v>5813</v>
      </c>
      <c r="AH285" t="s">
        <v>3188</v>
      </c>
      <c r="AI285">
        <v>8</v>
      </c>
      <c r="AJ285">
        <v>5</v>
      </c>
      <c r="AK285">
        <v>0</v>
      </c>
      <c r="AL285">
        <v>199.93</v>
      </c>
      <c r="AO285" t="s">
        <v>5844</v>
      </c>
      <c r="AP285">
        <v>60320</v>
      </c>
      <c r="AV285">
        <v>2</v>
      </c>
      <c r="AW285" t="s">
        <v>207</v>
      </c>
      <c r="AX285" t="s">
        <v>6009</v>
      </c>
    </row>
    <row r="286" spans="1:50">
      <c r="A286" s="1">
        <f>HYPERLINK("https://lsnyc.legalserver.org/matter/dynamic-profile/view/1903827","19-1903827")</f>
        <v>0</v>
      </c>
      <c r="B286" t="s">
        <v>101</v>
      </c>
      <c r="C286" t="s">
        <v>192</v>
      </c>
      <c r="D286" t="s">
        <v>194</v>
      </c>
      <c r="E286" t="s">
        <v>225</v>
      </c>
      <c r="F286" t="s">
        <v>662</v>
      </c>
      <c r="G286" t="s">
        <v>1405</v>
      </c>
      <c r="H286" t="s">
        <v>2159</v>
      </c>
      <c r="I286" t="s">
        <v>2875</v>
      </c>
      <c r="J286" t="s">
        <v>3159</v>
      </c>
      <c r="K286">
        <v>10301</v>
      </c>
      <c r="L286" t="s">
        <v>3185</v>
      </c>
      <c r="M286" t="s">
        <v>3189</v>
      </c>
      <c r="N286" t="s">
        <v>3186</v>
      </c>
      <c r="O286" t="s">
        <v>3306</v>
      </c>
      <c r="P286" t="s">
        <v>3610</v>
      </c>
      <c r="Q286" t="s">
        <v>3638</v>
      </c>
      <c r="R286" t="s">
        <v>3644</v>
      </c>
      <c r="S286" t="s">
        <v>194</v>
      </c>
      <c r="T286" t="s">
        <v>3660</v>
      </c>
      <c r="U286" t="s">
        <v>3184</v>
      </c>
      <c r="W286" t="s">
        <v>3670</v>
      </c>
      <c r="X286" t="s">
        <v>3681</v>
      </c>
      <c r="Y286">
        <v>1250</v>
      </c>
      <c r="Z286" t="s">
        <v>3692</v>
      </c>
      <c r="AA286" t="s">
        <v>3698</v>
      </c>
      <c r="AB286" t="s">
        <v>3714</v>
      </c>
      <c r="AC286" t="s">
        <v>3978</v>
      </c>
      <c r="AE286" t="s">
        <v>5104</v>
      </c>
      <c r="AF286">
        <v>48</v>
      </c>
      <c r="AG286" t="s">
        <v>5814</v>
      </c>
      <c r="AH286" t="s">
        <v>3188</v>
      </c>
      <c r="AI286">
        <v>4</v>
      </c>
      <c r="AJ286">
        <v>2</v>
      </c>
      <c r="AK286">
        <v>2</v>
      </c>
      <c r="AL286">
        <v>81.79000000000001</v>
      </c>
      <c r="AO286" t="s">
        <v>5843</v>
      </c>
      <c r="AP286">
        <v>21060</v>
      </c>
      <c r="AR286" t="s">
        <v>5931</v>
      </c>
      <c r="AS286" t="s">
        <v>5939</v>
      </c>
      <c r="AT286" t="s">
        <v>5946</v>
      </c>
      <c r="AU286" t="s">
        <v>5955</v>
      </c>
      <c r="AV286">
        <v>19.75</v>
      </c>
      <c r="AW286" t="s">
        <v>286</v>
      </c>
      <c r="AX286" t="s">
        <v>6017</v>
      </c>
    </row>
    <row r="287" spans="1:50">
      <c r="A287" s="1">
        <f>HYPERLINK("https://lsnyc.legalserver.org/matter/dynamic-profile/view/1906837","19-1906837")</f>
        <v>0</v>
      </c>
      <c r="B287" t="s">
        <v>101</v>
      </c>
      <c r="C287" t="s">
        <v>191</v>
      </c>
      <c r="D287" t="s">
        <v>227</v>
      </c>
      <c r="F287" t="s">
        <v>663</v>
      </c>
      <c r="G287" t="s">
        <v>1327</v>
      </c>
      <c r="H287" t="s">
        <v>2160</v>
      </c>
      <c r="I287" t="s">
        <v>2941</v>
      </c>
      <c r="J287" t="s">
        <v>3159</v>
      </c>
      <c r="K287">
        <v>10304</v>
      </c>
      <c r="L287" t="s">
        <v>3185</v>
      </c>
      <c r="M287" t="s">
        <v>3189</v>
      </c>
      <c r="N287" t="s">
        <v>3186</v>
      </c>
      <c r="O287" t="s">
        <v>3307</v>
      </c>
      <c r="P287" t="s">
        <v>3610</v>
      </c>
      <c r="T287" t="s">
        <v>3660</v>
      </c>
      <c r="U287" t="s">
        <v>3184</v>
      </c>
      <c r="W287" t="s">
        <v>3673</v>
      </c>
      <c r="X287" t="s">
        <v>3681</v>
      </c>
      <c r="Y287">
        <v>1949</v>
      </c>
      <c r="Z287" t="s">
        <v>3692</v>
      </c>
      <c r="AA287" t="s">
        <v>3696</v>
      </c>
      <c r="AC287" t="s">
        <v>3979</v>
      </c>
      <c r="AE287" t="s">
        <v>5105</v>
      </c>
      <c r="AF287">
        <v>0</v>
      </c>
      <c r="AG287" t="s">
        <v>5812</v>
      </c>
      <c r="AH287" t="s">
        <v>3188</v>
      </c>
      <c r="AI287">
        <v>3</v>
      </c>
      <c r="AJ287">
        <v>1</v>
      </c>
      <c r="AK287">
        <v>3</v>
      </c>
      <c r="AL287">
        <v>72.7</v>
      </c>
      <c r="AO287" t="s">
        <v>5843</v>
      </c>
      <c r="AP287">
        <v>18720</v>
      </c>
      <c r="AV287">
        <v>18.05</v>
      </c>
      <c r="AW287" t="s">
        <v>199</v>
      </c>
      <c r="AX287" t="s">
        <v>6017</v>
      </c>
    </row>
    <row r="288" spans="1:50">
      <c r="A288" s="1">
        <f>HYPERLINK("https://lsnyc.legalserver.org/matter/dynamic-profile/view/1904484","19-1904484")</f>
        <v>0</v>
      </c>
      <c r="B288" t="s">
        <v>88</v>
      </c>
      <c r="C288" t="s">
        <v>191</v>
      </c>
      <c r="D288" t="s">
        <v>233</v>
      </c>
      <c r="F288" t="s">
        <v>664</v>
      </c>
      <c r="G288" t="s">
        <v>1191</v>
      </c>
      <c r="H288" t="s">
        <v>2161</v>
      </c>
      <c r="I288" t="s">
        <v>2829</v>
      </c>
      <c r="J288" t="s">
        <v>3147</v>
      </c>
      <c r="K288">
        <v>10470</v>
      </c>
      <c r="L288" t="s">
        <v>3184</v>
      </c>
      <c r="M288" t="s">
        <v>3189</v>
      </c>
      <c r="N288" t="s">
        <v>3186</v>
      </c>
      <c r="P288" t="s">
        <v>3612</v>
      </c>
      <c r="Q288" t="s">
        <v>3638</v>
      </c>
      <c r="T288" t="s">
        <v>3660</v>
      </c>
      <c r="U288" t="s">
        <v>3184</v>
      </c>
      <c r="W288" t="s">
        <v>3670</v>
      </c>
      <c r="Y288">
        <v>966.6</v>
      </c>
      <c r="Z288" t="s">
        <v>3690</v>
      </c>
      <c r="AA288" t="s">
        <v>3700</v>
      </c>
      <c r="AC288" t="s">
        <v>3980</v>
      </c>
      <c r="AE288" t="s">
        <v>5106</v>
      </c>
      <c r="AF288">
        <v>63</v>
      </c>
      <c r="AG288" t="s">
        <v>5813</v>
      </c>
      <c r="AH288" t="s">
        <v>3188</v>
      </c>
      <c r="AI288">
        <v>10</v>
      </c>
      <c r="AJ288">
        <v>2</v>
      </c>
      <c r="AK288">
        <v>0</v>
      </c>
      <c r="AL288">
        <v>331.28</v>
      </c>
      <c r="AO288" t="s">
        <v>5843</v>
      </c>
      <c r="AP288">
        <v>56020</v>
      </c>
      <c r="AV288">
        <v>39.5</v>
      </c>
      <c r="AW288" t="s">
        <v>198</v>
      </c>
      <c r="AX288" t="s">
        <v>6024</v>
      </c>
    </row>
    <row r="289" spans="1:50">
      <c r="A289" s="1">
        <f>HYPERLINK("https://lsnyc.legalserver.org/matter/dynamic-profile/view/1904363","19-1904363")</f>
        <v>0</v>
      </c>
      <c r="B289" t="s">
        <v>101</v>
      </c>
      <c r="C289" t="s">
        <v>191</v>
      </c>
      <c r="D289" t="s">
        <v>249</v>
      </c>
      <c r="F289" t="s">
        <v>665</v>
      </c>
      <c r="G289" t="s">
        <v>1268</v>
      </c>
      <c r="H289" t="s">
        <v>2162</v>
      </c>
      <c r="I289" t="s">
        <v>2942</v>
      </c>
      <c r="J289" t="s">
        <v>3159</v>
      </c>
      <c r="K289">
        <v>10301</v>
      </c>
      <c r="L289" t="s">
        <v>3185</v>
      </c>
      <c r="M289" t="s">
        <v>3189</v>
      </c>
      <c r="N289" t="s">
        <v>3186</v>
      </c>
      <c r="O289" t="s">
        <v>3308</v>
      </c>
      <c r="P289" t="s">
        <v>3610</v>
      </c>
      <c r="Q289" t="s">
        <v>3638</v>
      </c>
      <c r="S289" t="s">
        <v>218</v>
      </c>
      <c r="T289" t="s">
        <v>3660</v>
      </c>
      <c r="U289" t="s">
        <v>3184</v>
      </c>
      <c r="W289" t="s">
        <v>3670</v>
      </c>
      <c r="X289" t="s">
        <v>3683</v>
      </c>
      <c r="Y289">
        <v>1717</v>
      </c>
      <c r="Z289" t="s">
        <v>3692</v>
      </c>
      <c r="AA289" t="s">
        <v>3706</v>
      </c>
      <c r="AC289" t="s">
        <v>3981</v>
      </c>
      <c r="AE289" t="s">
        <v>5107</v>
      </c>
      <c r="AF289">
        <v>0</v>
      </c>
      <c r="AH289" t="s">
        <v>3188</v>
      </c>
      <c r="AI289">
        <v>1</v>
      </c>
      <c r="AJ289">
        <v>1</v>
      </c>
      <c r="AK289">
        <v>2</v>
      </c>
      <c r="AL289">
        <v>119.46</v>
      </c>
      <c r="AO289" t="s">
        <v>5843</v>
      </c>
      <c r="AP289">
        <v>25479.96</v>
      </c>
      <c r="AR289" t="s">
        <v>5930</v>
      </c>
      <c r="AS289" t="s">
        <v>5940</v>
      </c>
      <c r="AT289" t="s">
        <v>5946</v>
      </c>
      <c r="AU289" t="s">
        <v>5955</v>
      </c>
      <c r="AV289">
        <v>14.29</v>
      </c>
      <c r="AW289" t="s">
        <v>261</v>
      </c>
      <c r="AX289" t="s">
        <v>6017</v>
      </c>
    </row>
    <row r="290" spans="1:50">
      <c r="A290" s="1">
        <f>HYPERLINK("https://lsnyc.legalserver.org/matter/dynamic-profile/view/1906820","19-1906820")</f>
        <v>0</v>
      </c>
      <c r="B290" t="s">
        <v>101</v>
      </c>
      <c r="C290" t="s">
        <v>191</v>
      </c>
      <c r="D290" t="s">
        <v>282</v>
      </c>
      <c r="F290" t="s">
        <v>666</v>
      </c>
      <c r="G290" t="s">
        <v>1406</v>
      </c>
      <c r="H290" t="s">
        <v>2163</v>
      </c>
      <c r="I290" t="s">
        <v>2943</v>
      </c>
      <c r="J290" t="s">
        <v>3159</v>
      </c>
      <c r="K290">
        <v>10306</v>
      </c>
      <c r="L290" t="s">
        <v>3185</v>
      </c>
      <c r="M290" t="s">
        <v>3189</v>
      </c>
      <c r="N290" t="s">
        <v>3186</v>
      </c>
      <c r="O290" t="s">
        <v>3309</v>
      </c>
      <c r="P290" t="s">
        <v>3610</v>
      </c>
      <c r="Q290" t="s">
        <v>3638</v>
      </c>
      <c r="S290" t="s">
        <v>282</v>
      </c>
      <c r="T290" t="s">
        <v>3660</v>
      </c>
      <c r="U290" t="s">
        <v>3184</v>
      </c>
      <c r="W290" t="s">
        <v>3670</v>
      </c>
      <c r="X290" t="s">
        <v>3681</v>
      </c>
      <c r="Y290">
        <v>1820</v>
      </c>
      <c r="Z290" t="s">
        <v>3692</v>
      </c>
      <c r="AA290" t="s">
        <v>3706</v>
      </c>
      <c r="AC290" t="s">
        <v>3982</v>
      </c>
      <c r="AE290" t="s">
        <v>5108</v>
      </c>
      <c r="AF290">
        <v>3</v>
      </c>
      <c r="AG290" t="s">
        <v>5814</v>
      </c>
      <c r="AH290" t="s">
        <v>5827</v>
      </c>
      <c r="AI290">
        <v>-1</v>
      </c>
      <c r="AJ290">
        <v>2</v>
      </c>
      <c r="AK290">
        <v>0</v>
      </c>
      <c r="AL290">
        <v>65.70999999999999</v>
      </c>
      <c r="AO290" t="s">
        <v>5843</v>
      </c>
      <c r="AP290">
        <v>11112</v>
      </c>
      <c r="AV290">
        <v>20.8</v>
      </c>
      <c r="AW290" t="s">
        <v>261</v>
      </c>
      <c r="AX290" t="s">
        <v>6017</v>
      </c>
    </row>
    <row r="291" spans="1:50">
      <c r="A291" s="1">
        <f>HYPERLINK("https://lsnyc.legalserver.org/matter/dynamic-profile/view/1907746","19-1907746")</f>
        <v>0</v>
      </c>
      <c r="B291" t="s">
        <v>101</v>
      </c>
      <c r="C291" t="s">
        <v>191</v>
      </c>
      <c r="D291" t="s">
        <v>225</v>
      </c>
      <c r="F291" t="s">
        <v>667</v>
      </c>
      <c r="G291" t="s">
        <v>1407</v>
      </c>
      <c r="H291" t="s">
        <v>2164</v>
      </c>
      <c r="I291" t="s">
        <v>2944</v>
      </c>
      <c r="J291" t="s">
        <v>3159</v>
      </c>
      <c r="K291">
        <v>10304</v>
      </c>
      <c r="L291" t="s">
        <v>3185</v>
      </c>
      <c r="M291" t="s">
        <v>3189</v>
      </c>
      <c r="N291" t="s">
        <v>3186</v>
      </c>
      <c r="O291" t="s">
        <v>3310</v>
      </c>
      <c r="P291" t="s">
        <v>3610</v>
      </c>
      <c r="Q291" t="s">
        <v>3638</v>
      </c>
      <c r="S291" t="s">
        <v>225</v>
      </c>
      <c r="T291" t="s">
        <v>3660</v>
      </c>
      <c r="U291" t="s">
        <v>3184</v>
      </c>
      <c r="W291" t="s">
        <v>3670</v>
      </c>
      <c r="X291" t="s">
        <v>3681</v>
      </c>
      <c r="Y291">
        <v>529</v>
      </c>
      <c r="Z291" t="s">
        <v>3692</v>
      </c>
      <c r="AA291" t="s">
        <v>3706</v>
      </c>
      <c r="AC291" t="s">
        <v>3983</v>
      </c>
      <c r="AE291" t="s">
        <v>5109</v>
      </c>
      <c r="AF291">
        <v>98</v>
      </c>
      <c r="AG291" t="s">
        <v>5813</v>
      </c>
      <c r="AH291" t="s">
        <v>3188</v>
      </c>
      <c r="AI291">
        <v>10</v>
      </c>
      <c r="AJ291">
        <v>1</v>
      </c>
      <c r="AK291">
        <v>3</v>
      </c>
      <c r="AL291">
        <v>0</v>
      </c>
      <c r="AO291" t="s">
        <v>5843</v>
      </c>
      <c r="AP291">
        <v>0</v>
      </c>
      <c r="AV291">
        <v>4.4</v>
      </c>
      <c r="AW291" t="s">
        <v>261</v>
      </c>
      <c r="AX291" t="s">
        <v>6017</v>
      </c>
    </row>
    <row r="292" spans="1:50">
      <c r="A292" s="1">
        <f>HYPERLINK("https://lsnyc.legalserver.org/matter/dynamic-profile/view/1902136","19-1902136")</f>
        <v>0</v>
      </c>
      <c r="B292" t="s">
        <v>88</v>
      </c>
      <c r="C292" t="s">
        <v>191</v>
      </c>
      <c r="D292" t="s">
        <v>283</v>
      </c>
      <c r="F292" t="s">
        <v>668</v>
      </c>
      <c r="G292" t="s">
        <v>1408</v>
      </c>
      <c r="H292" t="s">
        <v>2165</v>
      </c>
      <c r="I292">
        <v>1</v>
      </c>
      <c r="J292" t="s">
        <v>3147</v>
      </c>
      <c r="K292">
        <v>10459</v>
      </c>
      <c r="L292" t="s">
        <v>3184</v>
      </c>
      <c r="M292" t="s">
        <v>3188</v>
      </c>
      <c r="N292" t="s">
        <v>3186</v>
      </c>
      <c r="P292" t="s">
        <v>3257</v>
      </c>
      <c r="T292" t="s">
        <v>3660</v>
      </c>
      <c r="U292" t="s">
        <v>3184</v>
      </c>
      <c r="W292" t="s">
        <v>3670</v>
      </c>
      <c r="Y292">
        <v>1200</v>
      </c>
      <c r="Z292" t="s">
        <v>3690</v>
      </c>
      <c r="AC292" t="s">
        <v>3984</v>
      </c>
      <c r="AF292">
        <v>3</v>
      </c>
      <c r="AG292" t="s">
        <v>3263</v>
      </c>
      <c r="AH292" t="s">
        <v>3188</v>
      </c>
      <c r="AI292">
        <v>11</v>
      </c>
      <c r="AJ292">
        <v>2</v>
      </c>
      <c r="AK292">
        <v>1</v>
      </c>
      <c r="AL292">
        <v>60.95</v>
      </c>
      <c r="AO292" t="s">
        <v>5844</v>
      </c>
      <c r="AP292">
        <v>13000</v>
      </c>
      <c r="AQ292" t="s">
        <v>5881</v>
      </c>
      <c r="AV292">
        <v>2.5</v>
      </c>
      <c r="AW292" t="s">
        <v>340</v>
      </c>
      <c r="AX292" t="s">
        <v>6015</v>
      </c>
    </row>
    <row r="293" spans="1:50">
      <c r="A293" s="1">
        <f>HYPERLINK("https://lsnyc.legalserver.org/matter/dynamic-profile/view/1908836","19-1908836")</f>
        <v>0</v>
      </c>
      <c r="B293" t="s">
        <v>101</v>
      </c>
      <c r="C293" t="s">
        <v>191</v>
      </c>
      <c r="D293" t="s">
        <v>280</v>
      </c>
      <c r="F293" t="s">
        <v>669</v>
      </c>
      <c r="G293" t="s">
        <v>1409</v>
      </c>
      <c r="H293" t="s">
        <v>2166</v>
      </c>
      <c r="J293" t="s">
        <v>3159</v>
      </c>
      <c r="K293">
        <v>10305</v>
      </c>
      <c r="L293" t="s">
        <v>3185</v>
      </c>
      <c r="M293" t="s">
        <v>3189</v>
      </c>
      <c r="N293" t="s">
        <v>3186</v>
      </c>
      <c r="P293" t="s">
        <v>3624</v>
      </c>
      <c r="Q293" t="s">
        <v>3634</v>
      </c>
      <c r="S293" t="s">
        <v>280</v>
      </c>
      <c r="T293" t="s">
        <v>3661</v>
      </c>
      <c r="W293" t="s">
        <v>3671</v>
      </c>
      <c r="Y293">
        <v>0</v>
      </c>
      <c r="Z293" t="s">
        <v>3692</v>
      </c>
      <c r="AC293" t="s">
        <v>3985</v>
      </c>
      <c r="AE293" t="s">
        <v>5110</v>
      </c>
      <c r="AF293">
        <v>1</v>
      </c>
      <c r="AI293">
        <v>0</v>
      </c>
      <c r="AJ293">
        <v>4</v>
      </c>
      <c r="AK293">
        <v>2</v>
      </c>
      <c r="AL293">
        <v>0</v>
      </c>
      <c r="AM293" t="s">
        <v>5835</v>
      </c>
      <c r="AN293" t="s">
        <v>5840</v>
      </c>
      <c r="AO293" t="s">
        <v>5843</v>
      </c>
      <c r="AP293">
        <v>0</v>
      </c>
      <c r="AV293">
        <v>1.7</v>
      </c>
      <c r="AW293" t="s">
        <v>261</v>
      </c>
      <c r="AX293" t="s">
        <v>101</v>
      </c>
    </row>
    <row r="294" spans="1:50">
      <c r="A294" s="1">
        <f>HYPERLINK("https://lsnyc.legalserver.org/matter/dynamic-profile/view/1895273","19-1895273")</f>
        <v>0</v>
      </c>
      <c r="B294" t="s">
        <v>86</v>
      </c>
      <c r="C294" t="s">
        <v>191</v>
      </c>
      <c r="D294" t="s">
        <v>284</v>
      </c>
      <c r="F294" t="s">
        <v>439</v>
      </c>
      <c r="G294" t="s">
        <v>1410</v>
      </c>
      <c r="H294" t="s">
        <v>2088</v>
      </c>
      <c r="I294" t="s">
        <v>2860</v>
      </c>
      <c r="J294" t="s">
        <v>3148</v>
      </c>
      <c r="K294">
        <v>11212</v>
      </c>
      <c r="L294" t="s">
        <v>3184</v>
      </c>
      <c r="N294" t="s">
        <v>3184</v>
      </c>
      <c r="O294" t="s">
        <v>3311</v>
      </c>
      <c r="P294" t="s">
        <v>3615</v>
      </c>
      <c r="Q294" t="s">
        <v>3640</v>
      </c>
      <c r="S294" t="s">
        <v>285</v>
      </c>
      <c r="T294" t="s">
        <v>3660</v>
      </c>
      <c r="U294" t="s">
        <v>3185</v>
      </c>
      <c r="W294" t="s">
        <v>3670</v>
      </c>
      <c r="X294" t="s">
        <v>3681</v>
      </c>
      <c r="Y294">
        <v>683</v>
      </c>
      <c r="Z294" t="s">
        <v>3691</v>
      </c>
      <c r="AA294" t="s">
        <v>3702</v>
      </c>
      <c r="AC294" t="s">
        <v>3986</v>
      </c>
      <c r="AF294">
        <v>10</v>
      </c>
      <c r="AG294" t="s">
        <v>5813</v>
      </c>
      <c r="AH294" t="s">
        <v>3188</v>
      </c>
      <c r="AI294">
        <v>30</v>
      </c>
      <c r="AJ294">
        <v>2</v>
      </c>
      <c r="AK294">
        <v>0</v>
      </c>
      <c r="AL294">
        <v>0</v>
      </c>
      <c r="AO294" t="s">
        <v>5843</v>
      </c>
      <c r="AP294">
        <v>0</v>
      </c>
      <c r="AV294">
        <v>1</v>
      </c>
      <c r="AW294" t="s">
        <v>5979</v>
      </c>
      <c r="AX294" t="s">
        <v>158</v>
      </c>
    </row>
    <row r="295" spans="1:50">
      <c r="A295" s="1">
        <f>HYPERLINK("https://lsnyc.legalserver.org/matter/dynamic-profile/view/1904208","19-1904208")</f>
        <v>0</v>
      </c>
      <c r="B295" t="s">
        <v>101</v>
      </c>
      <c r="C295" t="s">
        <v>191</v>
      </c>
      <c r="D295" t="s">
        <v>213</v>
      </c>
      <c r="F295" t="s">
        <v>488</v>
      </c>
      <c r="G295" t="s">
        <v>1411</v>
      </c>
      <c r="H295" t="s">
        <v>2167</v>
      </c>
      <c r="I295">
        <v>210</v>
      </c>
      <c r="J295" t="s">
        <v>3159</v>
      </c>
      <c r="K295">
        <v>10303</v>
      </c>
      <c r="L295" t="s">
        <v>3185</v>
      </c>
      <c r="M295" t="s">
        <v>3189</v>
      </c>
      <c r="N295" t="s">
        <v>3186</v>
      </c>
      <c r="O295" t="s">
        <v>3312</v>
      </c>
      <c r="P295" t="s">
        <v>3613</v>
      </c>
      <c r="Q295" t="s">
        <v>3638</v>
      </c>
      <c r="T295" t="s">
        <v>3660</v>
      </c>
      <c r="U295" t="s">
        <v>3184</v>
      </c>
      <c r="W295" t="s">
        <v>3670</v>
      </c>
      <c r="X295" t="s">
        <v>3681</v>
      </c>
      <c r="Y295">
        <v>1020</v>
      </c>
      <c r="Z295" t="s">
        <v>3692</v>
      </c>
      <c r="AA295" t="s">
        <v>3706</v>
      </c>
      <c r="AC295" t="s">
        <v>3987</v>
      </c>
      <c r="AE295" t="s">
        <v>5111</v>
      </c>
      <c r="AF295">
        <v>0</v>
      </c>
      <c r="AG295" t="s">
        <v>5820</v>
      </c>
      <c r="AH295" t="s">
        <v>3188</v>
      </c>
      <c r="AI295">
        <v>3</v>
      </c>
      <c r="AJ295">
        <v>1</v>
      </c>
      <c r="AK295">
        <v>0</v>
      </c>
      <c r="AL295">
        <v>124.9</v>
      </c>
      <c r="AO295" t="s">
        <v>5843</v>
      </c>
      <c r="AP295">
        <v>15600</v>
      </c>
      <c r="AR295" t="s">
        <v>5932</v>
      </c>
      <c r="AS295" t="s">
        <v>5941</v>
      </c>
      <c r="AT295" t="s">
        <v>5946</v>
      </c>
      <c r="AU295" t="s">
        <v>5956</v>
      </c>
      <c r="AV295">
        <v>36.35</v>
      </c>
      <c r="AW295" t="s">
        <v>275</v>
      </c>
      <c r="AX295" t="s">
        <v>6017</v>
      </c>
    </row>
    <row r="296" spans="1:50">
      <c r="A296" s="1">
        <f>HYPERLINK("https://lsnyc.legalserver.org/matter/dynamic-profile/view/1905355","19-1905355")</f>
        <v>0</v>
      </c>
      <c r="B296" t="s">
        <v>101</v>
      </c>
      <c r="C296" t="s">
        <v>191</v>
      </c>
      <c r="D296" t="s">
        <v>281</v>
      </c>
      <c r="F296" t="s">
        <v>542</v>
      </c>
      <c r="G296" t="s">
        <v>1412</v>
      </c>
      <c r="H296" t="s">
        <v>2168</v>
      </c>
      <c r="I296" t="s">
        <v>2945</v>
      </c>
      <c r="J296" t="s">
        <v>3159</v>
      </c>
      <c r="K296">
        <v>10304</v>
      </c>
      <c r="L296" t="s">
        <v>3185</v>
      </c>
      <c r="M296" t="s">
        <v>3189</v>
      </c>
      <c r="N296" t="s">
        <v>3186</v>
      </c>
      <c r="O296" t="s">
        <v>3313</v>
      </c>
      <c r="P296" t="s">
        <v>3610</v>
      </c>
      <c r="Q296" t="s">
        <v>3638</v>
      </c>
      <c r="T296" t="s">
        <v>3660</v>
      </c>
      <c r="U296" t="s">
        <v>3184</v>
      </c>
      <c r="W296" t="s">
        <v>3670</v>
      </c>
      <c r="X296" t="s">
        <v>3681</v>
      </c>
      <c r="Y296">
        <v>941</v>
      </c>
      <c r="Z296" t="s">
        <v>3692</v>
      </c>
      <c r="AA296" t="s">
        <v>3706</v>
      </c>
      <c r="AC296" t="s">
        <v>3988</v>
      </c>
      <c r="AE296" t="s">
        <v>5112</v>
      </c>
      <c r="AF296">
        <v>0</v>
      </c>
      <c r="AG296" t="s">
        <v>5812</v>
      </c>
      <c r="AH296" t="s">
        <v>3188</v>
      </c>
      <c r="AI296">
        <v>10</v>
      </c>
      <c r="AJ296">
        <v>2</v>
      </c>
      <c r="AK296">
        <v>2</v>
      </c>
      <c r="AL296">
        <v>201.94</v>
      </c>
      <c r="AO296" t="s">
        <v>5843</v>
      </c>
      <c r="AP296">
        <v>52000</v>
      </c>
      <c r="AR296" t="s">
        <v>5931</v>
      </c>
      <c r="AS296" t="s">
        <v>5942</v>
      </c>
      <c r="AT296" t="s">
        <v>5946</v>
      </c>
      <c r="AU296" t="s">
        <v>5957</v>
      </c>
      <c r="AV296">
        <v>10.35</v>
      </c>
      <c r="AW296" t="s">
        <v>199</v>
      </c>
      <c r="AX296" t="s">
        <v>6017</v>
      </c>
    </row>
    <row r="297" spans="1:50">
      <c r="A297" s="1">
        <f>HYPERLINK("https://lsnyc.legalserver.org/matter/dynamic-profile/view/1903243","19-1903243")</f>
        <v>0</v>
      </c>
      <c r="B297" t="s">
        <v>101</v>
      </c>
      <c r="C297" t="s">
        <v>191</v>
      </c>
      <c r="D297" t="s">
        <v>214</v>
      </c>
      <c r="F297" t="s">
        <v>670</v>
      </c>
      <c r="G297" t="s">
        <v>1413</v>
      </c>
      <c r="H297" t="s">
        <v>2169</v>
      </c>
      <c r="J297" t="s">
        <v>3159</v>
      </c>
      <c r="K297">
        <v>10301</v>
      </c>
      <c r="L297" t="s">
        <v>3185</v>
      </c>
      <c r="M297" t="s">
        <v>3189</v>
      </c>
      <c r="N297" t="s">
        <v>3186</v>
      </c>
      <c r="O297" t="s">
        <v>3314</v>
      </c>
      <c r="P297" t="s">
        <v>3613</v>
      </c>
      <c r="Q297" t="s">
        <v>3638</v>
      </c>
      <c r="T297" t="s">
        <v>3660</v>
      </c>
      <c r="U297" t="s">
        <v>3184</v>
      </c>
      <c r="W297" t="s">
        <v>3670</v>
      </c>
      <c r="X297" t="s">
        <v>3683</v>
      </c>
      <c r="Y297">
        <v>1490</v>
      </c>
      <c r="Z297" t="s">
        <v>3692</v>
      </c>
      <c r="AA297" t="s">
        <v>3706</v>
      </c>
      <c r="AC297" t="s">
        <v>3989</v>
      </c>
      <c r="AE297" t="s">
        <v>5113</v>
      </c>
      <c r="AF297">
        <v>4</v>
      </c>
      <c r="AG297" t="s">
        <v>5813</v>
      </c>
      <c r="AH297" t="s">
        <v>3188</v>
      </c>
      <c r="AI297">
        <v>20</v>
      </c>
      <c r="AJ297">
        <v>2</v>
      </c>
      <c r="AK297">
        <v>0</v>
      </c>
      <c r="AL297">
        <v>238.82</v>
      </c>
      <c r="AM297" t="s">
        <v>193</v>
      </c>
      <c r="AN297" t="s">
        <v>5839</v>
      </c>
      <c r="AO297" t="s">
        <v>5843</v>
      </c>
      <c r="AP297">
        <v>40384</v>
      </c>
      <c r="AR297" t="s">
        <v>5933</v>
      </c>
      <c r="AS297" t="s">
        <v>5943</v>
      </c>
      <c r="AT297" t="s">
        <v>5946</v>
      </c>
      <c r="AU297" t="s">
        <v>5958</v>
      </c>
      <c r="AV297">
        <v>26.85</v>
      </c>
      <c r="AW297" t="s">
        <v>261</v>
      </c>
      <c r="AX297" t="s">
        <v>6017</v>
      </c>
    </row>
    <row r="298" spans="1:50">
      <c r="A298" s="1">
        <f>HYPERLINK("https://lsnyc.legalserver.org/matter/dynamic-profile/view/1903783","19-1903783")</f>
        <v>0</v>
      </c>
      <c r="B298" t="s">
        <v>102</v>
      </c>
      <c r="C298" t="s">
        <v>191</v>
      </c>
      <c r="D298" t="s">
        <v>285</v>
      </c>
      <c r="F298" t="s">
        <v>671</v>
      </c>
      <c r="G298" t="s">
        <v>1414</v>
      </c>
      <c r="H298" t="s">
        <v>2170</v>
      </c>
      <c r="I298" t="s">
        <v>2887</v>
      </c>
      <c r="J298" t="s">
        <v>3148</v>
      </c>
      <c r="K298">
        <v>11208</v>
      </c>
      <c r="L298" t="s">
        <v>3185</v>
      </c>
      <c r="M298" t="s">
        <v>3190</v>
      </c>
      <c r="N298" t="s">
        <v>3186</v>
      </c>
      <c r="O298" t="s">
        <v>3191</v>
      </c>
      <c r="P298" t="s">
        <v>3622</v>
      </c>
      <c r="Q298" t="s">
        <v>3636</v>
      </c>
      <c r="S298" t="s">
        <v>285</v>
      </c>
      <c r="T298" t="s">
        <v>3660</v>
      </c>
      <c r="U298" t="s">
        <v>3184</v>
      </c>
      <c r="W298" t="s">
        <v>3670</v>
      </c>
      <c r="X298" t="s">
        <v>3681</v>
      </c>
      <c r="Y298">
        <v>1350</v>
      </c>
      <c r="Z298" t="s">
        <v>3691</v>
      </c>
      <c r="AA298" t="s">
        <v>3696</v>
      </c>
      <c r="AC298" t="s">
        <v>3990</v>
      </c>
      <c r="AD298" t="s">
        <v>4792</v>
      </c>
      <c r="AE298" t="s">
        <v>5114</v>
      </c>
      <c r="AF298">
        <v>15</v>
      </c>
      <c r="AG298" t="s">
        <v>5813</v>
      </c>
      <c r="AH298" t="s">
        <v>3188</v>
      </c>
      <c r="AI298">
        <v>2</v>
      </c>
      <c r="AJ298">
        <v>2</v>
      </c>
      <c r="AK298">
        <v>3</v>
      </c>
      <c r="AL298">
        <v>165.81</v>
      </c>
      <c r="AO298" t="s">
        <v>5843</v>
      </c>
      <c r="AP298">
        <v>50024</v>
      </c>
      <c r="AV298">
        <v>0.1</v>
      </c>
      <c r="AW298" t="s">
        <v>194</v>
      </c>
      <c r="AX298" t="s">
        <v>158</v>
      </c>
    </row>
    <row r="299" spans="1:50">
      <c r="A299" s="1">
        <f>HYPERLINK("https://lsnyc.legalserver.org/matter/dynamic-profile/view/1906136","19-1906136")</f>
        <v>0</v>
      </c>
      <c r="B299" t="s">
        <v>102</v>
      </c>
      <c r="C299" t="s">
        <v>191</v>
      </c>
      <c r="D299" t="s">
        <v>208</v>
      </c>
      <c r="F299" t="s">
        <v>672</v>
      </c>
      <c r="G299" t="s">
        <v>1415</v>
      </c>
      <c r="H299" t="s">
        <v>2085</v>
      </c>
      <c r="I299" t="s">
        <v>2946</v>
      </c>
      <c r="J299" t="s">
        <v>3148</v>
      </c>
      <c r="K299">
        <v>11216</v>
      </c>
      <c r="L299" t="s">
        <v>3185</v>
      </c>
      <c r="M299" t="s">
        <v>3189</v>
      </c>
      <c r="N299" t="s">
        <v>3186</v>
      </c>
      <c r="O299" t="s">
        <v>3315</v>
      </c>
      <c r="P299" t="s">
        <v>3624</v>
      </c>
      <c r="Q299" t="s">
        <v>3638</v>
      </c>
      <c r="S299" t="s">
        <v>208</v>
      </c>
      <c r="T299" t="s">
        <v>3660</v>
      </c>
      <c r="U299" t="s">
        <v>3185</v>
      </c>
      <c r="W299" t="s">
        <v>3670</v>
      </c>
      <c r="X299" t="s">
        <v>3681</v>
      </c>
      <c r="Y299">
        <v>1550</v>
      </c>
      <c r="Z299" t="s">
        <v>3691</v>
      </c>
      <c r="AA299" t="s">
        <v>3704</v>
      </c>
      <c r="AC299" t="s">
        <v>3991</v>
      </c>
      <c r="AD299" t="s">
        <v>3188</v>
      </c>
      <c r="AE299" t="s">
        <v>5115</v>
      </c>
      <c r="AF299">
        <v>82</v>
      </c>
      <c r="AG299" t="s">
        <v>5813</v>
      </c>
      <c r="AH299" t="s">
        <v>3188</v>
      </c>
      <c r="AI299">
        <v>1</v>
      </c>
      <c r="AJ299">
        <v>2</v>
      </c>
      <c r="AK299">
        <v>0</v>
      </c>
      <c r="AL299">
        <v>236.55</v>
      </c>
      <c r="AN299" t="s">
        <v>5839</v>
      </c>
      <c r="AO299" t="s">
        <v>5843</v>
      </c>
      <c r="AP299">
        <v>40000</v>
      </c>
      <c r="AV299">
        <v>0</v>
      </c>
      <c r="AX299" t="s">
        <v>158</v>
      </c>
    </row>
    <row r="300" spans="1:50">
      <c r="A300" s="1">
        <f>HYPERLINK("https://lsnyc.legalserver.org/matter/dynamic-profile/view/1906138","19-1906138")</f>
        <v>0</v>
      </c>
      <c r="B300" t="s">
        <v>102</v>
      </c>
      <c r="C300" t="s">
        <v>191</v>
      </c>
      <c r="D300" t="s">
        <v>208</v>
      </c>
      <c r="F300" t="s">
        <v>672</v>
      </c>
      <c r="G300" t="s">
        <v>1415</v>
      </c>
      <c r="H300" t="s">
        <v>2085</v>
      </c>
      <c r="I300" t="s">
        <v>2946</v>
      </c>
      <c r="J300" t="s">
        <v>3148</v>
      </c>
      <c r="K300">
        <v>11216</v>
      </c>
      <c r="L300" t="s">
        <v>3185</v>
      </c>
      <c r="M300" t="s">
        <v>3189</v>
      </c>
      <c r="N300" t="s">
        <v>3186</v>
      </c>
      <c r="O300" t="s">
        <v>3257</v>
      </c>
      <c r="P300" t="s">
        <v>3257</v>
      </c>
      <c r="Q300" t="s">
        <v>3636</v>
      </c>
      <c r="S300" t="s">
        <v>208</v>
      </c>
      <c r="T300" t="s">
        <v>3660</v>
      </c>
      <c r="U300" t="s">
        <v>3185</v>
      </c>
      <c r="W300" t="s">
        <v>3670</v>
      </c>
      <c r="X300" t="s">
        <v>3681</v>
      </c>
      <c r="Y300">
        <v>0</v>
      </c>
      <c r="Z300" t="s">
        <v>3691</v>
      </c>
      <c r="AA300" t="s">
        <v>3704</v>
      </c>
      <c r="AC300" t="s">
        <v>3991</v>
      </c>
      <c r="AD300" t="s">
        <v>3218</v>
      </c>
      <c r="AE300" t="s">
        <v>5115</v>
      </c>
      <c r="AF300">
        <v>82</v>
      </c>
      <c r="AG300" t="s">
        <v>5813</v>
      </c>
      <c r="AH300" t="s">
        <v>3188</v>
      </c>
      <c r="AI300">
        <v>1</v>
      </c>
      <c r="AJ300">
        <v>2</v>
      </c>
      <c r="AK300">
        <v>0</v>
      </c>
      <c r="AL300">
        <v>236.55</v>
      </c>
      <c r="AN300" t="s">
        <v>5839</v>
      </c>
      <c r="AO300" t="s">
        <v>5843</v>
      </c>
      <c r="AP300">
        <v>40000</v>
      </c>
      <c r="AV300">
        <v>0</v>
      </c>
      <c r="AX300" t="s">
        <v>158</v>
      </c>
    </row>
    <row r="301" spans="1:50">
      <c r="A301" s="1">
        <f>HYPERLINK("https://lsnyc.legalserver.org/matter/dynamic-profile/view/1908269","19-1908269")</f>
        <v>0</v>
      </c>
      <c r="B301" t="s">
        <v>102</v>
      </c>
      <c r="C301" t="s">
        <v>191</v>
      </c>
      <c r="D301" t="s">
        <v>212</v>
      </c>
      <c r="F301" t="s">
        <v>673</v>
      </c>
      <c r="G301" t="s">
        <v>1416</v>
      </c>
      <c r="H301" t="s">
        <v>2171</v>
      </c>
      <c r="I301">
        <v>5</v>
      </c>
      <c r="J301" t="s">
        <v>3148</v>
      </c>
      <c r="K301">
        <v>11233</v>
      </c>
      <c r="L301" t="s">
        <v>3185</v>
      </c>
      <c r="M301" t="s">
        <v>3189</v>
      </c>
      <c r="N301" t="s">
        <v>3186</v>
      </c>
      <c r="O301" t="s">
        <v>3218</v>
      </c>
      <c r="P301" t="s">
        <v>3622</v>
      </c>
      <c r="Q301" t="s">
        <v>3636</v>
      </c>
      <c r="S301" t="s">
        <v>286</v>
      </c>
      <c r="T301" t="s">
        <v>3660</v>
      </c>
      <c r="U301" t="s">
        <v>3184</v>
      </c>
      <c r="W301" t="s">
        <v>3670</v>
      </c>
      <c r="X301" t="s">
        <v>3681</v>
      </c>
      <c r="Y301">
        <v>1550</v>
      </c>
      <c r="Z301" t="s">
        <v>3691</v>
      </c>
      <c r="AC301" t="s">
        <v>3992</v>
      </c>
      <c r="AD301" t="s">
        <v>4778</v>
      </c>
      <c r="AE301" t="s">
        <v>5116</v>
      </c>
      <c r="AF301">
        <v>16</v>
      </c>
      <c r="AG301" t="s">
        <v>5813</v>
      </c>
      <c r="AH301" t="s">
        <v>5831</v>
      </c>
      <c r="AI301">
        <v>4</v>
      </c>
      <c r="AJ301">
        <v>1</v>
      </c>
      <c r="AK301">
        <v>0</v>
      </c>
      <c r="AL301">
        <v>31.22</v>
      </c>
      <c r="AO301" t="s">
        <v>5843</v>
      </c>
      <c r="AP301">
        <v>3900</v>
      </c>
      <c r="AV301">
        <v>0</v>
      </c>
      <c r="AX301" t="s">
        <v>158</v>
      </c>
    </row>
    <row r="302" spans="1:50">
      <c r="A302" s="1">
        <f>HYPERLINK("https://lsnyc.legalserver.org/matter/dynamic-profile/view/1908228","19-1908228")</f>
        <v>0</v>
      </c>
      <c r="B302" t="s">
        <v>102</v>
      </c>
      <c r="C302" t="s">
        <v>191</v>
      </c>
      <c r="D302" t="s">
        <v>286</v>
      </c>
      <c r="F302" t="s">
        <v>674</v>
      </c>
      <c r="G302" t="s">
        <v>1417</v>
      </c>
      <c r="H302" t="s">
        <v>2085</v>
      </c>
      <c r="I302" t="s">
        <v>2947</v>
      </c>
      <c r="J302" t="s">
        <v>3148</v>
      </c>
      <c r="K302">
        <v>11216</v>
      </c>
      <c r="L302" t="s">
        <v>3185</v>
      </c>
      <c r="M302" t="s">
        <v>3189</v>
      </c>
      <c r="N302" t="s">
        <v>3186</v>
      </c>
      <c r="O302" t="s">
        <v>3188</v>
      </c>
      <c r="P302" t="s">
        <v>3622</v>
      </c>
      <c r="Q302" t="s">
        <v>3636</v>
      </c>
      <c r="S302" t="s">
        <v>231</v>
      </c>
      <c r="T302" t="s">
        <v>3660</v>
      </c>
      <c r="U302" t="s">
        <v>3185</v>
      </c>
      <c r="W302" t="s">
        <v>3670</v>
      </c>
      <c r="X302" t="s">
        <v>3681</v>
      </c>
      <c r="Y302">
        <v>1624.29</v>
      </c>
      <c r="Z302" t="s">
        <v>3691</v>
      </c>
      <c r="AA302" t="s">
        <v>3704</v>
      </c>
      <c r="AC302" t="s">
        <v>3993</v>
      </c>
      <c r="AD302" t="s">
        <v>3218</v>
      </c>
      <c r="AE302" t="s">
        <v>5117</v>
      </c>
      <c r="AF302">
        <v>82</v>
      </c>
      <c r="AG302" t="s">
        <v>5813</v>
      </c>
      <c r="AH302" t="s">
        <v>3188</v>
      </c>
      <c r="AI302">
        <v>-1</v>
      </c>
      <c r="AJ302">
        <v>1</v>
      </c>
      <c r="AK302">
        <v>0</v>
      </c>
      <c r="AL302">
        <v>780.62</v>
      </c>
      <c r="AO302" t="s">
        <v>5843</v>
      </c>
      <c r="AP302">
        <v>97500</v>
      </c>
      <c r="AV302">
        <v>0</v>
      </c>
      <c r="AX302" t="s">
        <v>158</v>
      </c>
    </row>
    <row r="303" spans="1:50">
      <c r="A303" s="1">
        <f>HYPERLINK("https://lsnyc.legalserver.org/matter/dynamic-profile/view/1908229","19-1908229")</f>
        <v>0</v>
      </c>
      <c r="B303" t="s">
        <v>102</v>
      </c>
      <c r="C303" t="s">
        <v>191</v>
      </c>
      <c r="D303" t="s">
        <v>286</v>
      </c>
      <c r="F303" t="s">
        <v>674</v>
      </c>
      <c r="G303" t="s">
        <v>1417</v>
      </c>
      <c r="H303" t="s">
        <v>2085</v>
      </c>
      <c r="I303" t="s">
        <v>2947</v>
      </c>
      <c r="J303" t="s">
        <v>3148</v>
      </c>
      <c r="K303">
        <v>11216</v>
      </c>
      <c r="L303" t="s">
        <v>3185</v>
      </c>
      <c r="M303" t="s">
        <v>3189</v>
      </c>
      <c r="N303" t="s">
        <v>3186</v>
      </c>
      <c r="O303" t="s">
        <v>3315</v>
      </c>
      <c r="P303" t="s">
        <v>3624</v>
      </c>
      <c r="Q303" t="s">
        <v>3638</v>
      </c>
      <c r="S303" t="s">
        <v>3652</v>
      </c>
      <c r="T303" t="s">
        <v>3660</v>
      </c>
      <c r="U303" t="s">
        <v>3185</v>
      </c>
      <c r="W303" t="s">
        <v>3670</v>
      </c>
      <c r="X303" t="s">
        <v>3681</v>
      </c>
      <c r="Y303">
        <v>1624.29</v>
      </c>
      <c r="Z303" t="s">
        <v>3691</v>
      </c>
      <c r="AA303" t="s">
        <v>3704</v>
      </c>
      <c r="AC303" t="s">
        <v>3993</v>
      </c>
      <c r="AD303" t="s">
        <v>3218</v>
      </c>
      <c r="AE303" t="s">
        <v>5117</v>
      </c>
      <c r="AF303">
        <v>82</v>
      </c>
      <c r="AG303" t="s">
        <v>5813</v>
      </c>
      <c r="AI303">
        <v>-1</v>
      </c>
      <c r="AJ303">
        <v>1</v>
      </c>
      <c r="AK303">
        <v>0</v>
      </c>
      <c r="AL303">
        <v>780.62</v>
      </c>
      <c r="AO303" t="s">
        <v>5843</v>
      </c>
      <c r="AP303">
        <v>97500</v>
      </c>
      <c r="AV303">
        <v>0</v>
      </c>
      <c r="AX303" t="s">
        <v>158</v>
      </c>
    </row>
    <row r="304" spans="1:50">
      <c r="A304" s="1">
        <f>HYPERLINK("https://lsnyc.legalserver.org/matter/dynamic-profile/view/1908272","19-1908272")</f>
        <v>0</v>
      </c>
      <c r="B304" t="s">
        <v>102</v>
      </c>
      <c r="C304" t="s">
        <v>191</v>
      </c>
      <c r="D304" t="s">
        <v>212</v>
      </c>
      <c r="F304" t="s">
        <v>673</v>
      </c>
      <c r="G304" t="s">
        <v>1416</v>
      </c>
      <c r="H304" t="s">
        <v>2171</v>
      </c>
      <c r="I304">
        <v>5</v>
      </c>
      <c r="J304" t="s">
        <v>3148</v>
      </c>
      <c r="K304">
        <v>11233</v>
      </c>
      <c r="L304" t="s">
        <v>3185</v>
      </c>
      <c r="M304" t="s">
        <v>3189</v>
      </c>
      <c r="N304" t="s">
        <v>3186</v>
      </c>
      <c r="P304" t="s">
        <v>3612</v>
      </c>
      <c r="Q304" t="s">
        <v>3638</v>
      </c>
      <c r="S304" t="s">
        <v>3653</v>
      </c>
      <c r="T304" t="s">
        <v>3660</v>
      </c>
      <c r="U304" t="s">
        <v>3184</v>
      </c>
      <c r="W304" t="s">
        <v>3670</v>
      </c>
      <c r="X304" t="s">
        <v>3681</v>
      </c>
      <c r="Y304">
        <v>1550</v>
      </c>
      <c r="Z304" t="s">
        <v>3691</v>
      </c>
      <c r="AC304" t="s">
        <v>3992</v>
      </c>
      <c r="AD304" t="s">
        <v>4762</v>
      </c>
      <c r="AE304" t="s">
        <v>5116</v>
      </c>
      <c r="AF304">
        <v>16</v>
      </c>
      <c r="AG304" t="s">
        <v>5813</v>
      </c>
      <c r="AH304" t="s">
        <v>5831</v>
      </c>
      <c r="AI304">
        <v>4</v>
      </c>
      <c r="AJ304">
        <v>1</v>
      </c>
      <c r="AK304">
        <v>0</v>
      </c>
      <c r="AL304">
        <v>31.22</v>
      </c>
      <c r="AO304" t="s">
        <v>5843</v>
      </c>
      <c r="AP304">
        <v>3900</v>
      </c>
      <c r="AV304">
        <v>6.9</v>
      </c>
      <c r="AW304" t="s">
        <v>198</v>
      </c>
      <c r="AX304" t="s">
        <v>158</v>
      </c>
    </row>
    <row r="305" spans="1:50">
      <c r="A305" s="1">
        <f>HYPERLINK("https://lsnyc.legalserver.org/matter/dynamic-profile/view/1906359","19-1906359")</f>
        <v>0</v>
      </c>
      <c r="B305" t="s">
        <v>102</v>
      </c>
      <c r="C305" t="s">
        <v>191</v>
      </c>
      <c r="D305" t="s">
        <v>229</v>
      </c>
      <c r="F305" t="s">
        <v>587</v>
      </c>
      <c r="G305" t="s">
        <v>1327</v>
      </c>
      <c r="H305" t="s">
        <v>2085</v>
      </c>
      <c r="I305" t="s">
        <v>2815</v>
      </c>
      <c r="J305" t="s">
        <v>3148</v>
      </c>
      <c r="K305">
        <v>11216</v>
      </c>
      <c r="L305" t="s">
        <v>3185</v>
      </c>
      <c r="M305" t="s">
        <v>3189</v>
      </c>
      <c r="N305" t="s">
        <v>3186</v>
      </c>
      <c r="O305" t="s">
        <v>3315</v>
      </c>
      <c r="P305" t="s">
        <v>3624</v>
      </c>
      <c r="Q305" t="s">
        <v>3638</v>
      </c>
      <c r="T305" t="s">
        <v>3660</v>
      </c>
      <c r="U305" t="s">
        <v>3185</v>
      </c>
      <c r="W305" t="s">
        <v>3670</v>
      </c>
      <c r="X305" t="s">
        <v>3681</v>
      </c>
      <c r="Y305">
        <v>1550</v>
      </c>
      <c r="Z305" t="s">
        <v>3691</v>
      </c>
      <c r="AA305" t="s">
        <v>3704</v>
      </c>
      <c r="AC305" t="s">
        <v>3890</v>
      </c>
      <c r="AD305" t="s">
        <v>3218</v>
      </c>
      <c r="AE305" t="s">
        <v>5024</v>
      </c>
      <c r="AF305">
        <v>82</v>
      </c>
      <c r="AG305" t="s">
        <v>5813</v>
      </c>
      <c r="AH305" t="s">
        <v>3188</v>
      </c>
      <c r="AI305">
        <v>8</v>
      </c>
      <c r="AJ305">
        <v>1</v>
      </c>
      <c r="AK305">
        <v>0</v>
      </c>
      <c r="AL305">
        <v>792.63</v>
      </c>
      <c r="AN305" t="s">
        <v>5839</v>
      </c>
      <c r="AO305" t="s">
        <v>5843</v>
      </c>
      <c r="AP305">
        <v>99000</v>
      </c>
      <c r="AQ305" t="s">
        <v>5882</v>
      </c>
      <c r="AV305">
        <v>0</v>
      </c>
      <c r="AX305" t="s">
        <v>158</v>
      </c>
    </row>
    <row r="306" spans="1:50">
      <c r="A306" s="1">
        <f>HYPERLINK("https://lsnyc.legalserver.org/matter/dynamic-profile/view/1901929","19-1901929")</f>
        <v>0</v>
      </c>
      <c r="B306" t="s">
        <v>92</v>
      </c>
      <c r="C306" t="s">
        <v>191</v>
      </c>
      <c r="D306" t="s">
        <v>250</v>
      </c>
      <c r="F306" t="s">
        <v>675</v>
      </c>
      <c r="G306" t="s">
        <v>1418</v>
      </c>
      <c r="H306" t="s">
        <v>2172</v>
      </c>
      <c r="I306" t="s">
        <v>2819</v>
      </c>
      <c r="J306" t="s">
        <v>3148</v>
      </c>
      <c r="K306">
        <v>11233</v>
      </c>
      <c r="L306" t="s">
        <v>3184</v>
      </c>
      <c r="M306" t="s">
        <v>3188</v>
      </c>
      <c r="N306" t="s">
        <v>3186</v>
      </c>
      <c r="O306" t="s">
        <v>3316</v>
      </c>
      <c r="P306" t="s">
        <v>3610</v>
      </c>
      <c r="Q306" t="s">
        <v>3638</v>
      </c>
      <c r="S306" t="s">
        <v>285</v>
      </c>
      <c r="T306" t="s">
        <v>3660</v>
      </c>
      <c r="U306" t="s">
        <v>3184</v>
      </c>
      <c r="W306" t="s">
        <v>3670</v>
      </c>
      <c r="X306" t="s">
        <v>3681</v>
      </c>
      <c r="Y306">
        <v>1052</v>
      </c>
      <c r="Z306" t="s">
        <v>3691</v>
      </c>
      <c r="AA306" t="s">
        <v>3696</v>
      </c>
      <c r="AC306" t="s">
        <v>3994</v>
      </c>
      <c r="AD306" t="s">
        <v>3188</v>
      </c>
      <c r="AE306" t="s">
        <v>5118</v>
      </c>
      <c r="AF306">
        <v>12</v>
      </c>
      <c r="AG306" t="s">
        <v>5813</v>
      </c>
      <c r="AH306" t="s">
        <v>3188</v>
      </c>
      <c r="AI306">
        <v>8</v>
      </c>
      <c r="AJ306">
        <v>2</v>
      </c>
      <c r="AK306">
        <v>0</v>
      </c>
      <c r="AL306">
        <v>153.76</v>
      </c>
      <c r="AO306" t="s">
        <v>5843</v>
      </c>
      <c r="AP306">
        <v>26000</v>
      </c>
      <c r="AV306">
        <v>43.5</v>
      </c>
      <c r="AW306" t="s">
        <v>197</v>
      </c>
      <c r="AX306" t="s">
        <v>158</v>
      </c>
    </row>
    <row r="307" spans="1:50">
      <c r="A307" s="1">
        <f>HYPERLINK("https://lsnyc.legalserver.org/matter/dynamic-profile/view/1909791","19-1909791")</f>
        <v>0</v>
      </c>
      <c r="B307" t="s">
        <v>52</v>
      </c>
      <c r="C307" t="s">
        <v>192</v>
      </c>
      <c r="D307" t="s">
        <v>252</v>
      </c>
      <c r="E307" t="s">
        <v>221</v>
      </c>
      <c r="F307" t="s">
        <v>454</v>
      </c>
      <c r="G307" t="s">
        <v>1419</v>
      </c>
      <c r="H307" t="s">
        <v>2173</v>
      </c>
      <c r="J307" t="s">
        <v>3147</v>
      </c>
      <c r="K307">
        <v>10457</v>
      </c>
      <c r="L307" t="s">
        <v>3185</v>
      </c>
      <c r="M307" t="s">
        <v>3189</v>
      </c>
      <c r="N307" t="s">
        <v>3186</v>
      </c>
      <c r="O307" t="s">
        <v>3317</v>
      </c>
      <c r="P307" t="s">
        <v>3610</v>
      </c>
      <c r="R307" t="s">
        <v>3642</v>
      </c>
      <c r="T307" t="s">
        <v>3660</v>
      </c>
      <c r="W307" t="s">
        <v>3671</v>
      </c>
      <c r="Y307">
        <v>0</v>
      </c>
      <c r="Z307" t="s">
        <v>3690</v>
      </c>
      <c r="AB307" t="s">
        <v>3712</v>
      </c>
      <c r="AC307" t="s">
        <v>3995</v>
      </c>
      <c r="AF307">
        <v>0</v>
      </c>
      <c r="AI307">
        <v>0</v>
      </c>
      <c r="AJ307">
        <v>1</v>
      </c>
      <c r="AK307">
        <v>0</v>
      </c>
      <c r="AL307">
        <v>38.43</v>
      </c>
      <c r="AP307">
        <v>4800</v>
      </c>
      <c r="AV307">
        <v>0.3</v>
      </c>
      <c r="AW307" t="s">
        <v>198</v>
      </c>
      <c r="AX307" t="s">
        <v>52</v>
      </c>
    </row>
    <row r="308" spans="1:50">
      <c r="A308" s="1">
        <f>HYPERLINK("https://lsnyc.legalserver.org/matter/dynamic-profile/view/1881736","18-1881736")</f>
        <v>0</v>
      </c>
      <c r="B308" t="s">
        <v>92</v>
      </c>
      <c r="C308" t="s">
        <v>191</v>
      </c>
      <c r="D308" t="s">
        <v>287</v>
      </c>
      <c r="F308" t="s">
        <v>676</v>
      </c>
      <c r="G308" t="s">
        <v>1420</v>
      </c>
      <c r="H308" t="s">
        <v>2174</v>
      </c>
      <c r="I308">
        <v>21</v>
      </c>
      <c r="J308" t="s">
        <v>3148</v>
      </c>
      <c r="K308">
        <v>11212</v>
      </c>
      <c r="L308" t="s">
        <v>3184</v>
      </c>
      <c r="M308" t="s">
        <v>3190</v>
      </c>
      <c r="N308" t="s">
        <v>3184</v>
      </c>
      <c r="O308" t="s">
        <v>3318</v>
      </c>
      <c r="P308" t="s">
        <v>3610</v>
      </c>
      <c r="Q308" t="s">
        <v>3638</v>
      </c>
      <c r="S308" t="s">
        <v>229</v>
      </c>
      <c r="T308" t="s">
        <v>3660</v>
      </c>
      <c r="U308" t="s">
        <v>3184</v>
      </c>
      <c r="W308" t="s">
        <v>3670</v>
      </c>
      <c r="X308" t="s">
        <v>3683</v>
      </c>
      <c r="Y308">
        <v>1200</v>
      </c>
      <c r="Z308" t="s">
        <v>3691</v>
      </c>
      <c r="AA308" t="s">
        <v>3707</v>
      </c>
      <c r="AC308" t="s">
        <v>3996</v>
      </c>
      <c r="AD308" t="s">
        <v>4793</v>
      </c>
      <c r="AE308" t="s">
        <v>5119</v>
      </c>
      <c r="AF308">
        <v>23</v>
      </c>
      <c r="AG308" t="s">
        <v>5813</v>
      </c>
      <c r="AH308" t="s">
        <v>5832</v>
      </c>
      <c r="AI308">
        <v>3</v>
      </c>
      <c r="AJ308">
        <v>1</v>
      </c>
      <c r="AK308">
        <v>0</v>
      </c>
      <c r="AL308">
        <v>42.83</v>
      </c>
      <c r="AO308" t="s">
        <v>5843</v>
      </c>
      <c r="AP308">
        <v>5200</v>
      </c>
      <c r="AV308">
        <v>37.4</v>
      </c>
      <c r="AW308" t="s">
        <v>235</v>
      </c>
      <c r="AX308" t="s">
        <v>158</v>
      </c>
    </row>
    <row r="309" spans="1:50">
      <c r="A309" s="1">
        <f>HYPERLINK("https://lsnyc.legalserver.org/matter/dynamic-profile/view/1875894","18-1875894")</f>
        <v>0</v>
      </c>
      <c r="B309" t="s">
        <v>103</v>
      </c>
      <c r="C309" t="s">
        <v>192</v>
      </c>
      <c r="D309" t="s">
        <v>288</v>
      </c>
      <c r="E309" t="s">
        <v>197</v>
      </c>
      <c r="F309" t="s">
        <v>677</v>
      </c>
      <c r="G309" t="s">
        <v>1421</v>
      </c>
      <c r="H309" t="s">
        <v>2175</v>
      </c>
      <c r="I309">
        <v>1</v>
      </c>
      <c r="J309" t="s">
        <v>3148</v>
      </c>
      <c r="K309">
        <v>11208</v>
      </c>
      <c r="L309" t="s">
        <v>3184</v>
      </c>
      <c r="N309" t="s">
        <v>3186</v>
      </c>
      <c r="O309" t="s">
        <v>3319</v>
      </c>
      <c r="P309" t="s">
        <v>3610</v>
      </c>
      <c r="Q309" t="s">
        <v>3638</v>
      </c>
      <c r="R309" t="s">
        <v>3644</v>
      </c>
      <c r="S309" t="s">
        <v>229</v>
      </c>
      <c r="T309" t="s">
        <v>3660</v>
      </c>
      <c r="U309" t="s">
        <v>3184</v>
      </c>
      <c r="W309" t="s">
        <v>3670</v>
      </c>
      <c r="Y309">
        <v>2000</v>
      </c>
      <c r="Z309" t="s">
        <v>3691</v>
      </c>
      <c r="AA309" t="s">
        <v>3698</v>
      </c>
      <c r="AB309" t="s">
        <v>3714</v>
      </c>
      <c r="AC309" t="s">
        <v>3997</v>
      </c>
      <c r="AE309" t="s">
        <v>5120</v>
      </c>
      <c r="AF309">
        <v>3</v>
      </c>
      <c r="AG309" t="s">
        <v>5814</v>
      </c>
      <c r="AH309" t="s">
        <v>5833</v>
      </c>
      <c r="AI309">
        <v>1</v>
      </c>
      <c r="AJ309">
        <v>1</v>
      </c>
      <c r="AK309">
        <v>3</v>
      </c>
      <c r="AL309">
        <v>204.69</v>
      </c>
      <c r="AO309" t="s">
        <v>5843</v>
      </c>
      <c r="AP309">
        <v>51376</v>
      </c>
      <c r="AQ309" t="s">
        <v>5883</v>
      </c>
      <c r="AV309">
        <v>14.7</v>
      </c>
      <c r="AW309" t="s">
        <v>434</v>
      </c>
      <c r="AX309" t="s">
        <v>158</v>
      </c>
    </row>
    <row r="310" spans="1:50">
      <c r="A310" s="1">
        <f>HYPERLINK("https://lsnyc.legalserver.org/matter/dynamic-profile/view/1906190","19-1906190")</f>
        <v>0</v>
      </c>
      <c r="B310" t="s">
        <v>52</v>
      </c>
      <c r="C310" t="s">
        <v>191</v>
      </c>
      <c r="D310" t="s">
        <v>219</v>
      </c>
      <c r="F310" t="s">
        <v>464</v>
      </c>
      <c r="G310" t="s">
        <v>1422</v>
      </c>
      <c r="H310" t="s">
        <v>1974</v>
      </c>
      <c r="I310" t="s">
        <v>2948</v>
      </c>
      <c r="J310" t="s">
        <v>3147</v>
      </c>
      <c r="K310">
        <v>10460</v>
      </c>
      <c r="L310" t="s">
        <v>3185</v>
      </c>
      <c r="N310" t="s">
        <v>3186</v>
      </c>
      <c r="O310" t="s">
        <v>3320</v>
      </c>
      <c r="P310" t="s">
        <v>3613</v>
      </c>
      <c r="Q310" t="s">
        <v>3638</v>
      </c>
      <c r="T310" t="s">
        <v>3660</v>
      </c>
      <c r="U310" t="s">
        <v>3184</v>
      </c>
      <c r="W310" t="s">
        <v>3670</v>
      </c>
      <c r="Y310">
        <v>239</v>
      </c>
      <c r="Z310" t="s">
        <v>3690</v>
      </c>
      <c r="AA310" t="s">
        <v>3700</v>
      </c>
      <c r="AC310" t="s">
        <v>3998</v>
      </c>
      <c r="AE310" t="s">
        <v>5121</v>
      </c>
      <c r="AF310">
        <v>169</v>
      </c>
      <c r="AG310" t="s">
        <v>5816</v>
      </c>
      <c r="AH310" t="s">
        <v>5827</v>
      </c>
      <c r="AI310">
        <v>45</v>
      </c>
      <c r="AJ310">
        <v>1</v>
      </c>
      <c r="AK310">
        <v>0</v>
      </c>
      <c r="AL310">
        <v>79.73999999999999</v>
      </c>
      <c r="AP310">
        <v>9960</v>
      </c>
      <c r="AV310">
        <v>5</v>
      </c>
      <c r="AW310" t="s">
        <v>246</v>
      </c>
      <c r="AX310" t="s">
        <v>78</v>
      </c>
    </row>
    <row r="311" spans="1:50">
      <c r="A311" s="1">
        <f>HYPERLINK("https://lsnyc.legalserver.org/matter/dynamic-profile/view/1907259","19-1907259")</f>
        <v>0</v>
      </c>
      <c r="B311" t="s">
        <v>104</v>
      </c>
      <c r="C311" t="s">
        <v>191</v>
      </c>
      <c r="D311" t="s">
        <v>227</v>
      </c>
      <c r="F311" t="s">
        <v>678</v>
      </c>
      <c r="G311" t="s">
        <v>1423</v>
      </c>
      <c r="H311" t="s">
        <v>2176</v>
      </c>
      <c r="I311" t="s">
        <v>2949</v>
      </c>
      <c r="J311" t="s">
        <v>3148</v>
      </c>
      <c r="K311">
        <v>11225</v>
      </c>
      <c r="L311" t="s">
        <v>3186</v>
      </c>
      <c r="N311" t="s">
        <v>3186</v>
      </c>
      <c r="P311" t="s">
        <v>3622</v>
      </c>
      <c r="Q311" t="s">
        <v>3635</v>
      </c>
      <c r="S311" t="s">
        <v>227</v>
      </c>
      <c r="T311" t="s">
        <v>3660</v>
      </c>
      <c r="U311" t="s">
        <v>3185</v>
      </c>
      <c r="W311" t="s">
        <v>3670</v>
      </c>
      <c r="Y311">
        <v>0</v>
      </c>
      <c r="Z311" t="s">
        <v>3691</v>
      </c>
      <c r="AC311" t="s">
        <v>3999</v>
      </c>
      <c r="AF311">
        <v>46</v>
      </c>
      <c r="AI311">
        <v>0</v>
      </c>
      <c r="AJ311">
        <v>2</v>
      </c>
      <c r="AK311">
        <v>0</v>
      </c>
      <c r="AL311">
        <v>215.26</v>
      </c>
      <c r="AO311" t="s">
        <v>5843</v>
      </c>
      <c r="AP311">
        <v>36400</v>
      </c>
      <c r="AV311">
        <v>9.25</v>
      </c>
      <c r="AW311" t="s">
        <v>221</v>
      </c>
      <c r="AX311" t="s">
        <v>61</v>
      </c>
    </row>
    <row r="312" spans="1:50">
      <c r="A312" s="1">
        <f>HYPERLINK("https://lsnyc.legalserver.org/matter/dynamic-profile/view/1909794","19-1909794")</f>
        <v>0</v>
      </c>
      <c r="B312" t="s">
        <v>52</v>
      </c>
      <c r="C312" t="s">
        <v>191</v>
      </c>
      <c r="D312" t="s">
        <v>252</v>
      </c>
      <c r="F312" t="s">
        <v>679</v>
      </c>
      <c r="G312" t="s">
        <v>1424</v>
      </c>
      <c r="H312" t="s">
        <v>2177</v>
      </c>
      <c r="J312" t="s">
        <v>3147</v>
      </c>
      <c r="K312">
        <v>10468</v>
      </c>
      <c r="L312" t="s">
        <v>3185</v>
      </c>
      <c r="M312" t="s">
        <v>3189</v>
      </c>
      <c r="N312" t="s">
        <v>3186</v>
      </c>
      <c r="T312" t="s">
        <v>3660</v>
      </c>
      <c r="W312" t="s">
        <v>3670</v>
      </c>
      <c r="Y312">
        <v>0</v>
      </c>
      <c r="Z312" t="s">
        <v>3690</v>
      </c>
      <c r="AC312" t="s">
        <v>4000</v>
      </c>
      <c r="AE312" t="s">
        <v>5122</v>
      </c>
      <c r="AF312">
        <v>0</v>
      </c>
      <c r="AI312">
        <v>0</v>
      </c>
      <c r="AJ312">
        <v>2</v>
      </c>
      <c r="AK312">
        <v>0</v>
      </c>
      <c r="AL312">
        <v>48.68</v>
      </c>
      <c r="AP312">
        <v>8232</v>
      </c>
      <c r="AV312">
        <v>0</v>
      </c>
      <c r="AX312" t="s">
        <v>52</v>
      </c>
    </row>
    <row r="313" spans="1:50">
      <c r="A313" s="1">
        <f>HYPERLINK("https://lsnyc.legalserver.org/matter/dynamic-profile/view/1907756","19-1907756")</f>
        <v>0</v>
      </c>
      <c r="B313" t="s">
        <v>105</v>
      </c>
      <c r="C313" t="s">
        <v>191</v>
      </c>
      <c r="D313" t="s">
        <v>225</v>
      </c>
      <c r="F313" t="s">
        <v>680</v>
      </c>
      <c r="G313" t="s">
        <v>1425</v>
      </c>
      <c r="H313" t="s">
        <v>2178</v>
      </c>
      <c r="I313" t="s">
        <v>2950</v>
      </c>
      <c r="J313" t="s">
        <v>3148</v>
      </c>
      <c r="K313">
        <v>11205</v>
      </c>
      <c r="L313" t="s">
        <v>3186</v>
      </c>
      <c r="N313" t="s">
        <v>3186</v>
      </c>
      <c r="P313" t="s">
        <v>3612</v>
      </c>
      <c r="Q313" t="s">
        <v>3638</v>
      </c>
      <c r="S313" t="s">
        <v>225</v>
      </c>
      <c r="T313" t="s">
        <v>3660</v>
      </c>
      <c r="U313" t="s">
        <v>3184</v>
      </c>
      <c r="W313" t="s">
        <v>3670</v>
      </c>
      <c r="Y313">
        <v>0</v>
      </c>
      <c r="Z313" t="s">
        <v>3691</v>
      </c>
      <c r="AC313" t="s">
        <v>4001</v>
      </c>
      <c r="AE313" t="s">
        <v>5123</v>
      </c>
      <c r="AF313">
        <v>104</v>
      </c>
      <c r="AI313">
        <v>0</v>
      </c>
      <c r="AJ313">
        <v>1</v>
      </c>
      <c r="AK313">
        <v>1</v>
      </c>
      <c r="AL313">
        <v>192.03</v>
      </c>
      <c r="AO313" t="s">
        <v>5843</v>
      </c>
      <c r="AP313">
        <v>32472</v>
      </c>
      <c r="AV313">
        <v>0</v>
      </c>
      <c r="AX313" t="s">
        <v>61</v>
      </c>
    </row>
    <row r="314" spans="1:50">
      <c r="A314" s="1">
        <f>HYPERLINK("https://lsnyc.legalserver.org/matter/dynamic-profile/view/1909788","19-1909788")</f>
        <v>0</v>
      </c>
      <c r="B314" t="s">
        <v>52</v>
      </c>
      <c r="C314" t="s">
        <v>191</v>
      </c>
      <c r="D314" t="s">
        <v>252</v>
      </c>
      <c r="F314" t="s">
        <v>681</v>
      </c>
      <c r="G314" t="s">
        <v>1426</v>
      </c>
      <c r="H314" t="s">
        <v>2179</v>
      </c>
      <c r="I314" t="s">
        <v>2951</v>
      </c>
      <c r="J314" t="s">
        <v>3147</v>
      </c>
      <c r="K314">
        <v>10457</v>
      </c>
      <c r="L314" t="s">
        <v>3185</v>
      </c>
      <c r="M314" t="s">
        <v>3189</v>
      </c>
      <c r="N314" t="s">
        <v>3186</v>
      </c>
      <c r="T314" t="s">
        <v>3660</v>
      </c>
      <c r="W314" t="s">
        <v>3670</v>
      </c>
      <c r="Y314">
        <v>0</v>
      </c>
      <c r="Z314" t="s">
        <v>3690</v>
      </c>
      <c r="AC314" t="s">
        <v>4002</v>
      </c>
      <c r="AF314">
        <v>0</v>
      </c>
      <c r="AI314">
        <v>0</v>
      </c>
      <c r="AJ314">
        <v>1</v>
      </c>
      <c r="AK314">
        <v>0</v>
      </c>
      <c r="AL314">
        <v>80.7</v>
      </c>
      <c r="AO314" t="s">
        <v>5843</v>
      </c>
      <c r="AP314">
        <v>10080</v>
      </c>
      <c r="AV314">
        <v>0</v>
      </c>
      <c r="AX314" t="s">
        <v>52</v>
      </c>
    </row>
    <row r="315" spans="1:50">
      <c r="A315" s="1">
        <f>HYPERLINK("https://lsnyc.legalserver.org/matter/dynamic-profile/view/1909792","19-1909792")</f>
        <v>0</v>
      </c>
      <c r="B315" t="s">
        <v>52</v>
      </c>
      <c r="C315" t="s">
        <v>191</v>
      </c>
      <c r="D315" t="s">
        <v>252</v>
      </c>
      <c r="F315" t="s">
        <v>682</v>
      </c>
      <c r="G315" t="s">
        <v>1427</v>
      </c>
      <c r="J315" t="s">
        <v>3147</v>
      </c>
      <c r="K315">
        <v>10456</v>
      </c>
      <c r="L315" t="s">
        <v>3185</v>
      </c>
      <c r="M315" t="s">
        <v>3189</v>
      </c>
      <c r="N315" t="s">
        <v>3186</v>
      </c>
      <c r="T315" t="s">
        <v>3660</v>
      </c>
      <c r="W315" t="s">
        <v>3670</v>
      </c>
      <c r="Y315">
        <v>0</v>
      </c>
      <c r="Z315" t="s">
        <v>3690</v>
      </c>
      <c r="AC315" t="s">
        <v>4003</v>
      </c>
      <c r="AE315" t="s">
        <v>5124</v>
      </c>
      <c r="AF315">
        <v>0</v>
      </c>
      <c r="AI315">
        <v>0</v>
      </c>
      <c r="AJ315">
        <v>1</v>
      </c>
      <c r="AK315">
        <v>0</v>
      </c>
      <c r="AL315">
        <v>240.19</v>
      </c>
      <c r="AP315">
        <v>30000</v>
      </c>
      <c r="AV315">
        <v>0</v>
      </c>
      <c r="AX315" t="s">
        <v>52</v>
      </c>
    </row>
    <row r="316" spans="1:50">
      <c r="A316" s="1">
        <f>HYPERLINK("https://lsnyc.legalserver.org/matter/dynamic-profile/view/1907024","19-1907024")</f>
        <v>0</v>
      </c>
      <c r="B316" t="s">
        <v>92</v>
      </c>
      <c r="C316" t="s">
        <v>192</v>
      </c>
      <c r="D316" t="s">
        <v>281</v>
      </c>
      <c r="E316" t="s">
        <v>291</v>
      </c>
      <c r="F316" t="s">
        <v>683</v>
      </c>
      <c r="G316" t="s">
        <v>1428</v>
      </c>
      <c r="H316" t="s">
        <v>2180</v>
      </c>
      <c r="I316" t="s">
        <v>2884</v>
      </c>
      <c r="J316" t="s">
        <v>3148</v>
      </c>
      <c r="K316">
        <v>11225</v>
      </c>
      <c r="L316" t="s">
        <v>3184</v>
      </c>
      <c r="M316" t="s">
        <v>3188</v>
      </c>
      <c r="N316" t="s">
        <v>3186</v>
      </c>
      <c r="O316" t="s">
        <v>3321</v>
      </c>
      <c r="P316" t="s">
        <v>3610</v>
      </c>
      <c r="Q316" t="s">
        <v>3634</v>
      </c>
      <c r="R316" t="s">
        <v>3642</v>
      </c>
      <c r="S316" t="s">
        <v>3650</v>
      </c>
      <c r="T316" t="s">
        <v>3660</v>
      </c>
      <c r="U316" t="s">
        <v>3184</v>
      </c>
      <c r="W316" t="s">
        <v>3670</v>
      </c>
      <c r="Y316">
        <v>763.14</v>
      </c>
      <c r="Z316" t="s">
        <v>3691</v>
      </c>
      <c r="AA316" t="s">
        <v>3632</v>
      </c>
      <c r="AB316" t="s">
        <v>3712</v>
      </c>
      <c r="AC316" t="s">
        <v>4004</v>
      </c>
      <c r="AE316" t="s">
        <v>5125</v>
      </c>
      <c r="AF316">
        <v>90</v>
      </c>
      <c r="AG316" t="s">
        <v>5813</v>
      </c>
      <c r="AH316" t="s">
        <v>3188</v>
      </c>
      <c r="AI316">
        <v>7</v>
      </c>
      <c r="AJ316">
        <v>2</v>
      </c>
      <c r="AK316">
        <v>1</v>
      </c>
      <c r="AL316">
        <v>213.31</v>
      </c>
      <c r="AO316" t="s">
        <v>5843</v>
      </c>
      <c r="AP316">
        <v>45500</v>
      </c>
      <c r="AQ316" t="s">
        <v>5884</v>
      </c>
      <c r="AT316" t="s">
        <v>5948</v>
      </c>
      <c r="AU316" t="s">
        <v>5959</v>
      </c>
      <c r="AV316">
        <v>0.1</v>
      </c>
      <c r="AW316" t="s">
        <v>291</v>
      </c>
      <c r="AX316" t="s">
        <v>82</v>
      </c>
    </row>
    <row r="317" spans="1:50">
      <c r="A317" s="1">
        <f>HYPERLINK("https://lsnyc.legalserver.org/matter/dynamic-profile/view/1908216","19-1908216")</f>
        <v>0</v>
      </c>
      <c r="B317" t="s">
        <v>103</v>
      </c>
      <c r="C317" t="s">
        <v>192</v>
      </c>
      <c r="D317" t="s">
        <v>286</v>
      </c>
      <c r="E317" t="s">
        <v>222</v>
      </c>
      <c r="F317" t="s">
        <v>684</v>
      </c>
      <c r="G317" t="s">
        <v>1429</v>
      </c>
      <c r="H317" t="s">
        <v>2181</v>
      </c>
      <c r="I317" t="s">
        <v>2952</v>
      </c>
      <c r="J317" t="s">
        <v>3148</v>
      </c>
      <c r="K317">
        <v>11208</v>
      </c>
      <c r="L317" t="s">
        <v>3184</v>
      </c>
      <c r="M317" t="s">
        <v>3189</v>
      </c>
      <c r="N317" t="s">
        <v>3186</v>
      </c>
      <c r="P317" t="s">
        <v>3612</v>
      </c>
      <c r="Q317" t="s">
        <v>3634</v>
      </c>
      <c r="R317" t="s">
        <v>3642</v>
      </c>
      <c r="S317" t="s">
        <v>228</v>
      </c>
      <c r="T317" t="s">
        <v>3660</v>
      </c>
      <c r="U317" t="s">
        <v>3184</v>
      </c>
      <c r="W317" t="s">
        <v>3670</v>
      </c>
      <c r="X317" t="s">
        <v>3681</v>
      </c>
      <c r="Y317">
        <v>0</v>
      </c>
      <c r="Z317" t="s">
        <v>3691</v>
      </c>
      <c r="AA317" t="s">
        <v>3694</v>
      </c>
      <c r="AB317" t="s">
        <v>3712</v>
      </c>
      <c r="AC317" t="s">
        <v>4005</v>
      </c>
      <c r="AD317" t="s">
        <v>3218</v>
      </c>
      <c r="AE317" t="s">
        <v>5126</v>
      </c>
      <c r="AF317">
        <v>1444</v>
      </c>
      <c r="AH317" t="s">
        <v>3188</v>
      </c>
      <c r="AI317">
        <v>0</v>
      </c>
      <c r="AJ317">
        <v>2</v>
      </c>
      <c r="AK317">
        <v>2</v>
      </c>
      <c r="AL317">
        <v>100.97</v>
      </c>
      <c r="AO317" t="s">
        <v>5854</v>
      </c>
      <c r="AP317">
        <v>26000</v>
      </c>
      <c r="AV317">
        <v>1</v>
      </c>
      <c r="AW317" t="s">
        <v>228</v>
      </c>
      <c r="AX317" t="s">
        <v>6036</v>
      </c>
    </row>
    <row r="318" spans="1:50">
      <c r="A318" s="1">
        <f>HYPERLINK("https://lsnyc.legalserver.org/matter/dynamic-profile/view/0781269","15-0781269")</f>
        <v>0</v>
      </c>
      <c r="B318" t="s">
        <v>106</v>
      </c>
      <c r="C318" t="s">
        <v>191</v>
      </c>
      <c r="D318" t="s">
        <v>289</v>
      </c>
      <c r="F318" t="s">
        <v>685</v>
      </c>
      <c r="G318" t="s">
        <v>1430</v>
      </c>
      <c r="H318" t="s">
        <v>2182</v>
      </c>
      <c r="I318" t="s">
        <v>2838</v>
      </c>
      <c r="J318" t="s">
        <v>3148</v>
      </c>
      <c r="K318">
        <v>11216</v>
      </c>
      <c r="L318" t="s">
        <v>3185</v>
      </c>
      <c r="N318" t="s">
        <v>3186</v>
      </c>
      <c r="O318" t="s">
        <v>3322</v>
      </c>
      <c r="P318" t="s">
        <v>3613</v>
      </c>
      <c r="Q318" t="s">
        <v>3638</v>
      </c>
      <c r="T318" t="s">
        <v>3660</v>
      </c>
      <c r="V318" t="s">
        <v>3664</v>
      </c>
      <c r="W318" t="s">
        <v>3670</v>
      </c>
      <c r="Y318">
        <v>1244</v>
      </c>
      <c r="Z318" t="s">
        <v>3691</v>
      </c>
      <c r="AA318" t="s">
        <v>3704</v>
      </c>
      <c r="AC318" t="s">
        <v>4006</v>
      </c>
      <c r="AE318" t="s">
        <v>5127</v>
      </c>
      <c r="AF318">
        <v>0</v>
      </c>
      <c r="AG318" t="s">
        <v>5813</v>
      </c>
      <c r="AI318">
        <v>14</v>
      </c>
      <c r="AJ318">
        <v>1</v>
      </c>
      <c r="AK318">
        <v>2</v>
      </c>
      <c r="AL318">
        <v>137.7</v>
      </c>
      <c r="AO318" t="s">
        <v>5843</v>
      </c>
      <c r="AP318">
        <v>27664</v>
      </c>
      <c r="AV318">
        <v>172</v>
      </c>
      <c r="AW318" t="s">
        <v>5980</v>
      </c>
      <c r="AX318" t="s">
        <v>106</v>
      </c>
    </row>
    <row r="319" spans="1:50">
      <c r="A319" s="1">
        <f>HYPERLINK("https://lsnyc.legalserver.org/matter/dynamic-profile/view/1905072","19-1905072")</f>
        <v>0</v>
      </c>
      <c r="B319" t="s">
        <v>61</v>
      </c>
      <c r="C319" t="s">
        <v>191</v>
      </c>
      <c r="D319" t="s">
        <v>249</v>
      </c>
      <c r="F319" t="s">
        <v>686</v>
      </c>
      <c r="G319" t="s">
        <v>1431</v>
      </c>
      <c r="H319" t="s">
        <v>2183</v>
      </c>
      <c r="I319" t="s">
        <v>2894</v>
      </c>
      <c r="J319" t="s">
        <v>3148</v>
      </c>
      <c r="K319">
        <v>11226</v>
      </c>
      <c r="L319" t="s">
        <v>3186</v>
      </c>
      <c r="N319" t="s">
        <v>3186</v>
      </c>
      <c r="P319" t="s">
        <v>3610</v>
      </c>
      <c r="T319" t="s">
        <v>3660</v>
      </c>
      <c r="U319" t="s">
        <v>3184</v>
      </c>
      <c r="W319" t="s">
        <v>3670</v>
      </c>
      <c r="Y319">
        <v>762</v>
      </c>
      <c r="Z319" t="s">
        <v>3691</v>
      </c>
      <c r="AA319" t="s">
        <v>3697</v>
      </c>
      <c r="AC319" t="s">
        <v>4007</v>
      </c>
      <c r="AE319" t="s">
        <v>5128</v>
      </c>
      <c r="AF319">
        <v>42</v>
      </c>
      <c r="AH319" t="s">
        <v>3188</v>
      </c>
      <c r="AI319">
        <v>21</v>
      </c>
      <c r="AJ319">
        <v>1</v>
      </c>
      <c r="AK319">
        <v>0</v>
      </c>
      <c r="AL319">
        <v>312.25</v>
      </c>
      <c r="AO319" t="s">
        <v>5843</v>
      </c>
      <c r="AP319">
        <v>39000</v>
      </c>
      <c r="AV319">
        <v>0.5</v>
      </c>
      <c r="AW319" t="s">
        <v>249</v>
      </c>
      <c r="AX319" t="s">
        <v>6015</v>
      </c>
    </row>
    <row r="320" spans="1:50">
      <c r="A320" s="1">
        <f>HYPERLINK("https://lsnyc.legalserver.org/matter/dynamic-profile/view/1906975","19-1906975")</f>
        <v>0</v>
      </c>
      <c r="B320" t="s">
        <v>59</v>
      </c>
      <c r="C320" t="s">
        <v>191</v>
      </c>
      <c r="D320" t="s">
        <v>226</v>
      </c>
      <c r="F320" t="s">
        <v>687</v>
      </c>
      <c r="G320" t="s">
        <v>1432</v>
      </c>
      <c r="H320" t="s">
        <v>2184</v>
      </c>
      <c r="I320" t="s">
        <v>2953</v>
      </c>
      <c r="J320" t="s">
        <v>3147</v>
      </c>
      <c r="K320">
        <v>10453</v>
      </c>
      <c r="L320" t="s">
        <v>3185</v>
      </c>
      <c r="M320" t="s">
        <v>3189</v>
      </c>
      <c r="N320" t="s">
        <v>3186</v>
      </c>
      <c r="P320" t="s">
        <v>3257</v>
      </c>
      <c r="Q320" t="s">
        <v>3634</v>
      </c>
      <c r="T320" t="s">
        <v>3660</v>
      </c>
      <c r="W320" t="s">
        <v>3673</v>
      </c>
      <c r="Y320">
        <v>0</v>
      </c>
      <c r="Z320" t="s">
        <v>3690</v>
      </c>
      <c r="AC320" t="s">
        <v>4008</v>
      </c>
      <c r="AE320" t="s">
        <v>5129</v>
      </c>
      <c r="AF320">
        <v>0</v>
      </c>
      <c r="AH320" t="s">
        <v>5827</v>
      </c>
      <c r="AI320">
        <v>0</v>
      </c>
      <c r="AJ320">
        <v>1</v>
      </c>
      <c r="AK320">
        <v>0</v>
      </c>
      <c r="AL320">
        <v>74.08</v>
      </c>
      <c r="AO320" t="s">
        <v>5843</v>
      </c>
      <c r="AP320">
        <v>9252</v>
      </c>
      <c r="AV320">
        <v>1</v>
      </c>
      <c r="AW320" t="s">
        <v>211</v>
      </c>
      <c r="AX320" t="s">
        <v>59</v>
      </c>
    </row>
    <row r="321" spans="1:50">
      <c r="A321" s="1">
        <f>HYPERLINK("https://lsnyc.legalserver.org/matter/dynamic-profile/view/1906688","19-1906688")</f>
        <v>0</v>
      </c>
      <c r="B321" t="s">
        <v>82</v>
      </c>
      <c r="C321" t="s">
        <v>192</v>
      </c>
      <c r="D321" t="s">
        <v>277</v>
      </c>
      <c r="E321" t="s">
        <v>277</v>
      </c>
      <c r="F321" t="s">
        <v>688</v>
      </c>
      <c r="G321" t="s">
        <v>1244</v>
      </c>
      <c r="H321" t="s">
        <v>2185</v>
      </c>
      <c r="J321" t="s">
        <v>3148</v>
      </c>
      <c r="K321">
        <v>11208</v>
      </c>
      <c r="L321" t="s">
        <v>3186</v>
      </c>
      <c r="N321" t="s">
        <v>3186</v>
      </c>
      <c r="O321" t="s">
        <v>3218</v>
      </c>
      <c r="P321" t="s">
        <v>3257</v>
      </c>
      <c r="Q321" t="s">
        <v>3634</v>
      </c>
      <c r="R321" t="s">
        <v>3642</v>
      </c>
      <c r="T321" t="s">
        <v>3660</v>
      </c>
      <c r="U321" t="s">
        <v>3184</v>
      </c>
      <c r="W321" t="s">
        <v>3670</v>
      </c>
      <c r="Y321">
        <v>0</v>
      </c>
      <c r="Z321" t="s">
        <v>3691</v>
      </c>
      <c r="AB321" t="s">
        <v>3712</v>
      </c>
      <c r="AC321" t="s">
        <v>4009</v>
      </c>
      <c r="AF321">
        <v>2</v>
      </c>
      <c r="AG321" t="s">
        <v>5814</v>
      </c>
      <c r="AI321">
        <v>42</v>
      </c>
      <c r="AJ321">
        <v>1</v>
      </c>
      <c r="AK321">
        <v>0</v>
      </c>
      <c r="AL321">
        <v>0</v>
      </c>
      <c r="AO321" t="s">
        <v>5843</v>
      </c>
      <c r="AP321">
        <v>0</v>
      </c>
      <c r="AV321">
        <v>0.9</v>
      </c>
      <c r="AW321" t="s">
        <v>277</v>
      </c>
      <c r="AX321" t="s">
        <v>6012</v>
      </c>
    </row>
    <row r="322" spans="1:50">
      <c r="A322" s="1">
        <f>HYPERLINK("https://lsnyc.legalserver.org/matter/dynamic-profile/view/1903527","19-1903527")</f>
        <v>0</v>
      </c>
      <c r="B322" t="s">
        <v>59</v>
      </c>
      <c r="C322" t="s">
        <v>191</v>
      </c>
      <c r="D322" t="s">
        <v>226</v>
      </c>
      <c r="F322" t="s">
        <v>689</v>
      </c>
      <c r="G322" t="s">
        <v>1433</v>
      </c>
      <c r="H322" t="s">
        <v>2186</v>
      </c>
      <c r="I322">
        <v>3</v>
      </c>
      <c r="J322" t="s">
        <v>3147</v>
      </c>
      <c r="K322">
        <v>10462</v>
      </c>
      <c r="L322" t="s">
        <v>3185</v>
      </c>
      <c r="M322" t="s">
        <v>3189</v>
      </c>
      <c r="N322" t="s">
        <v>3186</v>
      </c>
      <c r="Q322" t="s">
        <v>3634</v>
      </c>
      <c r="T322" t="s">
        <v>3660</v>
      </c>
      <c r="W322" t="s">
        <v>3670</v>
      </c>
      <c r="Y322">
        <v>0</v>
      </c>
      <c r="Z322" t="s">
        <v>3690</v>
      </c>
      <c r="AC322" t="s">
        <v>4010</v>
      </c>
      <c r="AE322" t="s">
        <v>5130</v>
      </c>
      <c r="AF322">
        <v>0</v>
      </c>
      <c r="AH322" t="s">
        <v>5828</v>
      </c>
      <c r="AI322">
        <v>0</v>
      </c>
      <c r="AJ322">
        <v>1</v>
      </c>
      <c r="AK322">
        <v>0</v>
      </c>
      <c r="AL322">
        <v>96.16</v>
      </c>
      <c r="AO322" t="s">
        <v>5843</v>
      </c>
      <c r="AP322">
        <v>12010.68</v>
      </c>
      <c r="AV322">
        <v>2.1</v>
      </c>
      <c r="AW322" t="s">
        <v>211</v>
      </c>
      <c r="AX322" t="s">
        <v>90</v>
      </c>
    </row>
    <row r="323" spans="1:50">
      <c r="A323" s="1">
        <f>HYPERLINK("https://lsnyc.legalserver.org/matter/dynamic-profile/view/1906918","19-1906918")</f>
        <v>0</v>
      </c>
      <c r="B323" t="s">
        <v>59</v>
      </c>
      <c r="C323" t="s">
        <v>191</v>
      </c>
      <c r="D323" t="s">
        <v>226</v>
      </c>
      <c r="F323" t="s">
        <v>690</v>
      </c>
      <c r="G323" t="s">
        <v>1217</v>
      </c>
      <c r="H323" t="s">
        <v>2187</v>
      </c>
      <c r="I323" t="s">
        <v>2830</v>
      </c>
      <c r="J323" t="s">
        <v>3147</v>
      </c>
      <c r="K323">
        <v>10457</v>
      </c>
      <c r="L323" t="s">
        <v>3185</v>
      </c>
      <c r="M323" t="s">
        <v>3189</v>
      </c>
      <c r="N323" t="s">
        <v>3186</v>
      </c>
      <c r="O323" t="s">
        <v>3323</v>
      </c>
      <c r="P323" t="s">
        <v>3257</v>
      </c>
      <c r="Q323" t="s">
        <v>3634</v>
      </c>
      <c r="T323" t="s">
        <v>3660</v>
      </c>
      <c r="W323" t="s">
        <v>3670</v>
      </c>
      <c r="Y323">
        <v>873</v>
      </c>
      <c r="Z323" t="s">
        <v>3690</v>
      </c>
      <c r="AA323" t="s">
        <v>3697</v>
      </c>
      <c r="AC323" t="s">
        <v>4011</v>
      </c>
      <c r="AE323" t="s">
        <v>5131</v>
      </c>
      <c r="AF323">
        <v>0</v>
      </c>
      <c r="AG323" t="s">
        <v>5813</v>
      </c>
      <c r="AH323" t="s">
        <v>3188</v>
      </c>
      <c r="AI323">
        <v>6</v>
      </c>
      <c r="AJ323">
        <v>1</v>
      </c>
      <c r="AK323">
        <v>0</v>
      </c>
      <c r="AL323">
        <v>160.93</v>
      </c>
      <c r="AO323" t="s">
        <v>5843</v>
      </c>
      <c r="AP323">
        <v>20100</v>
      </c>
      <c r="AV323">
        <v>0</v>
      </c>
      <c r="AX323" t="s">
        <v>59</v>
      </c>
    </row>
    <row r="324" spans="1:50">
      <c r="A324" s="1">
        <f>HYPERLINK("https://lsnyc.legalserver.org/matter/dynamic-profile/view/1910523","19-1910523")</f>
        <v>0</v>
      </c>
      <c r="B324" t="s">
        <v>59</v>
      </c>
      <c r="C324" t="s">
        <v>191</v>
      </c>
      <c r="D324" t="s">
        <v>261</v>
      </c>
      <c r="F324" t="s">
        <v>691</v>
      </c>
      <c r="G324" t="s">
        <v>1434</v>
      </c>
      <c r="H324" t="s">
        <v>2188</v>
      </c>
      <c r="I324" t="s">
        <v>2954</v>
      </c>
      <c r="J324" t="s">
        <v>3147</v>
      </c>
      <c r="K324">
        <v>10453</v>
      </c>
      <c r="L324" t="s">
        <v>3185</v>
      </c>
      <c r="M324" t="s">
        <v>3189</v>
      </c>
      <c r="N324" t="s">
        <v>3186</v>
      </c>
      <c r="O324" t="s">
        <v>3324</v>
      </c>
      <c r="P324" t="s">
        <v>3610</v>
      </c>
      <c r="T324" t="s">
        <v>3660</v>
      </c>
      <c r="U324" t="s">
        <v>3184</v>
      </c>
      <c r="W324" t="s">
        <v>3670</v>
      </c>
      <c r="Y324">
        <v>1174</v>
      </c>
      <c r="Z324" t="s">
        <v>3690</v>
      </c>
      <c r="AC324" t="s">
        <v>4012</v>
      </c>
      <c r="AE324" t="s">
        <v>5132</v>
      </c>
      <c r="AF324">
        <v>0</v>
      </c>
      <c r="AG324" t="s">
        <v>5813</v>
      </c>
      <c r="AI324">
        <v>33</v>
      </c>
      <c r="AJ324">
        <v>2</v>
      </c>
      <c r="AK324">
        <v>0</v>
      </c>
      <c r="AL324">
        <v>184.51</v>
      </c>
      <c r="AO324" t="s">
        <v>5843</v>
      </c>
      <c r="AP324">
        <v>31200</v>
      </c>
      <c r="AV324">
        <v>0</v>
      </c>
      <c r="AX324" t="s">
        <v>83</v>
      </c>
    </row>
    <row r="325" spans="1:50">
      <c r="A325" s="1">
        <f>HYPERLINK("https://lsnyc.legalserver.org/matter/dynamic-profile/view/1909487","19-1909487")</f>
        <v>0</v>
      </c>
      <c r="B325" t="s">
        <v>59</v>
      </c>
      <c r="C325" t="s">
        <v>191</v>
      </c>
      <c r="D325" t="s">
        <v>197</v>
      </c>
      <c r="F325" t="s">
        <v>692</v>
      </c>
      <c r="G325" t="s">
        <v>1435</v>
      </c>
      <c r="H325" t="s">
        <v>2189</v>
      </c>
      <c r="J325" t="s">
        <v>3147</v>
      </c>
      <c r="K325">
        <v>10451</v>
      </c>
      <c r="L325" t="s">
        <v>3185</v>
      </c>
      <c r="N325" t="s">
        <v>3186</v>
      </c>
      <c r="P325" t="s">
        <v>3621</v>
      </c>
      <c r="Q325" t="s">
        <v>3634</v>
      </c>
      <c r="T325" t="s">
        <v>3660</v>
      </c>
      <c r="U325" t="s">
        <v>3184</v>
      </c>
      <c r="W325" t="s">
        <v>3670</v>
      </c>
      <c r="Y325">
        <v>0</v>
      </c>
      <c r="Z325" t="s">
        <v>3690</v>
      </c>
      <c r="AA325" t="s">
        <v>3697</v>
      </c>
      <c r="AC325" t="s">
        <v>4013</v>
      </c>
      <c r="AE325" t="s">
        <v>5133</v>
      </c>
      <c r="AF325">
        <v>0</v>
      </c>
      <c r="AG325" t="s">
        <v>5813</v>
      </c>
      <c r="AI325">
        <v>13</v>
      </c>
      <c r="AJ325">
        <v>1</v>
      </c>
      <c r="AK325">
        <v>0</v>
      </c>
      <c r="AL325">
        <v>188.69</v>
      </c>
      <c r="AO325" t="s">
        <v>5843</v>
      </c>
      <c r="AP325">
        <v>23568</v>
      </c>
      <c r="AV325">
        <v>0.5</v>
      </c>
      <c r="AW325" t="s">
        <v>197</v>
      </c>
      <c r="AX325" t="s">
        <v>59</v>
      </c>
    </row>
    <row r="326" spans="1:50">
      <c r="A326" s="1">
        <f>HYPERLINK("https://lsnyc.legalserver.org/matter/dynamic-profile/view/1908692","19-1908692")</f>
        <v>0</v>
      </c>
      <c r="B326" t="s">
        <v>59</v>
      </c>
      <c r="C326" t="s">
        <v>191</v>
      </c>
      <c r="D326" t="s">
        <v>231</v>
      </c>
      <c r="F326" t="s">
        <v>693</v>
      </c>
      <c r="G326" t="s">
        <v>1436</v>
      </c>
      <c r="H326" t="s">
        <v>2190</v>
      </c>
      <c r="I326" t="s">
        <v>2844</v>
      </c>
      <c r="J326" t="s">
        <v>3153</v>
      </c>
      <c r="K326">
        <v>11691</v>
      </c>
      <c r="L326" t="s">
        <v>3185</v>
      </c>
      <c r="M326" t="s">
        <v>3189</v>
      </c>
      <c r="N326" t="s">
        <v>3186</v>
      </c>
      <c r="O326" t="s">
        <v>3325</v>
      </c>
      <c r="P326" t="s">
        <v>3615</v>
      </c>
      <c r="Q326" t="s">
        <v>3638</v>
      </c>
      <c r="T326" t="s">
        <v>3660</v>
      </c>
      <c r="U326" t="s">
        <v>3185</v>
      </c>
      <c r="W326" t="s">
        <v>3674</v>
      </c>
      <c r="Y326">
        <v>1557</v>
      </c>
      <c r="Z326" t="s">
        <v>3690</v>
      </c>
      <c r="AA326" t="s">
        <v>3707</v>
      </c>
      <c r="AF326">
        <v>917</v>
      </c>
      <c r="AG326" t="s">
        <v>5813</v>
      </c>
      <c r="AH326" t="s">
        <v>5825</v>
      </c>
      <c r="AI326">
        <v>1</v>
      </c>
      <c r="AJ326">
        <v>2</v>
      </c>
      <c r="AK326">
        <v>1</v>
      </c>
      <c r="AL326">
        <v>16.88</v>
      </c>
      <c r="AO326" t="s">
        <v>5843</v>
      </c>
      <c r="AP326">
        <v>3600</v>
      </c>
      <c r="AV326">
        <v>2</v>
      </c>
      <c r="AW326" t="s">
        <v>197</v>
      </c>
      <c r="AX326" t="s">
        <v>59</v>
      </c>
    </row>
    <row r="327" spans="1:50">
      <c r="A327" s="1">
        <f>HYPERLINK("https://lsnyc.legalserver.org/matter/dynamic-profile/view/1905490","19-1905490")</f>
        <v>0</v>
      </c>
      <c r="B327" t="s">
        <v>82</v>
      </c>
      <c r="C327" t="s">
        <v>192</v>
      </c>
      <c r="D327" t="s">
        <v>217</v>
      </c>
      <c r="E327" t="s">
        <v>225</v>
      </c>
      <c r="F327" t="s">
        <v>694</v>
      </c>
      <c r="G327" t="s">
        <v>1203</v>
      </c>
      <c r="H327" t="s">
        <v>2191</v>
      </c>
      <c r="I327">
        <v>2</v>
      </c>
      <c r="J327" t="s">
        <v>3148</v>
      </c>
      <c r="K327">
        <v>11207</v>
      </c>
      <c r="L327" t="s">
        <v>3186</v>
      </c>
      <c r="N327" t="s">
        <v>3186</v>
      </c>
      <c r="O327" t="s">
        <v>3188</v>
      </c>
      <c r="P327" t="s">
        <v>3257</v>
      </c>
      <c r="Q327" t="s">
        <v>3634</v>
      </c>
      <c r="R327" t="s">
        <v>3642</v>
      </c>
      <c r="T327" t="s">
        <v>3660</v>
      </c>
      <c r="U327" t="s">
        <v>3184</v>
      </c>
      <c r="W327" t="s">
        <v>3670</v>
      </c>
      <c r="Y327">
        <v>0</v>
      </c>
      <c r="Z327" t="s">
        <v>3691</v>
      </c>
      <c r="AA327" t="s">
        <v>3632</v>
      </c>
      <c r="AB327" t="s">
        <v>3712</v>
      </c>
      <c r="AC327" t="s">
        <v>4014</v>
      </c>
      <c r="AE327" t="s">
        <v>5134</v>
      </c>
      <c r="AF327">
        <v>16</v>
      </c>
      <c r="AG327" t="s">
        <v>5813</v>
      </c>
      <c r="AH327" t="s">
        <v>3188</v>
      </c>
      <c r="AI327">
        <v>1</v>
      </c>
      <c r="AJ327">
        <v>1</v>
      </c>
      <c r="AK327">
        <v>0</v>
      </c>
      <c r="AL327">
        <v>0</v>
      </c>
      <c r="AO327" t="s">
        <v>5844</v>
      </c>
      <c r="AP327">
        <v>0</v>
      </c>
      <c r="AV327">
        <v>1</v>
      </c>
      <c r="AW327" t="s">
        <v>217</v>
      </c>
      <c r="AX327" t="s">
        <v>6008</v>
      </c>
    </row>
    <row r="328" spans="1:50">
      <c r="A328" s="1">
        <f>HYPERLINK("https://lsnyc.legalserver.org/matter/dynamic-profile/view/1902675","19-1902675")</f>
        <v>0</v>
      </c>
      <c r="B328" t="s">
        <v>82</v>
      </c>
      <c r="C328" t="s">
        <v>192</v>
      </c>
      <c r="D328" t="s">
        <v>201</v>
      </c>
      <c r="E328" t="s">
        <v>233</v>
      </c>
      <c r="F328" t="s">
        <v>629</v>
      </c>
      <c r="G328" t="s">
        <v>1437</v>
      </c>
      <c r="H328" t="s">
        <v>2192</v>
      </c>
      <c r="I328">
        <v>2</v>
      </c>
      <c r="J328" t="s">
        <v>3148</v>
      </c>
      <c r="K328">
        <v>11208</v>
      </c>
      <c r="L328" t="s">
        <v>3186</v>
      </c>
      <c r="N328" t="s">
        <v>3186</v>
      </c>
      <c r="O328" t="s">
        <v>3191</v>
      </c>
      <c r="P328" t="s">
        <v>3257</v>
      </c>
      <c r="Q328" t="s">
        <v>3634</v>
      </c>
      <c r="R328" t="s">
        <v>3642</v>
      </c>
      <c r="T328" t="s">
        <v>3660</v>
      </c>
      <c r="U328" t="s">
        <v>3184</v>
      </c>
      <c r="W328" t="s">
        <v>3670</v>
      </c>
      <c r="Y328">
        <v>900</v>
      </c>
      <c r="Z328" t="s">
        <v>3691</v>
      </c>
      <c r="AA328" t="s">
        <v>3632</v>
      </c>
      <c r="AB328" t="s">
        <v>3712</v>
      </c>
      <c r="AC328" t="s">
        <v>4015</v>
      </c>
      <c r="AE328" t="s">
        <v>5135</v>
      </c>
      <c r="AF328">
        <v>0</v>
      </c>
      <c r="AG328" t="s">
        <v>5814</v>
      </c>
      <c r="AH328" t="s">
        <v>3188</v>
      </c>
      <c r="AI328">
        <v>3</v>
      </c>
      <c r="AJ328">
        <v>1</v>
      </c>
      <c r="AK328">
        <v>2</v>
      </c>
      <c r="AL328">
        <v>33.76</v>
      </c>
      <c r="AO328" t="s">
        <v>5843</v>
      </c>
      <c r="AP328">
        <v>7200</v>
      </c>
      <c r="AV328">
        <v>1</v>
      </c>
      <c r="AW328" t="s">
        <v>201</v>
      </c>
      <c r="AX328" t="s">
        <v>6030</v>
      </c>
    </row>
    <row r="329" spans="1:50">
      <c r="A329" s="1">
        <f>HYPERLINK("https://lsnyc.legalserver.org/matter/dynamic-profile/view/1906376","19-1906376")</f>
        <v>0</v>
      </c>
      <c r="B329" t="s">
        <v>82</v>
      </c>
      <c r="C329" t="s">
        <v>192</v>
      </c>
      <c r="D329" t="s">
        <v>229</v>
      </c>
      <c r="E329" t="s">
        <v>209</v>
      </c>
      <c r="F329" t="s">
        <v>695</v>
      </c>
      <c r="G329" t="s">
        <v>1438</v>
      </c>
      <c r="H329" t="s">
        <v>2193</v>
      </c>
      <c r="I329" t="s">
        <v>2830</v>
      </c>
      <c r="J329" t="s">
        <v>3148</v>
      </c>
      <c r="K329">
        <v>11207</v>
      </c>
      <c r="L329" t="s">
        <v>3186</v>
      </c>
      <c r="N329" t="s">
        <v>3186</v>
      </c>
      <c r="O329" t="s">
        <v>3257</v>
      </c>
      <c r="P329" t="s">
        <v>3257</v>
      </c>
      <c r="Q329" t="s">
        <v>3634</v>
      </c>
      <c r="R329" t="s">
        <v>3642</v>
      </c>
      <c r="T329" t="s">
        <v>3660</v>
      </c>
      <c r="U329" t="s">
        <v>3185</v>
      </c>
      <c r="W329" t="s">
        <v>3670</v>
      </c>
      <c r="Y329">
        <v>2400</v>
      </c>
      <c r="Z329" t="s">
        <v>3691</v>
      </c>
      <c r="AB329" t="s">
        <v>3712</v>
      </c>
      <c r="AC329" t="s">
        <v>4016</v>
      </c>
      <c r="AE329" t="s">
        <v>5136</v>
      </c>
      <c r="AF329">
        <v>8</v>
      </c>
      <c r="AG329" t="s">
        <v>3263</v>
      </c>
      <c r="AH329" t="s">
        <v>3188</v>
      </c>
      <c r="AI329">
        <v>4</v>
      </c>
      <c r="AJ329">
        <v>1</v>
      </c>
      <c r="AK329">
        <v>0</v>
      </c>
      <c r="AL329">
        <v>74.94</v>
      </c>
      <c r="AO329" t="s">
        <v>5844</v>
      </c>
      <c r="AP329">
        <v>9360</v>
      </c>
      <c r="AV329">
        <v>1</v>
      </c>
      <c r="AW329" t="s">
        <v>229</v>
      </c>
      <c r="AX329" t="s">
        <v>6012</v>
      </c>
    </row>
    <row r="330" spans="1:50">
      <c r="A330" s="1">
        <f>HYPERLINK("https://lsnyc.legalserver.org/matter/dynamic-profile/view/1906026","19-1906026")</f>
        <v>0</v>
      </c>
      <c r="B330" t="s">
        <v>107</v>
      </c>
      <c r="C330" t="s">
        <v>191</v>
      </c>
      <c r="D330" t="s">
        <v>200</v>
      </c>
      <c r="F330" t="s">
        <v>696</v>
      </c>
      <c r="G330" t="s">
        <v>1439</v>
      </c>
      <c r="H330" t="s">
        <v>2194</v>
      </c>
      <c r="I330">
        <v>8</v>
      </c>
      <c r="J330" t="s">
        <v>3148</v>
      </c>
      <c r="K330">
        <v>11218</v>
      </c>
      <c r="L330" t="s">
        <v>3185</v>
      </c>
      <c r="M330" t="s">
        <v>3189</v>
      </c>
      <c r="N330" t="s">
        <v>3186</v>
      </c>
      <c r="P330" t="s">
        <v>3613</v>
      </c>
      <c r="Q330" t="s">
        <v>3638</v>
      </c>
      <c r="S330" t="s">
        <v>202</v>
      </c>
      <c r="T330" t="s">
        <v>3660</v>
      </c>
      <c r="U330" t="s">
        <v>3184</v>
      </c>
      <c r="W330" t="s">
        <v>3670</v>
      </c>
      <c r="Y330">
        <v>1615</v>
      </c>
      <c r="Z330" t="s">
        <v>3691</v>
      </c>
      <c r="AA330" t="s">
        <v>3698</v>
      </c>
      <c r="AC330" t="s">
        <v>4017</v>
      </c>
      <c r="AE330" t="s">
        <v>5137</v>
      </c>
      <c r="AF330">
        <v>42</v>
      </c>
      <c r="AG330" t="s">
        <v>5813</v>
      </c>
      <c r="AI330">
        <v>3</v>
      </c>
      <c r="AJ330">
        <v>1</v>
      </c>
      <c r="AK330">
        <v>0</v>
      </c>
      <c r="AL330">
        <v>240.19</v>
      </c>
      <c r="AM330" t="s">
        <v>210</v>
      </c>
      <c r="AN330" t="s">
        <v>5839</v>
      </c>
      <c r="AO330" t="s">
        <v>5843</v>
      </c>
      <c r="AP330">
        <v>30000</v>
      </c>
      <c r="AV330">
        <v>42.6</v>
      </c>
      <c r="AW330" t="s">
        <v>196</v>
      </c>
      <c r="AX330" t="s">
        <v>61</v>
      </c>
    </row>
    <row r="331" spans="1:50">
      <c r="A331" s="1">
        <f>HYPERLINK("https://lsnyc.legalserver.org/matter/dynamic-profile/view/1906527","19-1906527")</f>
        <v>0</v>
      </c>
      <c r="B331" t="s">
        <v>107</v>
      </c>
      <c r="C331" t="s">
        <v>191</v>
      </c>
      <c r="D331" t="s">
        <v>270</v>
      </c>
      <c r="F331" t="s">
        <v>631</v>
      </c>
      <c r="G331" t="s">
        <v>1440</v>
      </c>
      <c r="H331" t="s">
        <v>2195</v>
      </c>
      <c r="I331" t="s">
        <v>2860</v>
      </c>
      <c r="J331" t="s">
        <v>3148</v>
      </c>
      <c r="K331">
        <v>11225</v>
      </c>
      <c r="L331" t="s">
        <v>3185</v>
      </c>
      <c r="M331" t="s">
        <v>3189</v>
      </c>
      <c r="N331" t="s">
        <v>3186</v>
      </c>
      <c r="P331" t="s">
        <v>3624</v>
      </c>
      <c r="Q331" t="s">
        <v>3638</v>
      </c>
      <c r="S331" t="s">
        <v>200</v>
      </c>
      <c r="T331" t="s">
        <v>3660</v>
      </c>
      <c r="U331" t="s">
        <v>3185</v>
      </c>
      <c r="V331" t="s">
        <v>3663</v>
      </c>
      <c r="W331" t="s">
        <v>3670</v>
      </c>
      <c r="Y331">
        <v>1639.25</v>
      </c>
      <c r="Z331" t="s">
        <v>3691</v>
      </c>
      <c r="AC331" t="s">
        <v>4018</v>
      </c>
      <c r="AE331" t="s">
        <v>5138</v>
      </c>
      <c r="AF331">
        <v>11</v>
      </c>
      <c r="AI331">
        <v>7</v>
      </c>
      <c r="AJ331">
        <v>2</v>
      </c>
      <c r="AK331">
        <v>0</v>
      </c>
      <c r="AL331">
        <v>473.09</v>
      </c>
      <c r="AO331" t="s">
        <v>5843</v>
      </c>
      <c r="AP331">
        <v>80000</v>
      </c>
      <c r="AV331">
        <v>0.1</v>
      </c>
      <c r="AW331" t="s">
        <v>251</v>
      </c>
      <c r="AX331" t="s">
        <v>61</v>
      </c>
    </row>
    <row r="332" spans="1:50">
      <c r="A332" s="1">
        <f>HYPERLINK("https://lsnyc.legalserver.org/matter/dynamic-profile/view/1906710","19-1906710")</f>
        <v>0</v>
      </c>
      <c r="B332" t="s">
        <v>107</v>
      </c>
      <c r="C332" t="s">
        <v>191</v>
      </c>
      <c r="D332" t="s">
        <v>290</v>
      </c>
      <c r="F332" t="s">
        <v>697</v>
      </c>
      <c r="G332" t="s">
        <v>1441</v>
      </c>
      <c r="H332" t="s">
        <v>2195</v>
      </c>
      <c r="I332" t="s">
        <v>2900</v>
      </c>
      <c r="J332" t="s">
        <v>3148</v>
      </c>
      <c r="K332">
        <v>11225</v>
      </c>
      <c r="L332" t="s">
        <v>3185</v>
      </c>
      <c r="M332" t="s">
        <v>3189</v>
      </c>
      <c r="N332" t="s">
        <v>3186</v>
      </c>
      <c r="P332" t="s">
        <v>3616</v>
      </c>
      <c r="Q332" t="s">
        <v>3634</v>
      </c>
      <c r="S332" t="s">
        <v>208</v>
      </c>
      <c r="T332" t="s">
        <v>3660</v>
      </c>
      <c r="U332" t="s">
        <v>3184</v>
      </c>
      <c r="V332" t="s">
        <v>3663</v>
      </c>
      <c r="W332" t="s">
        <v>3670</v>
      </c>
      <c r="Y332">
        <v>1976.11</v>
      </c>
      <c r="Z332" t="s">
        <v>3691</v>
      </c>
      <c r="AC332" t="s">
        <v>4019</v>
      </c>
      <c r="AE332" t="s">
        <v>5139</v>
      </c>
      <c r="AF332">
        <v>11</v>
      </c>
      <c r="AI332">
        <v>6</v>
      </c>
      <c r="AJ332">
        <v>2</v>
      </c>
      <c r="AK332">
        <v>1</v>
      </c>
      <c r="AL332">
        <v>211.25</v>
      </c>
      <c r="AO332" t="s">
        <v>5843</v>
      </c>
      <c r="AP332">
        <v>45060</v>
      </c>
      <c r="AV332">
        <v>1.6</v>
      </c>
      <c r="AW332" t="s">
        <v>198</v>
      </c>
      <c r="AX332" t="s">
        <v>61</v>
      </c>
    </row>
    <row r="333" spans="1:50">
      <c r="A333" s="1">
        <f>HYPERLINK("https://lsnyc.legalserver.org/matter/dynamic-profile/view/1906759","19-1906759")</f>
        <v>0</v>
      </c>
      <c r="B333" t="s">
        <v>107</v>
      </c>
      <c r="C333" t="s">
        <v>191</v>
      </c>
      <c r="D333" t="s">
        <v>290</v>
      </c>
      <c r="F333" t="s">
        <v>698</v>
      </c>
      <c r="G333" t="s">
        <v>1442</v>
      </c>
      <c r="H333" t="s">
        <v>2195</v>
      </c>
      <c r="J333" t="s">
        <v>3148</v>
      </c>
      <c r="K333">
        <v>11225</v>
      </c>
      <c r="L333" t="s">
        <v>3185</v>
      </c>
      <c r="M333" t="s">
        <v>3189</v>
      </c>
      <c r="N333" t="s">
        <v>3186</v>
      </c>
      <c r="P333" t="s">
        <v>3609</v>
      </c>
      <c r="Q333" t="s">
        <v>3635</v>
      </c>
      <c r="S333" t="s">
        <v>208</v>
      </c>
      <c r="T333" t="s">
        <v>3660</v>
      </c>
      <c r="V333" t="s">
        <v>3663</v>
      </c>
      <c r="W333" t="s">
        <v>3670</v>
      </c>
      <c r="Y333">
        <v>1976.11</v>
      </c>
      <c r="Z333" t="s">
        <v>3691</v>
      </c>
      <c r="AC333" t="s">
        <v>4020</v>
      </c>
      <c r="AF333">
        <v>11</v>
      </c>
      <c r="AI333">
        <v>6</v>
      </c>
      <c r="AJ333">
        <v>2</v>
      </c>
      <c r="AK333">
        <v>1</v>
      </c>
      <c r="AL333">
        <v>211.25</v>
      </c>
      <c r="AO333" t="s">
        <v>5843</v>
      </c>
      <c r="AP333">
        <v>45060</v>
      </c>
      <c r="AV333">
        <v>0.1</v>
      </c>
      <c r="AW333" t="s">
        <v>251</v>
      </c>
      <c r="AX333" t="s">
        <v>61</v>
      </c>
    </row>
    <row r="334" spans="1:50">
      <c r="A334" s="1">
        <f>HYPERLINK("https://lsnyc.legalserver.org/matter/dynamic-profile/view/1906090","19-1906090")</f>
        <v>0</v>
      </c>
      <c r="B334" t="s">
        <v>107</v>
      </c>
      <c r="C334" t="s">
        <v>191</v>
      </c>
      <c r="D334" t="s">
        <v>208</v>
      </c>
      <c r="F334" t="s">
        <v>696</v>
      </c>
      <c r="G334" t="s">
        <v>1439</v>
      </c>
      <c r="H334" t="s">
        <v>2196</v>
      </c>
      <c r="I334">
        <v>8</v>
      </c>
      <c r="J334" t="s">
        <v>3148</v>
      </c>
      <c r="K334">
        <v>11218</v>
      </c>
      <c r="L334" t="s">
        <v>3185</v>
      </c>
      <c r="M334" t="s">
        <v>3189</v>
      </c>
      <c r="N334" t="s">
        <v>3186</v>
      </c>
      <c r="Q334" t="s">
        <v>3638</v>
      </c>
      <c r="S334" t="s">
        <v>208</v>
      </c>
      <c r="T334" t="s">
        <v>3660</v>
      </c>
      <c r="U334" t="s">
        <v>3184</v>
      </c>
      <c r="W334" t="s">
        <v>3670</v>
      </c>
      <c r="Y334">
        <v>1615</v>
      </c>
      <c r="Z334" t="s">
        <v>3691</v>
      </c>
      <c r="AA334" t="s">
        <v>3698</v>
      </c>
      <c r="AC334" t="s">
        <v>4017</v>
      </c>
      <c r="AE334" t="s">
        <v>5140</v>
      </c>
      <c r="AF334">
        <v>42</v>
      </c>
      <c r="AG334" t="s">
        <v>5813</v>
      </c>
      <c r="AI334">
        <v>3</v>
      </c>
      <c r="AJ334">
        <v>1</v>
      </c>
      <c r="AK334">
        <v>0</v>
      </c>
      <c r="AL334">
        <v>240.19</v>
      </c>
      <c r="AM334" t="s">
        <v>210</v>
      </c>
      <c r="AN334" t="s">
        <v>5839</v>
      </c>
      <c r="AO334" t="s">
        <v>5843</v>
      </c>
      <c r="AP334">
        <v>30000</v>
      </c>
      <c r="AV334">
        <v>0.6</v>
      </c>
      <c r="AW334" t="s">
        <v>229</v>
      </c>
      <c r="AX334" t="s">
        <v>61</v>
      </c>
    </row>
    <row r="335" spans="1:50">
      <c r="A335" s="1">
        <f>HYPERLINK("https://lsnyc.legalserver.org/matter/dynamic-profile/view/1906550","19-1906550")</f>
        <v>0</v>
      </c>
      <c r="B335" t="s">
        <v>107</v>
      </c>
      <c r="C335" t="s">
        <v>191</v>
      </c>
      <c r="D335" t="s">
        <v>277</v>
      </c>
      <c r="F335" t="s">
        <v>631</v>
      </c>
      <c r="G335" t="s">
        <v>1440</v>
      </c>
      <c r="H335" t="s">
        <v>2195</v>
      </c>
      <c r="I335" t="s">
        <v>2860</v>
      </c>
      <c r="J335" t="s">
        <v>3148</v>
      </c>
      <c r="K335">
        <v>11225</v>
      </c>
      <c r="L335" t="s">
        <v>3185</v>
      </c>
      <c r="M335" t="s">
        <v>3189</v>
      </c>
      <c r="N335" t="s">
        <v>3186</v>
      </c>
      <c r="P335" t="s">
        <v>3616</v>
      </c>
      <c r="Q335" t="s">
        <v>3639</v>
      </c>
      <c r="S335" t="s">
        <v>277</v>
      </c>
      <c r="T335" t="s">
        <v>3660</v>
      </c>
      <c r="U335" t="s">
        <v>3185</v>
      </c>
      <c r="V335" t="s">
        <v>3663</v>
      </c>
      <c r="W335" t="s">
        <v>3670</v>
      </c>
      <c r="Y335">
        <v>1639.26</v>
      </c>
      <c r="Z335" t="s">
        <v>3691</v>
      </c>
      <c r="AC335" t="s">
        <v>4018</v>
      </c>
      <c r="AE335" t="s">
        <v>5138</v>
      </c>
      <c r="AF335">
        <v>11</v>
      </c>
      <c r="AG335" t="s">
        <v>5813</v>
      </c>
      <c r="AI335">
        <v>7</v>
      </c>
      <c r="AJ335">
        <v>2</v>
      </c>
      <c r="AK335">
        <v>0</v>
      </c>
      <c r="AL335">
        <v>473.09</v>
      </c>
      <c r="AO335" t="s">
        <v>5843</v>
      </c>
      <c r="AP335">
        <v>80000</v>
      </c>
      <c r="AV335">
        <v>0.1</v>
      </c>
      <c r="AW335" t="s">
        <v>251</v>
      </c>
      <c r="AX335" t="s">
        <v>61</v>
      </c>
    </row>
    <row r="336" spans="1:50">
      <c r="A336" s="1">
        <f>HYPERLINK("https://lsnyc.legalserver.org/matter/dynamic-profile/view/1910440","19-1910440")</f>
        <v>0</v>
      </c>
      <c r="B336" t="s">
        <v>107</v>
      </c>
      <c r="C336" t="s">
        <v>191</v>
      </c>
      <c r="D336" t="s">
        <v>199</v>
      </c>
      <c r="F336" t="s">
        <v>699</v>
      </c>
      <c r="G336" t="s">
        <v>1443</v>
      </c>
      <c r="H336" t="s">
        <v>2197</v>
      </c>
      <c r="I336" t="s">
        <v>2955</v>
      </c>
      <c r="J336" t="s">
        <v>3148</v>
      </c>
      <c r="K336">
        <v>11231</v>
      </c>
      <c r="L336" t="s">
        <v>3185</v>
      </c>
      <c r="N336" t="s">
        <v>3186</v>
      </c>
      <c r="Q336" t="s">
        <v>3635</v>
      </c>
      <c r="S336" t="s">
        <v>198</v>
      </c>
      <c r="T336" t="s">
        <v>3660</v>
      </c>
      <c r="W336" t="s">
        <v>3670</v>
      </c>
      <c r="Y336">
        <v>0</v>
      </c>
      <c r="Z336" t="s">
        <v>3691</v>
      </c>
      <c r="AC336" t="s">
        <v>4021</v>
      </c>
      <c r="AE336" t="s">
        <v>5141</v>
      </c>
      <c r="AF336">
        <v>0</v>
      </c>
      <c r="AI336">
        <v>0</v>
      </c>
      <c r="AJ336">
        <v>4</v>
      </c>
      <c r="AK336">
        <v>1</v>
      </c>
      <c r="AL336">
        <v>0</v>
      </c>
      <c r="AO336" t="s">
        <v>5843</v>
      </c>
      <c r="AP336">
        <v>0</v>
      </c>
      <c r="AV336">
        <v>0</v>
      </c>
      <c r="AX336" t="s">
        <v>61</v>
      </c>
    </row>
    <row r="337" spans="1:50">
      <c r="A337" s="1">
        <f>HYPERLINK("https://lsnyc.legalserver.org/matter/dynamic-profile/view/1910421","19-1910421")</f>
        <v>0</v>
      </c>
      <c r="B337" t="s">
        <v>107</v>
      </c>
      <c r="C337" t="s">
        <v>191</v>
      </c>
      <c r="D337" t="s">
        <v>199</v>
      </c>
      <c r="F337" t="s">
        <v>700</v>
      </c>
      <c r="G337" t="s">
        <v>1410</v>
      </c>
      <c r="H337" t="s">
        <v>2198</v>
      </c>
      <c r="I337" t="s">
        <v>2858</v>
      </c>
      <c r="J337" t="s">
        <v>3148</v>
      </c>
      <c r="K337">
        <v>11225</v>
      </c>
      <c r="L337" t="s">
        <v>3185</v>
      </c>
      <c r="M337" t="s">
        <v>3189</v>
      </c>
      <c r="N337" t="s">
        <v>3186</v>
      </c>
      <c r="Q337" t="s">
        <v>3639</v>
      </c>
      <c r="S337" t="s">
        <v>198</v>
      </c>
      <c r="T337" t="s">
        <v>3660</v>
      </c>
      <c r="U337" t="s">
        <v>3185</v>
      </c>
      <c r="W337" t="s">
        <v>3670</v>
      </c>
      <c r="Y337">
        <v>0</v>
      </c>
      <c r="Z337" t="s">
        <v>3691</v>
      </c>
      <c r="AC337" t="s">
        <v>4022</v>
      </c>
      <c r="AE337" t="s">
        <v>5142</v>
      </c>
      <c r="AF337">
        <v>0</v>
      </c>
      <c r="AI337">
        <v>0</v>
      </c>
      <c r="AJ337">
        <v>2</v>
      </c>
      <c r="AK337">
        <v>0</v>
      </c>
      <c r="AL337">
        <v>656.42</v>
      </c>
      <c r="AO337" t="s">
        <v>5843</v>
      </c>
      <c r="AP337">
        <v>111000</v>
      </c>
      <c r="AV337">
        <v>0</v>
      </c>
      <c r="AX337" t="s">
        <v>61</v>
      </c>
    </row>
    <row r="338" spans="1:50">
      <c r="A338" s="1">
        <f>HYPERLINK("https://lsnyc.legalserver.org/matter/dynamic-profile/view/1910267","19-1910267")</f>
        <v>0</v>
      </c>
      <c r="B338" t="s">
        <v>107</v>
      </c>
      <c r="C338" t="s">
        <v>191</v>
      </c>
      <c r="D338" t="s">
        <v>291</v>
      </c>
      <c r="F338" t="s">
        <v>445</v>
      </c>
      <c r="G338" t="s">
        <v>1444</v>
      </c>
      <c r="H338" t="s">
        <v>2199</v>
      </c>
      <c r="I338" t="s">
        <v>2897</v>
      </c>
      <c r="J338" t="s">
        <v>3148</v>
      </c>
      <c r="K338">
        <v>11225</v>
      </c>
      <c r="L338" t="s">
        <v>3185</v>
      </c>
      <c r="M338" t="s">
        <v>3189</v>
      </c>
      <c r="N338" t="s">
        <v>3186</v>
      </c>
      <c r="Q338" t="s">
        <v>3639</v>
      </c>
      <c r="S338" t="s">
        <v>291</v>
      </c>
      <c r="T338" t="s">
        <v>3660</v>
      </c>
      <c r="U338" t="s">
        <v>3185</v>
      </c>
      <c r="W338" t="s">
        <v>3670</v>
      </c>
      <c r="Y338">
        <v>813.54</v>
      </c>
      <c r="Z338" t="s">
        <v>3691</v>
      </c>
      <c r="AC338" t="s">
        <v>4023</v>
      </c>
      <c r="AE338" t="s">
        <v>5143</v>
      </c>
      <c r="AF338">
        <v>0</v>
      </c>
      <c r="AI338">
        <v>26</v>
      </c>
      <c r="AJ338">
        <v>3</v>
      </c>
      <c r="AK338">
        <v>0</v>
      </c>
      <c r="AL338">
        <v>150.02</v>
      </c>
      <c r="AO338" t="s">
        <v>5843</v>
      </c>
      <c r="AP338">
        <v>32000</v>
      </c>
      <c r="AV338">
        <v>0</v>
      </c>
      <c r="AX338" t="s">
        <v>61</v>
      </c>
    </row>
    <row r="339" spans="1:50">
      <c r="A339" s="1">
        <f>HYPERLINK("https://lsnyc.legalserver.org/matter/dynamic-profile/view/1906678","19-1906678")</f>
        <v>0</v>
      </c>
      <c r="B339" t="s">
        <v>107</v>
      </c>
      <c r="C339" t="s">
        <v>191</v>
      </c>
      <c r="D339" t="s">
        <v>277</v>
      </c>
      <c r="F339" t="s">
        <v>631</v>
      </c>
      <c r="G339" t="s">
        <v>1440</v>
      </c>
      <c r="H339" t="s">
        <v>2195</v>
      </c>
      <c r="I339" t="s">
        <v>2860</v>
      </c>
      <c r="J339" t="s">
        <v>3148</v>
      </c>
      <c r="K339">
        <v>11225</v>
      </c>
      <c r="L339" t="s">
        <v>3185</v>
      </c>
      <c r="M339" t="s">
        <v>3189</v>
      </c>
      <c r="N339" t="s">
        <v>3186</v>
      </c>
      <c r="Q339" t="s">
        <v>3639</v>
      </c>
      <c r="S339" t="s">
        <v>3654</v>
      </c>
      <c r="T339" t="s">
        <v>3660</v>
      </c>
      <c r="U339" t="s">
        <v>3185</v>
      </c>
      <c r="V339" t="s">
        <v>3663</v>
      </c>
      <c r="W339" t="s">
        <v>3670</v>
      </c>
      <c r="Y339">
        <v>1639.25</v>
      </c>
      <c r="Z339" t="s">
        <v>3691</v>
      </c>
      <c r="AC339" t="s">
        <v>4018</v>
      </c>
      <c r="AE339" t="s">
        <v>5138</v>
      </c>
      <c r="AF339">
        <v>0</v>
      </c>
      <c r="AI339">
        <v>7</v>
      </c>
      <c r="AJ339">
        <v>2</v>
      </c>
      <c r="AK339">
        <v>0</v>
      </c>
      <c r="AL339">
        <v>473.09</v>
      </c>
      <c r="AO339" t="s">
        <v>5843</v>
      </c>
      <c r="AP339">
        <v>80000</v>
      </c>
      <c r="AV339">
        <v>0.1</v>
      </c>
      <c r="AW339" t="s">
        <v>251</v>
      </c>
      <c r="AX339" t="s">
        <v>61</v>
      </c>
    </row>
    <row r="340" spans="1:50">
      <c r="A340" s="1">
        <f>HYPERLINK("https://lsnyc.legalserver.org/matter/dynamic-profile/view/1906836","19-1906836")</f>
        <v>0</v>
      </c>
      <c r="B340" t="s">
        <v>82</v>
      </c>
      <c r="C340" t="s">
        <v>192</v>
      </c>
      <c r="D340" t="s">
        <v>282</v>
      </c>
      <c r="E340" t="s">
        <v>226</v>
      </c>
      <c r="F340" t="s">
        <v>564</v>
      </c>
      <c r="G340" t="s">
        <v>1445</v>
      </c>
      <c r="H340" t="s">
        <v>2200</v>
      </c>
      <c r="I340">
        <v>1</v>
      </c>
      <c r="J340" t="s">
        <v>3148</v>
      </c>
      <c r="K340">
        <v>11208</v>
      </c>
      <c r="L340" t="s">
        <v>3186</v>
      </c>
      <c r="N340" t="s">
        <v>3186</v>
      </c>
      <c r="O340" t="s">
        <v>3188</v>
      </c>
      <c r="P340" t="s">
        <v>3257</v>
      </c>
      <c r="Q340" t="s">
        <v>3634</v>
      </c>
      <c r="R340" t="s">
        <v>3642</v>
      </c>
      <c r="T340" t="s">
        <v>3660</v>
      </c>
      <c r="U340" t="s">
        <v>3184</v>
      </c>
      <c r="W340" t="s">
        <v>3670</v>
      </c>
      <c r="Y340">
        <v>1400</v>
      </c>
      <c r="Z340" t="s">
        <v>3691</v>
      </c>
      <c r="AA340" t="s">
        <v>3701</v>
      </c>
      <c r="AB340" t="s">
        <v>3712</v>
      </c>
      <c r="AC340" t="s">
        <v>4024</v>
      </c>
      <c r="AF340">
        <v>2</v>
      </c>
      <c r="AG340" t="s">
        <v>5814</v>
      </c>
      <c r="AH340" t="s">
        <v>3188</v>
      </c>
      <c r="AI340">
        <v>9</v>
      </c>
      <c r="AJ340">
        <v>1</v>
      </c>
      <c r="AK340">
        <v>1</v>
      </c>
      <c r="AL340">
        <v>83.34</v>
      </c>
      <c r="AO340" t="s">
        <v>5843</v>
      </c>
      <c r="AP340">
        <v>14092</v>
      </c>
      <c r="AV340">
        <v>0.5</v>
      </c>
      <c r="AW340" t="s">
        <v>282</v>
      </c>
      <c r="AX340" t="s">
        <v>6018</v>
      </c>
    </row>
    <row r="341" spans="1:50">
      <c r="A341" s="1">
        <f>HYPERLINK("https://lsnyc.legalserver.org/matter/dynamic-profile/view/1910521","19-1910521")</f>
        <v>0</v>
      </c>
      <c r="B341" t="s">
        <v>108</v>
      </c>
      <c r="C341" t="s">
        <v>191</v>
      </c>
      <c r="D341" t="s">
        <v>261</v>
      </c>
      <c r="F341" t="s">
        <v>612</v>
      </c>
      <c r="G341" t="s">
        <v>1446</v>
      </c>
      <c r="H341" t="s">
        <v>2201</v>
      </c>
      <c r="I341">
        <v>11</v>
      </c>
      <c r="J341" t="s">
        <v>3146</v>
      </c>
      <c r="K341">
        <v>10028</v>
      </c>
      <c r="L341" t="s">
        <v>3185</v>
      </c>
      <c r="M341" t="s">
        <v>3189</v>
      </c>
      <c r="N341" t="s">
        <v>3186</v>
      </c>
      <c r="Q341" t="s">
        <v>3637</v>
      </c>
      <c r="T341" t="s">
        <v>3661</v>
      </c>
      <c r="U341" t="s">
        <v>3184</v>
      </c>
      <c r="W341" t="s">
        <v>3670</v>
      </c>
      <c r="Y341">
        <v>1438.6</v>
      </c>
      <c r="Z341" t="s">
        <v>3689</v>
      </c>
      <c r="AA341" t="s">
        <v>3703</v>
      </c>
      <c r="AC341" t="s">
        <v>4025</v>
      </c>
      <c r="AE341" t="s">
        <v>5144</v>
      </c>
      <c r="AF341">
        <v>0</v>
      </c>
      <c r="AG341" t="s">
        <v>5813</v>
      </c>
      <c r="AH341" t="s">
        <v>3188</v>
      </c>
      <c r="AI341">
        <v>24</v>
      </c>
      <c r="AJ341">
        <v>1</v>
      </c>
      <c r="AK341">
        <v>1</v>
      </c>
      <c r="AL341">
        <v>0</v>
      </c>
      <c r="AO341" t="s">
        <v>5843</v>
      </c>
      <c r="AP341">
        <v>0</v>
      </c>
      <c r="AV341">
        <v>0</v>
      </c>
      <c r="AX341" t="s">
        <v>108</v>
      </c>
    </row>
    <row r="342" spans="1:50">
      <c r="A342" s="1">
        <f>HYPERLINK("https://lsnyc.legalserver.org/matter/dynamic-profile/view/1904488","19-1904488")</f>
        <v>0</v>
      </c>
      <c r="B342" t="s">
        <v>82</v>
      </c>
      <c r="C342" t="s">
        <v>192</v>
      </c>
      <c r="D342" t="s">
        <v>233</v>
      </c>
      <c r="E342" t="s">
        <v>233</v>
      </c>
      <c r="F342" t="s">
        <v>593</v>
      </c>
      <c r="G342" t="s">
        <v>1447</v>
      </c>
      <c r="H342" t="s">
        <v>2202</v>
      </c>
      <c r="I342" t="s">
        <v>2856</v>
      </c>
      <c r="J342" t="s">
        <v>3148</v>
      </c>
      <c r="K342">
        <v>11233</v>
      </c>
      <c r="L342" t="s">
        <v>3186</v>
      </c>
      <c r="N342" t="s">
        <v>3186</v>
      </c>
      <c r="O342" t="s">
        <v>3191</v>
      </c>
      <c r="P342" t="s">
        <v>3257</v>
      </c>
      <c r="Q342" t="s">
        <v>3634</v>
      </c>
      <c r="R342" t="s">
        <v>3642</v>
      </c>
      <c r="T342" t="s">
        <v>3660</v>
      </c>
      <c r="U342" t="s">
        <v>3184</v>
      </c>
      <c r="W342" t="s">
        <v>3670</v>
      </c>
      <c r="Y342">
        <v>783</v>
      </c>
      <c r="Z342" t="s">
        <v>3691</v>
      </c>
      <c r="AB342" t="s">
        <v>3712</v>
      </c>
      <c r="AC342" t="s">
        <v>4026</v>
      </c>
      <c r="AF342">
        <v>42</v>
      </c>
      <c r="AG342" t="s">
        <v>5811</v>
      </c>
      <c r="AH342" t="s">
        <v>3188</v>
      </c>
      <c r="AI342">
        <v>7</v>
      </c>
      <c r="AJ342">
        <v>1</v>
      </c>
      <c r="AK342">
        <v>4</v>
      </c>
      <c r="AL342">
        <v>106.07</v>
      </c>
      <c r="AO342" t="s">
        <v>5843</v>
      </c>
      <c r="AP342">
        <v>32000</v>
      </c>
      <c r="AV342">
        <v>0.5</v>
      </c>
      <c r="AW342" t="s">
        <v>233</v>
      </c>
      <c r="AX342" t="s">
        <v>6015</v>
      </c>
    </row>
    <row r="343" spans="1:50">
      <c r="A343" s="1">
        <f>HYPERLINK("https://lsnyc.legalserver.org/matter/dynamic-profile/view/1903399","19-1903399")</f>
        <v>0</v>
      </c>
      <c r="B343" t="s">
        <v>82</v>
      </c>
      <c r="C343" t="s">
        <v>192</v>
      </c>
      <c r="D343" t="s">
        <v>292</v>
      </c>
      <c r="E343" t="s">
        <v>233</v>
      </c>
      <c r="F343" t="s">
        <v>701</v>
      </c>
      <c r="G343" t="s">
        <v>1448</v>
      </c>
      <c r="H343" t="s">
        <v>2203</v>
      </c>
      <c r="J343" t="s">
        <v>3148</v>
      </c>
      <c r="K343">
        <v>11208</v>
      </c>
      <c r="L343" t="s">
        <v>3186</v>
      </c>
      <c r="N343" t="s">
        <v>3186</v>
      </c>
      <c r="O343" t="s">
        <v>3257</v>
      </c>
      <c r="P343" t="s">
        <v>3257</v>
      </c>
      <c r="Q343" t="s">
        <v>3634</v>
      </c>
      <c r="R343" t="s">
        <v>3642</v>
      </c>
      <c r="T343" t="s">
        <v>3660</v>
      </c>
      <c r="U343" t="s">
        <v>3184</v>
      </c>
      <c r="W343" t="s">
        <v>3670</v>
      </c>
      <c r="Y343">
        <v>710</v>
      </c>
      <c r="Z343" t="s">
        <v>3691</v>
      </c>
      <c r="AA343" t="s">
        <v>3696</v>
      </c>
      <c r="AB343" t="s">
        <v>3712</v>
      </c>
      <c r="AC343" t="s">
        <v>4027</v>
      </c>
      <c r="AE343" t="s">
        <v>5145</v>
      </c>
      <c r="AF343">
        <v>2</v>
      </c>
      <c r="AG343" t="s">
        <v>5814</v>
      </c>
      <c r="AH343" t="s">
        <v>3188</v>
      </c>
      <c r="AI343">
        <v>3</v>
      </c>
      <c r="AJ343">
        <v>1</v>
      </c>
      <c r="AK343">
        <v>0</v>
      </c>
      <c r="AL343">
        <v>124.9</v>
      </c>
      <c r="AO343" t="s">
        <v>5843</v>
      </c>
      <c r="AP343">
        <v>15600</v>
      </c>
      <c r="AV343">
        <v>0.5</v>
      </c>
      <c r="AW343" t="s">
        <v>292</v>
      </c>
      <c r="AX343" t="s">
        <v>6011</v>
      </c>
    </row>
    <row r="344" spans="1:50">
      <c r="A344" s="1">
        <f>HYPERLINK("https://lsnyc.legalserver.org/matter/dynamic-profile/view/1904514","19-1904514")</f>
        <v>0</v>
      </c>
      <c r="B344" t="s">
        <v>82</v>
      </c>
      <c r="C344" t="s">
        <v>192</v>
      </c>
      <c r="D344" t="s">
        <v>233</v>
      </c>
      <c r="E344" t="s">
        <v>226</v>
      </c>
      <c r="F344" t="s">
        <v>702</v>
      </c>
      <c r="G344" t="s">
        <v>1449</v>
      </c>
      <c r="H344" t="s">
        <v>2204</v>
      </c>
      <c r="I344">
        <v>2</v>
      </c>
      <c r="J344" t="s">
        <v>3148</v>
      </c>
      <c r="K344">
        <v>11208</v>
      </c>
      <c r="L344" t="s">
        <v>3186</v>
      </c>
      <c r="N344" t="s">
        <v>3186</v>
      </c>
      <c r="O344" t="s">
        <v>3257</v>
      </c>
      <c r="P344" t="s">
        <v>3257</v>
      </c>
      <c r="Q344" t="s">
        <v>3634</v>
      </c>
      <c r="R344" t="s">
        <v>3642</v>
      </c>
      <c r="T344" t="s">
        <v>3660</v>
      </c>
      <c r="U344" t="s">
        <v>3184</v>
      </c>
      <c r="W344" t="s">
        <v>3670</v>
      </c>
      <c r="Y344">
        <v>1500</v>
      </c>
      <c r="Z344" t="s">
        <v>3691</v>
      </c>
      <c r="AB344" t="s">
        <v>3712</v>
      </c>
      <c r="AC344" t="s">
        <v>4028</v>
      </c>
      <c r="AF344">
        <v>2</v>
      </c>
      <c r="AI344">
        <v>4</v>
      </c>
      <c r="AJ344">
        <v>1</v>
      </c>
      <c r="AK344">
        <v>0</v>
      </c>
      <c r="AL344">
        <v>168.13</v>
      </c>
      <c r="AO344" t="s">
        <v>5843</v>
      </c>
      <c r="AP344">
        <v>21000</v>
      </c>
      <c r="AV344">
        <v>1</v>
      </c>
      <c r="AW344" t="s">
        <v>233</v>
      </c>
      <c r="AX344" t="s">
        <v>6012</v>
      </c>
    </row>
    <row r="345" spans="1:50">
      <c r="A345" s="1">
        <f>HYPERLINK("https://lsnyc.legalserver.org/matter/dynamic-profile/view/1904640","19-1904640")</f>
        <v>0</v>
      </c>
      <c r="B345" t="s">
        <v>82</v>
      </c>
      <c r="C345" t="s">
        <v>192</v>
      </c>
      <c r="D345" t="s">
        <v>214</v>
      </c>
      <c r="E345" t="s">
        <v>226</v>
      </c>
      <c r="F345" t="s">
        <v>703</v>
      </c>
      <c r="G345" t="s">
        <v>1450</v>
      </c>
      <c r="H345" t="s">
        <v>2205</v>
      </c>
      <c r="I345" t="s">
        <v>2956</v>
      </c>
      <c r="J345" t="s">
        <v>3148</v>
      </c>
      <c r="K345">
        <v>11212</v>
      </c>
      <c r="L345" t="s">
        <v>3186</v>
      </c>
      <c r="N345" t="s">
        <v>3186</v>
      </c>
      <c r="O345" t="s">
        <v>3188</v>
      </c>
      <c r="P345" t="s">
        <v>3257</v>
      </c>
      <c r="Q345" t="s">
        <v>3634</v>
      </c>
      <c r="R345" t="s">
        <v>3642</v>
      </c>
      <c r="T345" t="s">
        <v>3660</v>
      </c>
      <c r="W345" t="s">
        <v>3670</v>
      </c>
      <c r="Y345">
        <v>557</v>
      </c>
      <c r="Z345" t="s">
        <v>3691</v>
      </c>
      <c r="AB345" t="s">
        <v>3712</v>
      </c>
      <c r="AC345" t="s">
        <v>4029</v>
      </c>
      <c r="AE345" t="s">
        <v>5146</v>
      </c>
      <c r="AF345">
        <v>0</v>
      </c>
      <c r="AG345" t="s">
        <v>5810</v>
      </c>
      <c r="AH345" t="s">
        <v>3188</v>
      </c>
      <c r="AI345">
        <v>3</v>
      </c>
      <c r="AJ345">
        <v>1</v>
      </c>
      <c r="AK345">
        <v>0</v>
      </c>
      <c r="AL345">
        <v>234.81</v>
      </c>
      <c r="AO345" t="s">
        <v>5843</v>
      </c>
      <c r="AP345">
        <v>29328</v>
      </c>
      <c r="AV345">
        <v>1</v>
      </c>
      <c r="AW345" t="s">
        <v>214</v>
      </c>
      <c r="AX345" t="s">
        <v>6030</v>
      </c>
    </row>
    <row r="346" spans="1:50">
      <c r="A346" s="1">
        <f>HYPERLINK("https://lsnyc.legalserver.org/matter/dynamic-profile/view/1907266","19-1907266")</f>
        <v>0</v>
      </c>
      <c r="B346" t="s">
        <v>82</v>
      </c>
      <c r="C346" t="s">
        <v>192</v>
      </c>
      <c r="D346" t="s">
        <v>227</v>
      </c>
      <c r="E346" t="s">
        <v>253</v>
      </c>
      <c r="F346" t="s">
        <v>704</v>
      </c>
      <c r="G346" t="s">
        <v>1451</v>
      </c>
      <c r="H346" t="s">
        <v>2206</v>
      </c>
      <c r="I346" t="s">
        <v>2895</v>
      </c>
      <c r="J346" t="s">
        <v>3148</v>
      </c>
      <c r="K346">
        <v>11212</v>
      </c>
      <c r="L346" t="s">
        <v>3186</v>
      </c>
      <c r="N346" t="s">
        <v>3186</v>
      </c>
      <c r="O346" t="s">
        <v>3188</v>
      </c>
      <c r="P346" t="s">
        <v>3257</v>
      </c>
      <c r="Q346" t="s">
        <v>3634</v>
      </c>
      <c r="R346" t="s">
        <v>3642</v>
      </c>
      <c r="T346" t="s">
        <v>3660</v>
      </c>
      <c r="U346" t="s">
        <v>3184</v>
      </c>
      <c r="W346" t="s">
        <v>3670</v>
      </c>
      <c r="Y346">
        <v>1627</v>
      </c>
      <c r="Z346" t="s">
        <v>3691</v>
      </c>
      <c r="AA346" t="s">
        <v>3707</v>
      </c>
      <c r="AB346" t="s">
        <v>3712</v>
      </c>
      <c r="AC346" t="s">
        <v>4030</v>
      </c>
      <c r="AF346">
        <v>109</v>
      </c>
      <c r="AG346" t="s">
        <v>5819</v>
      </c>
      <c r="AH346" t="s">
        <v>3188</v>
      </c>
      <c r="AI346">
        <v>1</v>
      </c>
      <c r="AJ346">
        <v>2</v>
      </c>
      <c r="AK346">
        <v>1</v>
      </c>
      <c r="AL346">
        <v>304.74</v>
      </c>
      <c r="AO346" t="s">
        <v>5843</v>
      </c>
      <c r="AP346">
        <v>65000</v>
      </c>
      <c r="AV346">
        <v>0.6</v>
      </c>
      <c r="AW346" t="s">
        <v>227</v>
      </c>
      <c r="AX346" t="s">
        <v>6021</v>
      </c>
    </row>
    <row r="347" spans="1:50">
      <c r="A347" s="1">
        <f>HYPERLINK("https://lsnyc.legalserver.org/matter/dynamic-profile/view/1908687","19-1908687")</f>
        <v>0</v>
      </c>
      <c r="B347" t="s">
        <v>82</v>
      </c>
      <c r="C347" t="s">
        <v>191</v>
      </c>
      <c r="D347" t="s">
        <v>244</v>
      </c>
      <c r="F347" t="s">
        <v>494</v>
      </c>
      <c r="G347" t="s">
        <v>1452</v>
      </c>
      <c r="H347" t="s">
        <v>2207</v>
      </c>
      <c r="I347" t="s">
        <v>2894</v>
      </c>
      <c r="J347" t="s">
        <v>3148</v>
      </c>
      <c r="K347">
        <v>11207</v>
      </c>
      <c r="L347" t="s">
        <v>3186</v>
      </c>
      <c r="N347" t="s">
        <v>3186</v>
      </c>
      <c r="O347" t="s">
        <v>3326</v>
      </c>
      <c r="P347" t="s">
        <v>3613</v>
      </c>
      <c r="Q347" t="s">
        <v>3634</v>
      </c>
      <c r="T347" t="s">
        <v>3660</v>
      </c>
      <c r="U347" t="s">
        <v>3184</v>
      </c>
      <c r="W347" t="s">
        <v>3670</v>
      </c>
      <c r="Y347">
        <v>1515</v>
      </c>
      <c r="Z347" t="s">
        <v>3691</v>
      </c>
      <c r="AA347" t="s">
        <v>3697</v>
      </c>
      <c r="AC347" t="s">
        <v>4031</v>
      </c>
      <c r="AE347" t="s">
        <v>5147</v>
      </c>
      <c r="AF347">
        <v>3</v>
      </c>
      <c r="AH347" t="s">
        <v>5829</v>
      </c>
      <c r="AI347">
        <v>3</v>
      </c>
      <c r="AJ347">
        <v>2</v>
      </c>
      <c r="AK347">
        <v>4</v>
      </c>
      <c r="AL347">
        <v>0</v>
      </c>
      <c r="AO347" t="s">
        <v>5843</v>
      </c>
      <c r="AP347">
        <v>0</v>
      </c>
      <c r="AV347">
        <v>1</v>
      </c>
      <c r="AW347" t="s">
        <v>244</v>
      </c>
      <c r="AX347" t="s">
        <v>6014</v>
      </c>
    </row>
    <row r="348" spans="1:50">
      <c r="A348" s="1">
        <f>HYPERLINK("https://lsnyc.legalserver.org/matter/dynamic-profile/view/1894362","19-1894362")</f>
        <v>0</v>
      </c>
      <c r="B348" t="s">
        <v>109</v>
      </c>
      <c r="C348" t="s">
        <v>191</v>
      </c>
      <c r="D348" t="s">
        <v>293</v>
      </c>
      <c r="F348" t="s">
        <v>705</v>
      </c>
      <c r="G348" t="s">
        <v>1369</v>
      </c>
      <c r="H348" t="s">
        <v>2208</v>
      </c>
      <c r="I348" t="s">
        <v>2865</v>
      </c>
      <c r="J348" t="s">
        <v>3159</v>
      </c>
      <c r="K348">
        <v>10301</v>
      </c>
      <c r="L348" t="s">
        <v>3185</v>
      </c>
      <c r="M348" t="s">
        <v>3189</v>
      </c>
      <c r="N348" t="s">
        <v>3186</v>
      </c>
      <c r="O348" t="s">
        <v>3327</v>
      </c>
      <c r="P348" t="s">
        <v>3610</v>
      </c>
      <c r="Q348" t="s">
        <v>3638</v>
      </c>
      <c r="S348" t="s">
        <v>3650</v>
      </c>
      <c r="T348" t="s">
        <v>3660</v>
      </c>
      <c r="U348" t="s">
        <v>3184</v>
      </c>
      <c r="W348" t="s">
        <v>3670</v>
      </c>
      <c r="X348" t="s">
        <v>3681</v>
      </c>
      <c r="Y348">
        <v>1515</v>
      </c>
      <c r="Z348" t="s">
        <v>3692</v>
      </c>
      <c r="AA348" t="s">
        <v>3706</v>
      </c>
      <c r="AC348" t="s">
        <v>4032</v>
      </c>
      <c r="AE348" t="s">
        <v>5148</v>
      </c>
      <c r="AF348">
        <v>2</v>
      </c>
      <c r="AG348" t="s">
        <v>5814</v>
      </c>
      <c r="AH348" t="s">
        <v>5828</v>
      </c>
      <c r="AI348">
        <v>-1</v>
      </c>
      <c r="AJ348">
        <v>1</v>
      </c>
      <c r="AK348">
        <v>2</v>
      </c>
      <c r="AL348">
        <v>44.44</v>
      </c>
      <c r="AO348" t="s">
        <v>5843</v>
      </c>
      <c r="AP348">
        <v>9480</v>
      </c>
      <c r="AR348" t="s">
        <v>5931</v>
      </c>
      <c r="AS348" t="s">
        <v>5937</v>
      </c>
      <c r="AT348" t="s">
        <v>5946</v>
      </c>
      <c r="AU348" t="s">
        <v>5960</v>
      </c>
      <c r="AV348">
        <v>13.1</v>
      </c>
      <c r="AW348" t="s">
        <v>291</v>
      </c>
      <c r="AX348" t="s">
        <v>6017</v>
      </c>
    </row>
    <row r="349" spans="1:50">
      <c r="A349" s="1">
        <f>HYPERLINK("https://lsnyc.legalserver.org/matter/dynamic-profile/view/1894612","19-1894612")</f>
        <v>0</v>
      </c>
      <c r="B349" t="s">
        <v>109</v>
      </c>
      <c r="C349" t="s">
        <v>191</v>
      </c>
      <c r="D349" t="s">
        <v>294</v>
      </c>
      <c r="F349" t="s">
        <v>706</v>
      </c>
      <c r="G349" t="s">
        <v>1369</v>
      </c>
      <c r="H349" t="s">
        <v>2162</v>
      </c>
      <c r="I349" t="s">
        <v>2957</v>
      </c>
      <c r="J349" t="s">
        <v>3159</v>
      </c>
      <c r="K349">
        <v>10301</v>
      </c>
      <c r="L349" t="s">
        <v>3185</v>
      </c>
      <c r="M349" t="s">
        <v>3189</v>
      </c>
      <c r="N349" t="s">
        <v>3186</v>
      </c>
      <c r="O349" t="s">
        <v>3328</v>
      </c>
      <c r="P349" t="s">
        <v>3610</v>
      </c>
      <c r="Q349" t="s">
        <v>3638</v>
      </c>
      <c r="T349" t="s">
        <v>3660</v>
      </c>
      <c r="U349" t="s">
        <v>3184</v>
      </c>
      <c r="W349" t="s">
        <v>3670</v>
      </c>
      <c r="X349" t="s">
        <v>3681</v>
      </c>
      <c r="Y349">
        <v>1724</v>
      </c>
      <c r="Z349" t="s">
        <v>3692</v>
      </c>
      <c r="AA349" t="s">
        <v>3706</v>
      </c>
      <c r="AC349" t="s">
        <v>4033</v>
      </c>
      <c r="AE349" t="s">
        <v>5149</v>
      </c>
      <c r="AF349">
        <v>228</v>
      </c>
      <c r="AG349" t="s">
        <v>5815</v>
      </c>
      <c r="AH349" t="s">
        <v>5827</v>
      </c>
      <c r="AI349">
        <v>7</v>
      </c>
      <c r="AJ349">
        <v>1</v>
      </c>
      <c r="AK349">
        <v>1</v>
      </c>
      <c r="AL349">
        <v>283.86</v>
      </c>
      <c r="AM349" t="s">
        <v>374</v>
      </c>
      <c r="AN349" t="s">
        <v>5839</v>
      </c>
      <c r="AO349" t="s">
        <v>5843</v>
      </c>
      <c r="AP349">
        <v>48000</v>
      </c>
      <c r="AV349">
        <v>31</v>
      </c>
      <c r="AW349" t="s">
        <v>269</v>
      </c>
      <c r="AX349" t="s">
        <v>6017</v>
      </c>
    </row>
    <row r="350" spans="1:50">
      <c r="A350" s="1">
        <f>HYPERLINK("https://lsnyc.legalserver.org/matter/dynamic-profile/view/1904398","19-1904398")</f>
        <v>0</v>
      </c>
      <c r="B350" t="s">
        <v>110</v>
      </c>
      <c r="C350" t="s">
        <v>192</v>
      </c>
      <c r="D350" t="s">
        <v>272</v>
      </c>
      <c r="E350" t="s">
        <v>272</v>
      </c>
      <c r="F350" t="s">
        <v>707</v>
      </c>
      <c r="G350" t="s">
        <v>1217</v>
      </c>
      <c r="H350" t="s">
        <v>2209</v>
      </c>
      <c r="I350" t="s">
        <v>2896</v>
      </c>
      <c r="J350" t="s">
        <v>3148</v>
      </c>
      <c r="K350">
        <v>11212</v>
      </c>
      <c r="L350" t="s">
        <v>3185</v>
      </c>
      <c r="M350" t="s">
        <v>3189</v>
      </c>
      <c r="N350" t="s">
        <v>3186</v>
      </c>
      <c r="O350" t="s">
        <v>3188</v>
      </c>
      <c r="P350" t="s">
        <v>3257</v>
      </c>
      <c r="Q350" t="s">
        <v>3636</v>
      </c>
      <c r="R350" t="s">
        <v>3643</v>
      </c>
      <c r="S350" t="s">
        <v>194</v>
      </c>
      <c r="T350" t="s">
        <v>3660</v>
      </c>
      <c r="U350" t="s">
        <v>3185</v>
      </c>
      <c r="W350" t="s">
        <v>3670</v>
      </c>
      <c r="X350" t="s">
        <v>3681</v>
      </c>
      <c r="Y350">
        <v>755</v>
      </c>
      <c r="Z350" t="s">
        <v>3691</v>
      </c>
      <c r="AA350" t="s">
        <v>3632</v>
      </c>
      <c r="AB350" t="s">
        <v>3719</v>
      </c>
      <c r="AC350" t="s">
        <v>4034</v>
      </c>
      <c r="AD350" t="s">
        <v>3188</v>
      </c>
      <c r="AE350" t="s">
        <v>5150</v>
      </c>
      <c r="AF350">
        <v>32</v>
      </c>
      <c r="AG350" t="s">
        <v>5813</v>
      </c>
      <c r="AH350" t="s">
        <v>3188</v>
      </c>
      <c r="AI350">
        <v>30</v>
      </c>
      <c r="AJ350">
        <v>2</v>
      </c>
      <c r="AK350">
        <v>0</v>
      </c>
      <c r="AL350">
        <v>89.13</v>
      </c>
      <c r="AO350" t="s">
        <v>5843</v>
      </c>
      <c r="AP350">
        <v>15072</v>
      </c>
      <c r="AV350">
        <v>1.5</v>
      </c>
      <c r="AW350" t="s">
        <v>194</v>
      </c>
      <c r="AX350" t="s">
        <v>158</v>
      </c>
    </row>
    <row r="351" spans="1:50">
      <c r="A351" s="1">
        <f>HYPERLINK("https://lsnyc.legalserver.org/matter/dynamic-profile/view/1896798","19-1896798")</f>
        <v>0</v>
      </c>
      <c r="B351" t="s">
        <v>110</v>
      </c>
      <c r="C351" t="s">
        <v>191</v>
      </c>
      <c r="D351" t="s">
        <v>295</v>
      </c>
      <c r="F351" t="s">
        <v>708</v>
      </c>
      <c r="G351" t="s">
        <v>1453</v>
      </c>
      <c r="H351" t="s">
        <v>2210</v>
      </c>
      <c r="I351" t="s">
        <v>2944</v>
      </c>
      <c r="J351" t="s">
        <v>3148</v>
      </c>
      <c r="K351">
        <v>11213</v>
      </c>
      <c r="L351" t="s">
        <v>3185</v>
      </c>
      <c r="M351" t="s">
        <v>3189</v>
      </c>
      <c r="N351" t="s">
        <v>3185</v>
      </c>
      <c r="P351" t="s">
        <v>3616</v>
      </c>
      <c r="Q351" t="s">
        <v>3639</v>
      </c>
      <c r="S351" t="s">
        <v>194</v>
      </c>
      <c r="T351" t="s">
        <v>3660</v>
      </c>
      <c r="U351" t="s">
        <v>3185</v>
      </c>
      <c r="W351" t="s">
        <v>3670</v>
      </c>
      <c r="Y351">
        <v>855.86</v>
      </c>
      <c r="Z351" t="s">
        <v>3691</v>
      </c>
      <c r="AA351" t="s">
        <v>3700</v>
      </c>
      <c r="AC351" t="s">
        <v>4035</v>
      </c>
      <c r="AD351" t="s">
        <v>3188</v>
      </c>
      <c r="AF351">
        <v>6</v>
      </c>
      <c r="AG351" t="s">
        <v>5813</v>
      </c>
      <c r="AH351" t="s">
        <v>3188</v>
      </c>
      <c r="AI351">
        <v>26</v>
      </c>
      <c r="AJ351">
        <v>1</v>
      </c>
      <c r="AK351">
        <v>1</v>
      </c>
      <c r="AL351">
        <v>52.58</v>
      </c>
      <c r="AO351" t="s">
        <v>5843</v>
      </c>
      <c r="AP351">
        <v>8892</v>
      </c>
      <c r="AQ351" t="s">
        <v>5885</v>
      </c>
      <c r="AV351">
        <v>0</v>
      </c>
      <c r="AX351" t="s">
        <v>82</v>
      </c>
    </row>
    <row r="352" spans="1:50">
      <c r="A352" s="1">
        <f>HYPERLINK("https://lsnyc.legalserver.org/matter/dynamic-profile/view/1907790","19-1907790")</f>
        <v>0</v>
      </c>
      <c r="B352" t="s">
        <v>110</v>
      </c>
      <c r="C352" t="s">
        <v>191</v>
      </c>
      <c r="D352" t="s">
        <v>225</v>
      </c>
      <c r="F352" t="s">
        <v>709</v>
      </c>
      <c r="G352" t="s">
        <v>1454</v>
      </c>
      <c r="H352" t="s">
        <v>2084</v>
      </c>
      <c r="I352" t="s">
        <v>2903</v>
      </c>
      <c r="J352" t="s">
        <v>3148</v>
      </c>
      <c r="K352">
        <v>11212</v>
      </c>
      <c r="L352" t="s">
        <v>3185</v>
      </c>
      <c r="M352" t="s">
        <v>3189</v>
      </c>
      <c r="N352" t="s">
        <v>3186</v>
      </c>
      <c r="O352" t="s">
        <v>3188</v>
      </c>
      <c r="P352" t="s">
        <v>3622</v>
      </c>
      <c r="Q352" t="s">
        <v>3636</v>
      </c>
      <c r="S352" t="s">
        <v>208</v>
      </c>
      <c r="T352" t="s">
        <v>3660</v>
      </c>
      <c r="U352" t="s">
        <v>3185</v>
      </c>
      <c r="W352" t="s">
        <v>3670</v>
      </c>
      <c r="Y352">
        <v>164.4</v>
      </c>
      <c r="Z352" t="s">
        <v>3691</v>
      </c>
      <c r="AA352" t="s">
        <v>3700</v>
      </c>
      <c r="AC352" t="s">
        <v>4036</v>
      </c>
      <c r="AE352" t="s">
        <v>5151</v>
      </c>
      <c r="AF352">
        <v>96</v>
      </c>
      <c r="AG352" t="s">
        <v>5813</v>
      </c>
      <c r="AH352" t="s">
        <v>3632</v>
      </c>
      <c r="AI352">
        <v>10</v>
      </c>
      <c r="AJ352">
        <v>1</v>
      </c>
      <c r="AK352">
        <v>0</v>
      </c>
      <c r="AL352">
        <v>93.09999999999999</v>
      </c>
      <c r="AO352" t="s">
        <v>5843</v>
      </c>
      <c r="AP352">
        <v>11628</v>
      </c>
      <c r="AV352">
        <v>0</v>
      </c>
      <c r="AX352" t="s">
        <v>82</v>
      </c>
    </row>
    <row r="353" spans="1:50">
      <c r="A353" s="1">
        <f>HYPERLINK("https://lsnyc.legalserver.org/matter/dynamic-profile/view/1907797","19-1907797")</f>
        <v>0</v>
      </c>
      <c r="B353" t="s">
        <v>110</v>
      </c>
      <c r="C353" t="s">
        <v>191</v>
      </c>
      <c r="D353" t="s">
        <v>225</v>
      </c>
      <c r="F353" t="s">
        <v>710</v>
      </c>
      <c r="G353" t="s">
        <v>1455</v>
      </c>
      <c r="H353" t="s">
        <v>2084</v>
      </c>
      <c r="I353" t="s">
        <v>2852</v>
      </c>
      <c r="J353" t="s">
        <v>3148</v>
      </c>
      <c r="K353">
        <v>11212</v>
      </c>
      <c r="L353" t="s">
        <v>3185</v>
      </c>
      <c r="M353" t="s">
        <v>3189</v>
      </c>
      <c r="N353" t="s">
        <v>3186</v>
      </c>
      <c r="O353" t="s">
        <v>3188</v>
      </c>
      <c r="P353" t="s">
        <v>3622</v>
      </c>
      <c r="Q353" t="s">
        <v>3636</v>
      </c>
      <c r="S353" t="s">
        <v>208</v>
      </c>
      <c r="T353" t="s">
        <v>3660</v>
      </c>
      <c r="U353" t="s">
        <v>3185</v>
      </c>
      <c r="W353" t="s">
        <v>3670</v>
      </c>
      <c r="Y353">
        <v>1050</v>
      </c>
      <c r="Z353" t="s">
        <v>3691</v>
      </c>
      <c r="AA353" t="s">
        <v>3700</v>
      </c>
      <c r="AC353" t="s">
        <v>4037</v>
      </c>
      <c r="AE353" t="s">
        <v>5152</v>
      </c>
      <c r="AF353">
        <v>96</v>
      </c>
      <c r="AG353" t="s">
        <v>5813</v>
      </c>
      <c r="AH353" t="s">
        <v>5826</v>
      </c>
      <c r="AI353">
        <v>30</v>
      </c>
      <c r="AJ353">
        <v>1</v>
      </c>
      <c r="AK353">
        <v>0</v>
      </c>
      <c r="AL353">
        <v>168.13</v>
      </c>
      <c r="AO353" t="s">
        <v>5843</v>
      </c>
      <c r="AP353">
        <v>21000</v>
      </c>
      <c r="AV353">
        <v>0</v>
      </c>
      <c r="AX353" t="s">
        <v>82</v>
      </c>
    </row>
    <row r="354" spans="1:50">
      <c r="A354" s="1">
        <f>HYPERLINK("https://lsnyc.legalserver.org/matter/dynamic-profile/view/1907792","19-1907792")</f>
        <v>0</v>
      </c>
      <c r="B354" t="s">
        <v>110</v>
      </c>
      <c r="C354" t="s">
        <v>191</v>
      </c>
      <c r="D354" t="s">
        <v>225</v>
      </c>
      <c r="F354" t="s">
        <v>711</v>
      </c>
      <c r="G354" t="s">
        <v>1289</v>
      </c>
      <c r="H354" t="s">
        <v>2084</v>
      </c>
      <c r="J354" t="s">
        <v>3148</v>
      </c>
      <c r="K354">
        <v>11212</v>
      </c>
      <c r="L354" t="s">
        <v>3185</v>
      </c>
      <c r="M354" t="s">
        <v>3189</v>
      </c>
      <c r="N354" t="s">
        <v>3186</v>
      </c>
      <c r="O354" t="s">
        <v>3188</v>
      </c>
      <c r="P354" t="s">
        <v>3622</v>
      </c>
      <c r="Q354" t="s">
        <v>3636</v>
      </c>
      <c r="S354" t="s">
        <v>208</v>
      </c>
      <c r="T354" t="s">
        <v>3660</v>
      </c>
      <c r="U354" t="s">
        <v>3185</v>
      </c>
      <c r="W354" t="s">
        <v>3670</v>
      </c>
      <c r="Y354">
        <v>250</v>
      </c>
      <c r="Z354" t="s">
        <v>3691</v>
      </c>
      <c r="AA354" t="s">
        <v>3700</v>
      </c>
      <c r="AC354" t="s">
        <v>4038</v>
      </c>
      <c r="AE354" t="s">
        <v>5153</v>
      </c>
      <c r="AF354">
        <v>96</v>
      </c>
      <c r="AG354" t="s">
        <v>5813</v>
      </c>
      <c r="AH354" t="s">
        <v>3632</v>
      </c>
      <c r="AI354">
        <v>2</v>
      </c>
      <c r="AJ354">
        <v>1</v>
      </c>
      <c r="AK354">
        <v>0</v>
      </c>
      <c r="AL354">
        <v>264.21</v>
      </c>
      <c r="AO354" t="s">
        <v>5843</v>
      </c>
      <c r="AP354">
        <v>33000</v>
      </c>
      <c r="AV354">
        <v>0</v>
      </c>
      <c r="AX354" t="s">
        <v>82</v>
      </c>
    </row>
    <row r="355" spans="1:50">
      <c r="A355" s="1">
        <f>HYPERLINK("https://lsnyc.legalserver.org/matter/dynamic-profile/view/1907796","19-1907796")</f>
        <v>0</v>
      </c>
      <c r="B355" t="s">
        <v>110</v>
      </c>
      <c r="C355" t="s">
        <v>191</v>
      </c>
      <c r="D355" t="s">
        <v>225</v>
      </c>
      <c r="F355" t="s">
        <v>470</v>
      </c>
      <c r="G355" t="s">
        <v>1456</v>
      </c>
      <c r="H355" t="s">
        <v>2084</v>
      </c>
      <c r="I355" t="s">
        <v>2832</v>
      </c>
      <c r="J355" t="s">
        <v>3148</v>
      </c>
      <c r="K355">
        <v>11212</v>
      </c>
      <c r="L355" t="s">
        <v>3185</v>
      </c>
      <c r="M355" t="s">
        <v>3189</v>
      </c>
      <c r="N355" t="s">
        <v>3186</v>
      </c>
      <c r="O355" t="s">
        <v>3188</v>
      </c>
      <c r="P355" t="s">
        <v>3622</v>
      </c>
      <c r="Q355" t="s">
        <v>3636</v>
      </c>
      <c r="S355" t="s">
        <v>229</v>
      </c>
      <c r="T355" t="s">
        <v>3660</v>
      </c>
      <c r="U355" t="s">
        <v>3185</v>
      </c>
      <c r="W355" t="s">
        <v>3670</v>
      </c>
      <c r="Y355">
        <v>430.8</v>
      </c>
      <c r="Z355" t="s">
        <v>3691</v>
      </c>
      <c r="AA355" t="s">
        <v>3700</v>
      </c>
      <c r="AD355" t="s">
        <v>4794</v>
      </c>
      <c r="AE355" t="s">
        <v>5154</v>
      </c>
      <c r="AF355">
        <v>96</v>
      </c>
      <c r="AG355" t="s">
        <v>5813</v>
      </c>
      <c r="AH355" t="s">
        <v>3632</v>
      </c>
      <c r="AI355">
        <v>4</v>
      </c>
      <c r="AJ355">
        <v>1</v>
      </c>
      <c r="AK355">
        <v>0</v>
      </c>
      <c r="AL355">
        <v>137.97</v>
      </c>
      <c r="AO355" t="s">
        <v>5843</v>
      </c>
      <c r="AP355">
        <v>17232</v>
      </c>
      <c r="AV355">
        <v>0</v>
      </c>
      <c r="AX355" t="s">
        <v>82</v>
      </c>
    </row>
    <row r="356" spans="1:50">
      <c r="A356" s="1">
        <f>HYPERLINK("https://lsnyc.legalserver.org/matter/dynamic-profile/view/1907774","19-1907774")</f>
        <v>0</v>
      </c>
      <c r="B356" t="s">
        <v>110</v>
      </c>
      <c r="C356" t="s">
        <v>191</v>
      </c>
      <c r="D356" t="s">
        <v>225</v>
      </c>
      <c r="F356" t="s">
        <v>712</v>
      </c>
      <c r="G356" t="s">
        <v>1457</v>
      </c>
      <c r="H356" t="s">
        <v>2084</v>
      </c>
      <c r="I356" t="s">
        <v>2923</v>
      </c>
      <c r="J356" t="s">
        <v>3148</v>
      </c>
      <c r="K356">
        <v>11212</v>
      </c>
      <c r="L356" t="s">
        <v>3185</v>
      </c>
      <c r="M356" t="s">
        <v>3189</v>
      </c>
      <c r="N356" t="s">
        <v>3186</v>
      </c>
      <c r="O356" t="s">
        <v>3188</v>
      </c>
      <c r="P356" t="s">
        <v>3622</v>
      </c>
      <c r="Q356" t="s">
        <v>3636</v>
      </c>
      <c r="S356" t="s">
        <v>3655</v>
      </c>
      <c r="T356" t="s">
        <v>3660</v>
      </c>
      <c r="U356" t="s">
        <v>3185</v>
      </c>
      <c r="W356" t="s">
        <v>3670</v>
      </c>
      <c r="Y356">
        <v>1047.01</v>
      </c>
      <c r="Z356" t="s">
        <v>3691</v>
      </c>
      <c r="AA356" t="s">
        <v>3700</v>
      </c>
      <c r="AC356" t="s">
        <v>4039</v>
      </c>
      <c r="AE356" t="s">
        <v>5155</v>
      </c>
      <c r="AF356">
        <v>96</v>
      </c>
      <c r="AG356" t="s">
        <v>5813</v>
      </c>
      <c r="AH356" t="s">
        <v>3188</v>
      </c>
      <c r="AI356">
        <v>30</v>
      </c>
      <c r="AJ356">
        <v>2</v>
      </c>
      <c r="AK356">
        <v>0</v>
      </c>
      <c r="AL356">
        <v>4.99</v>
      </c>
      <c r="AO356" t="s">
        <v>5843</v>
      </c>
      <c r="AP356">
        <v>843</v>
      </c>
      <c r="AV356">
        <v>0</v>
      </c>
      <c r="AX356" t="s">
        <v>82</v>
      </c>
    </row>
    <row r="357" spans="1:50">
      <c r="A357" s="1">
        <f>HYPERLINK("https://lsnyc.legalserver.org/matter/dynamic-profile/view/1907767","19-1907767")</f>
        <v>0</v>
      </c>
      <c r="B357" t="s">
        <v>110</v>
      </c>
      <c r="C357" t="s">
        <v>191</v>
      </c>
      <c r="D357" t="s">
        <v>225</v>
      </c>
      <c r="F357" t="s">
        <v>713</v>
      </c>
      <c r="G357" t="s">
        <v>1458</v>
      </c>
      <c r="H357" t="s">
        <v>2084</v>
      </c>
      <c r="I357" t="s">
        <v>2904</v>
      </c>
      <c r="J357" t="s">
        <v>3148</v>
      </c>
      <c r="K357">
        <v>11212</v>
      </c>
      <c r="L357" t="s">
        <v>3185</v>
      </c>
      <c r="M357" t="s">
        <v>3189</v>
      </c>
      <c r="N357" t="s">
        <v>3186</v>
      </c>
      <c r="O357" t="s">
        <v>3188</v>
      </c>
      <c r="P357" t="s">
        <v>3622</v>
      </c>
      <c r="Q357" t="s">
        <v>3636</v>
      </c>
      <c r="S357" t="s">
        <v>277</v>
      </c>
      <c r="T357" t="s">
        <v>3660</v>
      </c>
      <c r="U357" t="s">
        <v>3185</v>
      </c>
      <c r="W357" t="s">
        <v>3670</v>
      </c>
      <c r="Y357">
        <v>165</v>
      </c>
      <c r="Z357" t="s">
        <v>3691</v>
      </c>
      <c r="AA357" t="s">
        <v>3700</v>
      </c>
      <c r="AC357" t="s">
        <v>4040</v>
      </c>
      <c r="AE357" t="s">
        <v>5156</v>
      </c>
      <c r="AF357">
        <v>96</v>
      </c>
      <c r="AG357" t="s">
        <v>5813</v>
      </c>
      <c r="AH357" t="s">
        <v>3632</v>
      </c>
      <c r="AI357">
        <v>6</v>
      </c>
      <c r="AJ357">
        <v>1</v>
      </c>
      <c r="AK357">
        <v>0</v>
      </c>
      <c r="AL357">
        <v>76.29000000000001</v>
      </c>
      <c r="AO357" t="s">
        <v>5843</v>
      </c>
      <c r="AP357">
        <v>9528</v>
      </c>
      <c r="AV357">
        <v>0</v>
      </c>
      <c r="AX357" t="s">
        <v>82</v>
      </c>
    </row>
    <row r="358" spans="1:50">
      <c r="A358" s="1">
        <f>HYPERLINK("https://lsnyc.legalserver.org/matter/dynamic-profile/view/1907769","19-1907769")</f>
        <v>0</v>
      </c>
      <c r="B358" t="s">
        <v>110</v>
      </c>
      <c r="C358" t="s">
        <v>191</v>
      </c>
      <c r="D358" t="s">
        <v>225</v>
      </c>
      <c r="F358" t="s">
        <v>714</v>
      </c>
      <c r="G358" t="s">
        <v>1459</v>
      </c>
      <c r="H358" t="s">
        <v>2084</v>
      </c>
      <c r="I358" t="s">
        <v>2897</v>
      </c>
      <c r="J358" t="s">
        <v>3148</v>
      </c>
      <c r="K358">
        <v>11212</v>
      </c>
      <c r="L358" t="s">
        <v>3185</v>
      </c>
      <c r="M358" t="s">
        <v>3189</v>
      </c>
      <c r="N358" t="s">
        <v>3186</v>
      </c>
      <c r="O358" t="s">
        <v>3188</v>
      </c>
      <c r="P358" t="s">
        <v>3622</v>
      </c>
      <c r="Q358" t="s">
        <v>3636</v>
      </c>
      <c r="S358" t="s">
        <v>226</v>
      </c>
      <c r="T358" t="s">
        <v>3660</v>
      </c>
      <c r="U358" t="s">
        <v>3185</v>
      </c>
      <c r="W358" t="s">
        <v>3670</v>
      </c>
      <c r="Y358">
        <v>257</v>
      </c>
      <c r="Z358" t="s">
        <v>3691</v>
      </c>
      <c r="AA358" t="s">
        <v>3700</v>
      </c>
      <c r="AC358" t="s">
        <v>4034</v>
      </c>
      <c r="AE358" t="s">
        <v>5157</v>
      </c>
      <c r="AF358">
        <v>96</v>
      </c>
      <c r="AG358" t="s">
        <v>5813</v>
      </c>
      <c r="AH358" t="s">
        <v>3632</v>
      </c>
      <c r="AI358">
        <v>6</v>
      </c>
      <c r="AJ358">
        <v>1</v>
      </c>
      <c r="AK358">
        <v>0</v>
      </c>
      <c r="AL358">
        <v>76</v>
      </c>
      <c r="AO358" t="s">
        <v>5843</v>
      </c>
      <c r="AP358">
        <v>9492</v>
      </c>
      <c r="AV358">
        <v>0</v>
      </c>
      <c r="AX358" t="s">
        <v>82</v>
      </c>
    </row>
    <row r="359" spans="1:50">
      <c r="A359" s="1">
        <f>HYPERLINK("https://lsnyc.legalserver.org/matter/dynamic-profile/view/1876016","18-1876016")</f>
        <v>0</v>
      </c>
      <c r="B359" t="s">
        <v>110</v>
      </c>
      <c r="C359" t="s">
        <v>191</v>
      </c>
      <c r="D359" t="s">
        <v>296</v>
      </c>
      <c r="F359" t="s">
        <v>715</v>
      </c>
      <c r="G359" t="s">
        <v>1326</v>
      </c>
      <c r="H359" t="s">
        <v>2211</v>
      </c>
      <c r="I359" t="s">
        <v>2958</v>
      </c>
      <c r="J359" t="s">
        <v>3148</v>
      </c>
      <c r="K359">
        <v>11225</v>
      </c>
      <c r="L359" t="s">
        <v>3185</v>
      </c>
      <c r="N359" t="s">
        <v>3185</v>
      </c>
      <c r="O359" t="s">
        <v>3257</v>
      </c>
      <c r="P359" t="s">
        <v>3257</v>
      </c>
      <c r="Q359" t="s">
        <v>3636</v>
      </c>
      <c r="T359" t="s">
        <v>3660</v>
      </c>
      <c r="U359" t="s">
        <v>3184</v>
      </c>
      <c r="W359" t="s">
        <v>3670</v>
      </c>
      <c r="Y359">
        <v>978.0700000000001</v>
      </c>
      <c r="Z359" t="s">
        <v>3691</v>
      </c>
      <c r="AC359" t="s">
        <v>4041</v>
      </c>
      <c r="AE359" t="s">
        <v>5158</v>
      </c>
      <c r="AF359">
        <v>89</v>
      </c>
      <c r="AG359" t="s">
        <v>5813</v>
      </c>
      <c r="AH359" t="s">
        <v>3188</v>
      </c>
      <c r="AI359">
        <v>28</v>
      </c>
      <c r="AJ359">
        <v>1</v>
      </c>
      <c r="AK359">
        <v>0</v>
      </c>
      <c r="AL359">
        <v>0</v>
      </c>
      <c r="AO359" t="s">
        <v>5843</v>
      </c>
      <c r="AP359">
        <v>0</v>
      </c>
      <c r="AQ359" t="s">
        <v>5886</v>
      </c>
      <c r="AV359">
        <v>0</v>
      </c>
      <c r="AX359" t="s">
        <v>158</v>
      </c>
    </row>
    <row r="360" spans="1:50">
      <c r="A360" s="1">
        <f>HYPERLINK("https://lsnyc.legalserver.org/matter/dynamic-profile/view/1875921","18-1875921")</f>
        <v>0</v>
      </c>
      <c r="B360" t="s">
        <v>110</v>
      </c>
      <c r="C360" t="s">
        <v>191</v>
      </c>
      <c r="D360" t="s">
        <v>297</v>
      </c>
      <c r="F360" t="s">
        <v>716</v>
      </c>
      <c r="G360" t="s">
        <v>1460</v>
      </c>
      <c r="H360" t="s">
        <v>2211</v>
      </c>
      <c r="I360" t="s">
        <v>2959</v>
      </c>
      <c r="J360" t="s">
        <v>3148</v>
      </c>
      <c r="K360">
        <v>11225</v>
      </c>
      <c r="L360" t="s">
        <v>3185</v>
      </c>
      <c r="N360" t="s">
        <v>3185</v>
      </c>
      <c r="O360" t="s">
        <v>3257</v>
      </c>
      <c r="P360" t="s">
        <v>3257</v>
      </c>
      <c r="Q360" t="s">
        <v>3636</v>
      </c>
      <c r="T360" t="s">
        <v>3660</v>
      </c>
      <c r="U360" t="s">
        <v>3184</v>
      </c>
      <c r="W360" t="s">
        <v>3670</v>
      </c>
      <c r="Y360">
        <v>795.52</v>
      </c>
      <c r="Z360" t="s">
        <v>3691</v>
      </c>
      <c r="AA360" t="s">
        <v>3700</v>
      </c>
      <c r="AC360" t="s">
        <v>4042</v>
      </c>
      <c r="AE360" t="s">
        <v>5159</v>
      </c>
      <c r="AF360">
        <v>89</v>
      </c>
      <c r="AG360" t="s">
        <v>5813</v>
      </c>
      <c r="AH360" t="s">
        <v>5827</v>
      </c>
      <c r="AI360">
        <v>35</v>
      </c>
      <c r="AJ360">
        <v>2</v>
      </c>
      <c r="AK360">
        <v>0</v>
      </c>
      <c r="AL360">
        <v>60.66</v>
      </c>
      <c r="AO360" t="s">
        <v>5843</v>
      </c>
      <c r="AP360">
        <v>9984</v>
      </c>
      <c r="AQ360" t="s">
        <v>5886</v>
      </c>
      <c r="AV360">
        <v>0</v>
      </c>
      <c r="AX360" t="s">
        <v>158</v>
      </c>
    </row>
    <row r="361" spans="1:50">
      <c r="A361" s="1">
        <f>HYPERLINK("https://lsnyc.legalserver.org/matter/dynamic-profile/view/1871747","18-1871747")</f>
        <v>0</v>
      </c>
      <c r="B361" t="s">
        <v>110</v>
      </c>
      <c r="C361" t="s">
        <v>191</v>
      </c>
      <c r="D361" t="s">
        <v>298</v>
      </c>
      <c r="F361" t="s">
        <v>710</v>
      </c>
      <c r="G361" t="s">
        <v>1461</v>
      </c>
      <c r="H361" t="s">
        <v>2212</v>
      </c>
      <c r="I361" t="s">
        <v>2896</v>
      </c>
      <c r="J361" t="s">
        <v>3148</v>
      </c>
      <c r="K361">
        <v>11206</v>
      </c>
      <c r="L361" t="s">
        <v>3185</v>
      </c>
      <c r="N361" t="s">
        <v>3184</v>
      </c>
      <c r="O361" t="s">
        <v>3329</v>
      </c>
      <c r="P361" t="s">
        <v>3616</v>
      </c>
      <c r="Q361" t="s">
        <v>3639</v>
      </c>
      <c r="T361" t="s">
        <v>3660</v>
      </c>
      <c r="U361" t="s">
        <v>3185</v>
      </c>
      <c r="W361" t="s">
        <v>3670</v>
      </c>
      <c r="Y361">
        <v>678</v>
      </c>
      <c r="Z361" t="s">
        <v>3691</v>
      </c>
      <c r="AA361" t="s">
        <v>3632</v>
      </c>
      <c r="AC361" t="s">
        <v>4043</v>
      </c>
      <c r="AE361" t="s">
        <v>5160</v>
      </c>
      <c r="AF361">
        <v>25</v>
      </c>
      <c r="AG361" t="s">
        <v>5813</v>
      </c>
      <c r="AI361">
        <v>23</v>
      </c>
      <c r="AJ361">
        <v>1</v>
      </c>
      <c r="AK361">
        <v>1</v>
      </c>
      <c r="AL361">
        <v>93.45999999999999</v>
      </c>
      <c r="AO361" t="s">
        <v>5843</v>
      </c>
      <c r="AP361">
        <v>15384</v>
      </c>
      <c r="AQ361" t="s">
        <v>5887</v>
      </c>
      <c r="AV361">
        <v>1</v>
      </c>
      <c r="AW361" t="s">
        <v>5981</v>
      </c>
      <c r="AX361" t="s">
        <v>6037</v>
      </c>
    </row>
    <row r="362" spans="1:50">
      <c r="A362" s="1">
        <f>HYPERLINK("https://lsnyc.legalserver.org/matter/dynamic-profile/view/1909907","19-1909907")</f>
        <v>0</v>
      </c>
      <c r="B362" t="s">
        <v>82</v>
      </c>
      <c r="C362" t="s">
        <v>191</v>
      </c>
      <c r="D362" t="s">
        <v>243</v>
      </c>
      <c r="F362" t="s">
        <v>717</v>
      </c>
      <c r="G362" t="s">
        <v>1462</v>
      </c>
      <c r="H362" t="s">
        <v>2213</v>
      </c>
      <c r="I362" t="s">
        <v>2840</v>
      </c>
      <c r="J362" t="s">
        <v>3148</v>
      </c>
      <c r="K362">
        <v>11233</v>
      </c>
      <c r="L362" t="s">
        <v>3186</v>
      </c>
      <c r="N362" t="s">
        <v>3186</v>
      </c>
      <c r="O362" t="s">
        <v>3330</v>
      </c>
      <c r="P362" t="s">
        <v>3610</v>
      </c>
      <c r="Q362" t="s">
        <v>3634</v>
      </c>
      <c r="T362" t="s">
        <v>3660</v>
      </c>
      <c r="U362" t="s">
        <v>3184</v>
      </c>
      <c r="W362" t="s">
        <v>3670</v>
      </c>
      <c r="Y362">
        <v>1096.4</v>
      </c>
      <c r="Z362" t="s">
        <v>3691</v>
      </c>
      <c r="AA362" t="s">
        <v>3700</v>
      </c>
      <c r="AC362" t="s">
        <v>4044</v>
      </c>
      <c r="AD362" t="s">
        <v>4795</v>
      </c>
      <c r="AE362" t="s">
        <v>5161</v>
      </c>
      <c r="AF362">
        <v>24</v>
      </c>
      <c r="AG362" t="s">
        <v>5811</v>
      </c>
      <c r="AI362">
        <v>12</v>
      </c>
      <c r="AJ362">
        <v>2</v>
      </c>
      <c r="AK362">
        <v>0</v>
      </c>
      <c r="AL362">
        <v>124.54</v>
      </c>
      <c r="AO362" t="s">
        <v>5843</v>
      </c>
      <c r="AP362">
        <v>21060</v>
      </c>
      <c r="AV362">
        <v>0.84</v>
      </c>
      <c r="AW362" t="s">
        <v>243</v>
      </c>
      <c r="AX362" t="s">
        <v>6038</v>
      </c>
    </row>
    <row r="363" spans="1:50">
      <c r="A363" s="1">
        <f>HYPERLINK("https://lsnyc.legalserver.org/matter/dynamic-profile/view/1887826","19-1887826")</f>
        <v>0</v>
      </c>
      <c r="B363" t="s">
        <v>110</v>
      </c>
      <c r="C363" t="s">
        <v>191</v>
      </c>
      <c r="D363" t="s">
        <v>299</v>
      </c>
      <c r="F363" t="s">
        <v>718</v>
      </c>
      <c r="G363" t="s">
        <v>1463</v>
      </c>
      <c r="H363" t="s">
        <v>2211</v>
      </c>
      <c r="I363" t="s">
        <v>2960</v>
      </c>
      <c r="J363" t="s">
        <v>3148</v>
      </c>
      <c r="K363">
        <v>11225</v>
      </c>
      <c r="L363" t="s">
        <v>3185</v>
      </c>
      <c r="N363" t="s">
        <v>3186</v>
      </c>
      <c r="P363" t="s">
        <v>3616</v>
      </c>
      <c r="Q363" t="s">
        <v>3639</v>
      </c>
      <c r="T363" t="s">
        <v>3660</v>
      </c>
      <c r="U363" t="s">
        <v>3185</v>
      </c>
      <c r="W363" t="s">
        <v>3670</v>
      </c>
      <c r="Y363">
        <v>1740.79</v>
      </c>
      <c r="Z363" t="s">
        <v>3691</v>
      </c>
      <c r="AA363" t="s">
        <v>3704</v>
      </c>
      <c r="AC363" t="s">
        <v>4045</v>
      </c>
      <c r="AE363" t="s">
        <v>5162</v>
      </c>
      <c r="AF363">
        <v>89</v>
      </c>
      <c r="AG363" t="s">
        <v>5813</v>
      </c>
      <c r="AH363" t="s">
        <v>3188</v>
      </c>
      <c r="AI363">
        <v>7</v>
      </c>
      <c r="AJ363">
        <v>1</v>
      </c>
      <c r="AK363">
        <v>0</v>
      </c>
      <c r="AL363">
        <v>535.42</v>
      </c>
      <c r="AO363" t="s">
        <v>5843</v>
      </c>
      <c r="AP363">
        <v>65000</v>
      </c>
      <c r="AV363">
        <v>0</v>
      </c>
      <c r="AX363" t="s">
        <v>82</v>
      </c>
    </row>
    <row r="364" spans="1:50">
      <c r="A364" s="1">
        <f>HYPERLINK("https://lsnyc.legalserver.org/matter/dynamic-profile/view/1904277","19-1904277")</f>
        <v>0</v>
      </c>
      <c r="B364" t="s">
        <v>60</v>
      </c>
      <c r="C364" t="s">
        <v>191</v>
      </c>
      <c r="D364" t="s">
        <v>193</v>
      </c>
      <c r="F364" t="s">
        <v>719</v>
      </c>
      <c r="G364" t="s">
        <v>1464</v>
      </c>
      <c r="H364" t="s">
        <v>2214</v>
      </c>
      <c r="I364" t="s">
        <v>2875</v>
      </c>
      <c r="J364" t="s">
        <v>3147</v>
      </c>
      <c r="K364">
        <v>10460</v>
      </c>
      <c r="L364" t="s">
        <v>3185</v>
      </c>
      <c r="M364" t="s">
        <v>3189</v>
      </c>
      <c r="N364" t="s">
        <v>3186</v>
      </c>
      <c r="O364" t="s">
        <v>3331</v>
      </c>
      <c r="P364" t="s">
        <v>3610</v>
      </c>
      <c r="Q364" t="s">
        <v>3636</v>
      </c>
      <c r="S364" t="s">
        <v>272</v>
      </c>
      <c r="T364" t="s">
        <v>3660</v>
      </c>
      <c r="U364" t="s">
        <v>3184</v>
      </c>
      <c r="W364" t="s">
        <v>3670</v>
      </c>
      <c r="Y364">
        <v>1723.03</v>
      </c>
      <c r="Z364" t="s">
        <v>3690</v>
      </c>
      <c r="AA364" t="s">
        <v>3696</v>
      </c>
      <c r="AC364" t="s">
        <v>4046</v>
      </c>
      <c r="AE364" t="s">
        <v>5163</v>
      </c>
      <c r="AF364">
        <v>200</v>
      </c>
      <c r="AG364" t="s">
        <v>5820</v>
      </c>
      <c r="AH364" t="s">
        <v>5827</v>
      </c>
      <c r="AI364">
        <v>3</v>
      </c>
      <c r="AJ364">
        <v>2</v>
      </c>
      <c r="AK364">
        <v>0</v>
      </c>
      <c r="AL364">
        <v>83.73999999999999</v>
      </c>
      <c r="AO364" t="s">
        <v>5843</v>
      </c>
      <c r="AP364">
        <v>14160</v>
      </c>
      <c r="AV364">
        <v>2.3</v>
      </c>
      <c r="AW364" t="s">
        <v>282</v>
      </c>
      <c r="AX364" t="s">
        <v>6014</v>
      </c>
    </row>
    <row r="365" spans="1:50">
      <c r="A365" s="1">
        <f>HYPERLINK("https://lsnyc.legalserver.org/matter/dynamic-profile/view/1904449","19-1904449")</f>
        <v>0</v>
      </c>
      <c r="B365" t="s">
        <v>60</v>
      </c>
      <c r="C365" t="s">
        <v>191</v>
      </c>
      <c r="D365" t="s">
        <v>272</v>
      </c>
      <c r="F365" t="s">
        <v>720</v>
      </c>
      <c r="G365" t="s">
        <v>1465</v>
      </c>
      <c r="H365" t="s">
        <v>2215</v>
      </c>
      <c r="I365" t="s">
        <v>2852</v>
      </c>
      <c r="J365" t="s">
        <v>3147</v>
      </c>
      <c r="K365">
        <v>10452</v>
      </c>
      <c r="L365" t="s">
        <v>3185</v>
      </c>
      <c r="M365" t="s">
        <v>3189</v>
      </c>
      <c r="N365" t="s">
        <v>3186</v>
      </c>
      <c r="O365" t="s">
        <v>3218</v>
      </c>
      <c r="P365" t="s">
        <v>3257</v>
      </c>
      <c r="Q365" t="s">
        <v>3634</v>
      </c>
      <c r="S365" t="s">
        <v>260</v>
      </c>
      <c r="T365" t="s">
        <v>3660</v>
      </c>
      <c r="U365" t="s">
        <v>3184</v>
      </c>
      <c r="W365" t="s">
        <v>3670</v>
      </c>
      <c r="Y365">
        <v>702.21</v>
      </c>
      <c r="Z365" t="s">
        <v>3690</v>
      </c>
      <c r="AC365" t="s">
        <v>4047</v>
      </c>
      <c r="AE365" t="s">
        <v>5164</v>
      </c>
      <c r="AF365">
        <v>42</v>
      </c>
      <c r="AG365" t="s">
        <v>5814</v>
      </c>
      <c r="AH365" t="s">
        <v>3188</v>
      </c>
      <c r="AI365">
        <v>4</v>
      </c>
      <c r="AJ365">
        <v>1</v>
      </c>
      <c r="AK365">
        <v>2</v>
      </c>
      <c r="AL365">
        <v>49.4</v>
      </c>
      <c r="AO365" t="s">
        <v>5844</v>
      </c>
      <c r="AP365">
        <v>10536</v>
      </c>
      <c r="AV365">
        <v>1.5</v>
      </c>
      <c r="AW365" t="s">
        <v>260</v>
      </c>
      <c r="AX365" t="s">
        <v>6015</v>
      </c>
    </row>
    <row r="366" spans="1:50">
      <c r="A366" s="1">
        <f>HYPERLINK("https://lsnyc.legalserver.org/matter/dynamic-profile/view/1906741","19-1906741")</f>
        <v>0</v>
      </c>
      <c r="B366" t="s">
        <v>60</v>
      </c>
      <c r="C366" t="s">
        <v>191</v>
      </c>
      <c r="D366" t="s">
        <v>290</v>
      </c>
      <c r="F366" t="s">
        <v>449</v>
      </c>
      <c r="G366" t="s">
        <v>1309</v>
      </c>
      <c r="H366" t="s">
        <v>2216</v>
      </c>
      <c r="I366" t="s">
        <v>2951</v>
      </c>
      <c r="J366" t="s">
        <v>3147</v>
      </c>
      <c r="K366">
        <v>10455</v>
      </c>
      <c r="L366" t="s">
        <v>3185</v>
      </c>
      <c r="M366" t="s">
        <v>3189</v>
      </c>
      <c r="N366" t="s">
        <v>3186</v>
      </c>
      <c r="O366" t="s">
        <v>3332</v>
      </c>
      <c r="P366" t="s">
        <v>3610</v>
      </c>
      <c r="Q366" t="s">
        <v>3638</v>
      </c>
      <c r="S366" t="s">
        <v>206</v>
      </c>
      <c r="T366" t="s">
        <v>3660</v>
      </c>
      <c r="U366" t="s">
        <v>3184</v>
      </c>
      <c r="W366" t="s">
        <v>3670</v>
      </c>
      <c r="X366" t="s">
        <v>3682</v>
      </c>
      <c r="Y366">
        <v>347</v>
      </c>
      <c r="Z366" t="s">
        <v>3690</v>
      </c>
      <c r="AA366" t="s">
        <v>3694</v>
      </c>
      <c r="AC366" t="s">
        <v>4048</v>
      </c>
      <c r="AE366" t="s">
        <v>5165</v>
      </c>
      <c r="AF366">
        <v>45</v>
      </c>
      <c r="AG366" t="s">
        <v>5812</v>
      </c>
      <c r="AH366" t="s">
        <v>3188</v>
      </c>
      <c r="AI366">
        <v>16</v>
      </c>
      <c r="AJ366">
        <v>2</v>
      </c>
      <c r="AK366">
        <v>0</v>
      </c>
      <c r="AL366">
        <v>61.5</v>
      </c>
      <c r="AO366" t="s">
        <v>5843</v>
      </c>
      <c r="AP366">
        <v>10400</v>
      </c>
      <c r="AV366">
        <v>12.25</v>
      </c>
      <c r="AW366" t="s">
        <v>280</v>
      </c>
      <c r="AX366" t="s">
        <v>78</v>
      </c>
    </row>
    <row r="367" spans="1:50">
      <c r="A367" s="1">
        <f>HYPERLINK("https://lsnyc.legalserver.org/matter/dynamic-profile/view/1905842","19-1905842")</f>
        <v>0</v>
      </c>
      <c r="B367" t="s">
        <v>60</v>
      </c>
      <c r="C367" t="s">
        <v>191</v>
      </c>
      <c r="D367" t="s">
        <v>254</v>
      </c>
      <c r="F367" t="s">
        <v>721</v>
      </c>
      <c r="G367" t="s">
        <v>1466</v>
      </c>
      <c r="H367" t="s">
        <v>2217</v>
      </c>
      <c r="I367" t="s">
        <v>2820</v>
      </c>
      <c r="J367" t="s">
        <v>3147</v>
      </c>
      <c r="K367">
        <v>10467</v>
      </c>
      <c r="L367" t="s">
        <v>3185</v>
      </c>
      <c r="N367" t="s">
        <v>3186</v>
      </c>
      <c r="Q367" t="s">
        <v>3634</v>
      </c>
      <c r="T367" t="s">
        <v>3660</v>
      </c>
      <c r="U367" t="s">
        <v>3184</v>
      </c>
      <c r="W367" t="s">
        <v>3670</v>
      </c>
      <c r="Y367">
        <v>1254.43</v>
      </c>
      <c r="Z367" t="s">
        <v>3690</v>
      </c>
      <c r="AA367" t="s">
        <v>3700</v>
      </c>
      <c r="AC367" t="s">
        <v>4049</v>
      </c>
      <c r="AE367" t="s">
        <v>5166</v>
      </c>
      <c r="AF367">
        <v>70</v>
      </c>
      <c r="AG367" t="s">
        <v>5813</v>
      </c>
      <c r="AH367" t="s">
        <v>3188</v>
      </c>
      <c r="AI367">
        <v>14</v>
      </c>
      <c r="AJ367">
        <v>1</v>
      </c>
      <c r="AK367">
        <v>0</v>
      </c>
      <c r="AL367">
        <v>0</v>
      </c>
      <c r="AO367" t="s">
        <v>5844</v>
      </c>
      <c r="AP367">
        <v>0</v>
      </c>
      <c r="AV367">
        <v>0.1</v>
      </c>
      <c r="AW367" t="s">
        <v>243</v>
      </c>
      <c r="AX367" t="s">
        <v>83</v>
      </c>
    </row>
    <row r="368" spans="1:50">
      <c r="A368" s="1">
        <f>HYPERLINK("https://lsnyc.legalserver.org/matter/dynamic-profile/view/1905129","19-1905129")</f>
        <v>0</v>
      </c>
      <c r="B368" t="s">
        <v>85</v>
      </c>
      <c r="C368" t="s">
        <v>191</v>
      </c>
      <c r="D368" t="s">
        <v>249</v>
      </c>
      <c r="F368" t="s">
        <v>722</v>
      </c>
      <c r="G368" t="s">
        <v>1467</v>
      </c>
      <c r="H368" t="s">
        <v>2218</v>
      </c>
      <c r="I368" t="s">
        <v>2961</v>
      </c>
      <c r="J368" t="s">
        <v>3148</v>
      </c>
      <c r="K368">
        <v>11218</v>
      </c>
      <c r="L368" t="s">
        <v>3186</v>
      </c>
      <c r="N368" t="s">
        <v>3186</v>
      </c>
      <c r="O368" t="s">
        <v>3333</v>
      </c>
      <c r="P368" t="s">
        <v>3613</v>
      </c>
      <c r="Q368" t="s">
        <v>3638</v>
      </c>
      <c r="T368" t="s">
        <v>3660</v>
      </c>
      <c r="U368" t="s">
        <v>3184</v>
      </c>
      <c r="W368" t="s">
        <v>3670</v>
      </c>
      <c r="X368" t="s">
        <v>3681</v>
      </c>
      <c r="Y368">
        <v>1627</v>
      </c>
      <c r="Z368" t="s">
        <v>3691</v>
      </c>
      <c r="AA368" t="s">
        <v>3696</v>
      </c>
      <c r="AC368" t="s">
        <v>4050</v>
      </c>
      <c r="AE368" t="s">
        <v>5167</v>
      </c>
      <c r="AF368">
        <v>6</v>
      </c>
      <c r="AG368" t="s">
        <v>5814</v>
      </c>
      <c r="AI368">
        <v>13</v>
      </c>
      <c r="AJ368">
        <v>1</v>
      </c>
      <c r="AK368">
        <v>0</v>
      </c>
      <c r="AL368">
        <v>93</v>
      </c>
      <c r="AO368" t="s">
        <v>5843</v>
      </c>
      <c r="AP368">
        <v>11616</v>
      </c>
      <c r="AV368">
        <v>60.5</v>
      </c>
      <c r="AW368" t="s">
        <v>291</v>
      </c>
      <c r="AX368" t="s">
        <v>6006</v>
      </c>
    </row>
    <row r="369" spans="1:50">
      <c r="A369" s="1">
        <f>HYPERLINK("https://lsnyc.legalserver.org/matter/dynamic-profile/view/1909505","19-1909505")</f>
        <v>0</v>
      </c>
      <c r="B369" t="s">
        <v>89</v>
      </c>
      <c r="C369" t="s">
        <v>191</v>
      </c>
      <c r="D369" t="s">
        <v>197</v>
      </c>
      <c r="F369" t="s">
        <v>723</v>
      </c>
      <c r="G369" t="s">
        <v>1468</v>
      </c>
      <c r="H369" t="s">
        <v>2219</v>
      </c>
      <c r="I369" t="s">
        <v>2894</v>
      </c>
      <c r="J369" t="s">
        <v>3148</v>
      </c>
      <c r="K369">
        <v>11207</v>
      </c>
      <c r="L369" t="s">
        <v>3186</v>
      </c>
      <c r="N369" t="s">
        <v>3186</v>
      </c>
      <c r="O369" t="s">
        <v>3334</v>
      </c>
      <c r="P369" t="s">
        <v>3610</v>
      </c>
      <c r="T369" t="s">
        <v>3660</v>
      </c>
      <c r="U369" t="s">
        <v>3184</v>
      </c>
      <c r="W369" t="s">
        <v>3670</v>
      </c>
      <c r="Y369">
        <v>538</v>
      </c>
      <c r="Z369" t="s">
        <v>3691</v>
      </c>
      <c r="AA369" t="s">
        <v>3632</v>
      </c>
      <c r="AC369" t="s">
        <v>4051</v>
      </c>
      <c r="AE369" t="s">
        <v>5168</v>
      </c>
      <c r="AF369">
        <v>60</v>
      </c>
      <c r="AG369" t="s">
        <v>5817</v>
      </c>
      <c r="AH369" t="s">
        <v>3632</v>
      </c>
      <c r="AI369">
        <v>20</v>
      </c>
      <c r="AJ369">
        <v>2</v>
      </c>
      <c r="AK369">
        <v>1</v>
      </c>
      <c r="AL369">
        <v>52.41</v>
      </c>
      <c r="AO369" t="s">
        <v>5843</v>
      </c>
      <c r="AP369">
        <v>11180</v>
      </c>
      <c r="AV369">
        <v>0.7</v>
      </c>
      <c r="AW369" t="s">
        <v>198</v>
      </c>
      <c r="AX369" t="s">
        <v>82</v>
      </c>
    </row>
    <row r="370" spans="1:50">
      <c r="A370" s="1">
        <f>HYPERLINK("https://lsnyc.legalserver.org/matter/dynamic-profile/view/1857342","18-1857342")</f>
        <v>0</v>
      </c>
      <c r="B370" t="s">
        <v>60</v>
      </c>
      <c r="C370" t="s">
        <v>191</v>
      </c>
      <c r="D370" t="s">
        <v>300</v>
      </c>
      <c r="F370" t="s">
        <v>724</v>
      </c>
      <c r="G370" t="s">
        <v>1469</v>
      </c>
      <c r="H370" t="s">
        <v>1997</v>
      </c>
      <c r="I370">
        <v>18</v>
      </c>
      <c r="J370" t="s">
        <v>3147</v>
      </c>
      <c r="K370">
        <v>10452</v>
      </c>
      <c r="L370" t="s">
        <v>3185</v>
      </c>
      <c r="N370" t="s">
        <v>3186</v>
      </c>
      <c r="O370" t="s">
        <v>3219</v>
      </c>
      <c r="P370" t="s">
        <v>3618</v>
      </c>
      <c r="Q370" t="s">
        <v>3639</v>
      </c>
      <c r="T370" t="s">
        <v>3660</v>
      </c>
      <c r="U370" t="s">
        <v>3185</v>
      </c>
      <c r="W370" t="s">
        <v>3670</v>
      </c>
      <c r="Y370">
        <v>1000</v>
      </c>
      <c r="Z370" t="s">
        <v>3690</v>
      </c>
      <c r="AA370" t="s">
        <v>3700</v>
      </c>
      <c r="AC370" t="s">
        <v>4052</v>
      </c>
      <c r="AE370" t="s">
        <v>5169</v>
      </c>
      <c r="AF370">
        <v>122</v>
      </c>
      <c r="AG370" t="s">
        <v>5813</v>
      </c>
      <c r="AH370" t="s">
        <v>3188</v>
      </c>
      <c r="AI370">
        <v>2</v>
      </c>
      <c r="AJ370">
        <v>1</v>
      </c>
      <c r="AK370">
        <v>1</v>
      </c>
      <c r="AL370">
        <v>0</v>
      </c>
      <c r="AO370" t="s">
        <v>5843</v>
      </c>
      <c r="AP370">
        <v>0</v>
      </c>
      <c r="AQ370" t="s">
        <v>5888</v>
      </c>
      <c r="AV370">
        <v>0</v>
      </c>
      <c r="AX370" t="s">
        <v>6019</v>
      </c>
    </row>
    <row r="371" spans="1:50">
      <c r="A371" s="1">
        <f>HYPERLINK("https://lsnyc.legalserver.org/matter/dynamic-profile/view/1908285","19-1908285")</f>
        <v>0</v>
      </c>
      <c r="B371" t="s">
        <v>89</v>
      </c>
      <c r="C371" t="s">
        <v>191</v>
      </c>
      <c r="D371" t="s">
        <v>212</v>
      </c>
      <c r="F371" t="s">
        <v>691</v>
      </c>
      <c r="G371" t="s">
        <v>1470</v>
      </c>
      <c r="H371" t="s">
        <v>2220</v>
      </c>
      <c r="I371" t="s">
        <v>2962</v>
      </c>
      <c r="J371" t="s">
        <v>3148</v>
      </c>
      <c r="K371">
        <v>11233</v>
      </c>
      <c r="L371" t="s">
        <v>3186</v>
      </c>
      <c r="N371" t="s">
        <v>3186</v>
      </c>
      <c r="O371" t="s">
        <v>3335</v>
      </c>
      <c r="P371" t="s">
        <v>3610</v>
      </c>
      <c r="Q371" t="s">
        <v>3637</v>
      </c>
      <c r="T371" t="s">
        <v>3660</v>
      </c>
      <c r="U371" t="s">
        <v>3184</v>
      </c>
      <c r="W371" t="s">
        <v>3670</v>
      </c>
      <c r="Y371">
        <v>1000</v>
      </c>
      <c r="Z371" t="s">
        <v>3691</v>
      </c>
      <c r="AA371" t="s">
        <v>3696</v>
      </c>
      <c r="AC371" t="s">
        <v>4053</v>
      </c>
      <c r="AE371" t="s">
        <v>5170</v>
      </c>
      <c r="AF371">
        <v>3</v>
      </c>
      <c r="AG371" t="s">
        <v>5811</v>
      </c>
      <c r="AH371" t="s">
        <v>3188</v>
      </c>
      <c r="AI371">
        <v>7</v>
      </c>
      <c r="AJ371">
        <v>2</v>
      </c>
      <c r="AK371">
        <v>2</v>
      </c>
      <c r="AL371">
        <v>174.76</v>
      </c>
      <c r="AP371">
        <v>45000</v>
      </c>
      <c r="AV371">
        <v>0</v>
      </c>
      <c r="AX371" t="s">
        <v>82</v>
      </c>
    </row>
    <row r="372" spans="1:50">
      <c r="A372" s="1">
        <f>HYPERLINK("https://lsnyc.legalserver.org/matter/dynamic-profile/view/1905846","19-1905846")</f>
        <v>0</v>
      </c>
      <c r="B372" t="s">
        <v>60</v>
      </c>
      <c r="C372" t="s">
        <v>191</v>
      </c>
      <c r="D372" t="s">
        <v>256</v>
      </c>
      <c r="F372" t="s">
        <v>640</v>
      </c>
      <c r="G372" t="s">
        <v>1382</v>
      </c>
      <c r="H372" t="s">
        <v>2133</v>
      </c>
      <c r="I372" t="s">
        <v>2933</v>
      </c>
      <c r="J372" t="s">
        <v>3147</v>
      </c>
      <c r="K372">
        <v>10452</v>
      </c>
      <c r="L372" t="s">
        <v>3185</v>
      </c>
      <c r="M372" t="s">
        <v>3189</v>
      </c>
      <c r="N372" t="s">
        <v>3186</v>
      </c>
      <c r="Q372" t="s">
        <v>3634</v>
      </c>
      <c r="T372" t="s">
        <v>3660</v>
      </c>
      <c r="U372" t="s">
        <v>3184</v>
      </c>
      <c r="W372" t="s">
        <v>3670</v>
      </c>
      <c r="Y372">
        <v>1075</v>
      </c>
      <c r="Z372" t="s">
        <v>3690</v>
      </c>
      <c r="AA372" t="s">
        <v>3700</v>
      </c>
      <c r="AC372" t="s">
        <v>3951</v>
      </c>
      <c r="AD372" t="s">
        <v>4796</v>
      </c>
      <c r="AF372">
        <v>58</v>
      </c>
      <c r="AG372" t="s">
        <v>5821</v>
      </c>
      <c r="AH372" t="s">
        <v>5825</v>
      </c>
      <c r="AI372">
        <v>8</v>
      </c>
      <c r="AJ372">
        <v>2</v>
      </c>
      <c r="AK372">
        <v>3</v>
      </c>
      <c r="AL372">
        <v>39.77</v>
      </c>
      <c r="AO372" t="s">
        <v>5843</v>
      </c>
      <c r="AP372">
        <v>12000</v>
      </c>
      <c r="AV372">
        <v>0</v>
      </c>
      <c r="AX372" t="s">
        <v>83</v>
      </c>
    </row>
    <row r="373" spans="1:50">
      <c r="A373" s="1">
        <f>HYPERLINK("https://lsnyc.legalserver.org/matter/dynamic-profile/view/1904754","19-1904754")</f>
        <v>0</v>
      </c>
      <c r="B373" t="s">
        <v>60</v>
      </c>
      <c r="C373" t="s">
        <v>191</v>
      </c>
      <c r="D373" t="s">
        <v>214</v>
      </c>
      <c r="F373" t="s">
        <v>440</v>
      </c>
      <c r="G373" t="s">
        <v>1199</v>
      </c>
      <c r="H373" t="s">
        <v>2221</v>
      </c>
      <c r="I373" t="s">
        <v>2827</v>
      </c>
      <c r="J373" t="s">
        <v>3147</v>
      </c>
      <c r="K373">
        <v>10456</v>
      </c>
      <c r="L373" t="s">
        <v>3185</v>
      </c>
      <c r="M373" t="s">
        <v>3189</v>
      </c>
      <c r="N373" t="s">
        <v>3186</v>
      </c>
      <c r="P373" t="s">
        <v>3616</v>
      </c>
      <c r="Q373" t="s">
        <v>3639</v>
      </c>
      <c r="T373" t="s">
        <v>3660</v>
      </c>
      <c r="U373" t="s">
        <v>3185</v>
      </c>
      <c r="W373" t="s">
        <v>3670</v>
      </c>
      <c r="Y373">
        <v>380.89</v>
      </c>
      <c r="Z373" t="s">
        <v>3690</v>
      </c>
      <c r="AA373" t="s">
        <v>3694</v>
      </c>
      <c r="AC373" t="s">
        <v>4054</v>
      </c>
      <c r="AD373" t="s">
        <v>4797</v>
      </c>
      <c r="AE373" t="s">
        <v>5171</v>
      </c>
      <c r="AF373">
        <v>17</v>
      </c>
      <c r="AG373" t="s">
        <v>5811</v>
      </c>
      <c r="AH373" t="s">
        <v>5826</v>
      </c>
      <c r="AI373">
        <v>50</v>
      </c>
      <c r="AJ373">
        <v>3</v>
      </c>
      <c r="AK373">
        <v>0</v>
      </c>
      <c r="AL373">
        <v>43.38</v>
      </c>
      <c r="AO373" t="s">
        <v>5844</v>
      </c>
      <c r="AP373">
        <v>9252</v>
      </c>
      <c r="AV373">
        <v>0.5</v>
      </c>
      <c r="AW373" t="s">
        <v>214</v>
      </c>
      <c r="AX373" t="s">
        <v>166</v>
      </c>
    </row>
    <row r="374" spans="1:50">
      <c r="A374" s="1">
        <f>HYPERLINK("https://lsnyc.legalserver.org/matter/dynamic-profile/view/1905850","19-1905850")</f>
        <v>0</v>
      </c>
      <c r="B374" t="s">
        <v>60</v>
      </c>
      <c r="C374" t="s">
        <v>191</v>
      </c>
      <c r="D374" t="s">
        <v>254</v>
      </c>
      <c r="F374" t="s">
        <v>720</v>
      </c>
      <c r="G374" t="s">
        <v>1465</v>
      </c>
      <c r="H374" t="s">
        <v>2222</v>
      </c>
      <c r="I374" t="s">
        <v>2852</v>
      </c>
      <c r="J374" t="s">
        <v>3147</v>
      </c>
      <c r="K374">
        <v>10452</v>
      </c>
      <c r="L374" t="s">
        <v>3185</v>
      </c>
      <c r="M374" t="s">
        <v>3189</v>
      </c>
      <c r="N374" t="s">
        <v>3186</v>
      </c>
      <c r="Q374" t="s">
        <v>3634</v>
      </c>
      <c r="T374" t="s">
        <v>3660</v>
      </c>
      <c r="U374" t="s">
        <v>3184</v>
      </c>
      <c r="W374" t="s">
        <v>3670</v>
      </c>
      <c r="Y374">
        <v>702.21</v>
      </c>
      <c r="Z374" t="s">
        <v>3690</v>
      </c>
      <c r="AA374" t="s">
        <v>3700</v>
      </c>
      <c r="AC374" t="s">
        <v>4055</v>
      </c>
      <c r="AE374" t="s">
        <v>5164</v>
      </c>
      <c r="AF374">
        <v>85</v>
      </c>
      <c r="AG374" t="s">
        <v>5810</v>
      </c>
      <c r="AH374" t="s">
        <v>3188</v>
      </c>
      <c r="AI374">
        <v>36</v>
      </c>
      <c r="AJ374">
        <v>1</v>
      </c>
      <c r="AK374">
        <v>2</v>
      </c>
      <c r="AL374">
        <v>46.24</v>
      </c>
      <c r="AO374" t="s">
        <v>5844</v>
      </c>
      <c r="AP374">
        <v>9864</v>
      </c>
      <c r="AV374">
        <v>0.1</v>
      </c>
      <c r="AW374" t="s">
        <v>260</v>
      </c>
      <c r="AX374" t="s">
        <v>83</v>
      </c>
    </row>
    <row r="375" spans="1:50">
      <c r="A375" s="1">
        <f>HYPERLINK("https://lsnyc.legalserver.org/matter/dynamic-profile/view/1907485","19-1907485")</f>
        <v>0</v>
      </c>
      <c r="B375" t="s">
        <v>60</v>
      </c>
      <c r="C375" t="s">
        <v>191</v>
      </c>
      <c r="D375" t="s">
        <v>234</v>
      </c>
      <c r="F375" t="s">
        <v>449</v>
      </c>
      <c r="G375" t="s">
        <v>1309</v>
      </c>
      <c r="H375" t="s">
        <v>2216</v>
      </c>
      <c r="I375" t="s">
        <v>2951</v>
      </c>
      <c r="J375" t="s">
        <v>3147</v>
      </c>
      <c r="K375">
        <v>10455</v>
      </c>
      <c r="L375" t="s">
        <v>3185</v>
      </c>
      <c r="M375" t="s">
        <v>3189</v>
      </c>
      <c r="N375" t="s">
        <v>3186</v>
      </c>
      <c r="Q375" t="s">
        <v>3636</v>
      </c>
      <c r="T375" t="s">
        <v>3660</v>
      </c>
      <c r="U375" t="s">
        <v>3185</v>
      </c>
      <c r="W375" t="s">
        <v>3670</v>
      </c>
      <c r="Y375">
        <v>347</v>
      </c>
      <c r="Z375" t="s">
        <v>3690</v>
      </c>
      <c r="AA375" t="s">
        <v>3696</v>
      </c>
      <c r="AC375" t="s">
        <v>4048</v>
      </c>
      <c r="AE375" t="s">
        <v>5165</v>
      </c>
      <c r="AF375">
        <v>40</v>
      </c>
      <c r="AG375" t="s">
        <v>5813</v>
      </c>
      <c r="AI375">
        <v>42</v>
      </c>
      <c r="AJ375">
        <v>2</v>
      </c>
      <c r="AK375">
        <v>0</v>
      </c>
      <c r="AL375">
        <v>61.5</v>
      </c>
      <c r="AO375" t="s">
        <v>5843</v>
      </c>
      <c r="AP375">
        <v>10400</v>
      </c>
      <c r="AV375">
        <v>6.5</v>
      </c>
      <c r="AW375" t="s">
        <v>234</v>
      </c>
      <c r="AX375" t="s">
        <v>75</v>
      </c>
    </row>
    <row r="376" spans="1:50">
      <c r="A376" s="1">
        <f>HYPERLINK("https://lsnyc.legalserver.org/matter/dynamic-profile/view/1908611","19-1908611")</f>
        <v>0</v>
      </c>
      <c r="B376" t="s">
        <v>92</v>
      </c>
      <c r="C376" t="s">
        <v>191</v>
      </c>
      <c r="D376" t="s">
        <v>231</v>
      </c>
      <c r="F376" t="s">
        <v>725</v>
      </c>
      <c r="G376" t="s">
        <v>1471</v>
      </c>
      <c r="H376" t="s">
        <v>2223</v>
      </c>
      <c r="I376" t="s">
        <v>2963</v>
      </c>
      <c r="J376" t="s">
        <v>3148</v>
      </c>
      <c r="K376">
        <v>11239</v>
      </c>
      <c r="L376" t="s">
        <v>3187</v>
      </c>
      <c r="M376" t="s">
        <v>3189</v>
      </c>
      <c r="N376" t="s">
        <v>3186</v>
      </c>
      <c r="O376" t="s">
        <v>3336</v>
      </c>
      <c r="P376" t="s">
        <v>3613</v>
      </c>
      <c r="Q376" t="s">
        <v>3637</v>
      </c>
      <c r="T376" t="s">
        <v>3660</v>
      </c>
      <c r="U376" t="s">
        <v>3184</v>
      </c>
      <c r="W376" t="s">
        <v>3670</v>
      </c>
      <c r="Y376">
        <v>434</v>
      </c>
      <c r="Z376" t="s">
        <v>3691</v>
      </c>
      <c r="AA376" t="s">
        <v>3701</v>
      </c>
      <c r="AC376" t="s">
        <v>4056</v>
      </c>
      <c r="AD376" t="s">
        <v>3188</v>
      </c>
      <c r="AE376" t="s">
        <v>5172</v>
      </c>
      <c r="AF376">
        <v>132</v>
      </c>
      <c r="AG376" t="s">
        <v>5816</v>
      </c>
      <c r="AH376" t="s">
        <v>3632</v>
      </c>
      <c r="AI376">
        <v>4</v>
      </c>
      <c r="AJ376">
        <v>1</v>
      </c>
      <c r="AK376">
        <v>0</v>
      </c>
      <c r="AL376">
        <v>144.12</v>
      </c>
      <c r="AO376" t="s">
        <v>5843</v>
      </c>
      <c r="AP376">
        <v>18000</v>
      </c>
      <c r="AV376">
        <v>2.1</v>
      </c>
      <c r="AW376" t="s">
        <v>291</v>
      </c>
      <c r="AX376" t="s">
        <v>6021</v>
      </c>
    </row>
    <row r="377" spans="1:50">
      <c r="A377" s="1">
        <f>HYPERLINK("https://lsnyc.legalserver.org/matter/dynamic-profile/view/1909999","19-1909999")</f>
        <v>0</v>
      </c>
      <c r="B377" t="s">
        <v>92</v>
      </c>
      <c r="C377" t="s">
        <v>191</v>
      </c>
      <c r="D377" t="s">
        <v>243</v>
      </c>
      <c r="F377" t="s">
        <v>726</v>
      </c>
      <c r="G377" t="s">
        <v>1472</v>
      </c>
      <c r="H377" t="s">
        <v>2224</v>
      </c>
      <c r="I377" t="s">
        <v>2854</v>
      </c>
      <c r="J377" t="s">
        <v>3148</v>
      </c>
      <c r="K377">
        <v>11207</v>
      </c>
      <c r="L377" t="s">
        <v>3186</v>
      </c>
      <c r="N377" t="s">
        <v>3186</v>
      </c>
      <c r="O377" t="s">
        <v>3337</v>
      </c>
      <c r="P377" t="s">
        <v>3610</v>
      </c>
      <c r="Q377" t="s">
        <v>3637</v>
      </c>
      <c r="T377" t="s">
        <v>3660</v>
      </c>
      <c r="U377" t="s">
        <v>3184</v>
      </c>
      <c r="W377" t="s">
        <v>3670</v>
      </c>
      <c r="Y377">
        <v>584</v>
      </c>
      <c r="Z377" t="s">
        <v>3691</v>
      </c>
      <c r="AA377" t="s">
        <v>3696</v>
      </c>
      <c r="AC377" t="s">
        <v>4057</v>
      </c>
      <c r="AD377" t="s">
        <v>3257</v>
      </c>
      <c r="AE377" t="s">
        <v>5173</v>
      </c>
      <c r="AF377">
        <v>16</v>
      </c>
      <c r="AG377" t="s">
        <v>5813</v>
      </c>
      <c r="AH377" t="s">
        <v>3188</v>
      </c>
      <c r="AI377">
        <v>8</v>
      </c>
      <c r="AJ377">
        <v>1</v>
      </c>
      <c r="AK377">
        <v>0</v>
      </c>
      <c r="AL377">
        <v>320.26</v>
      </c>
      <c r="AO377" t="s">
        <v>5843</v>
      </c>
      <c r="AP377">
        <v>40000</v>
      </c>
      <c r="AV377">
        <v>0</v>
      </c>
      <c r="AX377" t="s">
        <v>82</v>
      </c>
    </row>
    <row r="378" spans="1:50">
      <c r="A378" s="1">
        <f>HYPERLINK("https://lsnyc.legalserver.org/matter/dynamic-profile/view/1908088","19-1908088")</f>
        <v>0</v>
      </c>
      <c r="B378" t="s">
        <v>111</v>
      </c>
      <c r="C378" t="s">
        <v>192</v>
      </c>
      <c r="D378" t="s">
        <v>195</v>
      </c>
      <c r="E378" t="s">
        <v>211</v>
      </c>
      <c r="F378" t="s">
        <v>684</v>
      </c>
      <c r="G378" t="s">
        <v>1429</v>
      </c>
      <c r="H378" t="s">
        <v>2181</v>
      </c>
      <c r="I378" t="s">
        <v>2952</v>
      </c>
      <c r="J378" t="s">
        <v>3148</v>
      </c>
      <c r="K378">
        <v>11208</v>
      </c>
      <c r="L378" t="s">
        <v>3186</v>
      </c>
      <c r="N378" t="s">
        <v>3186</v>
      </c>
      <c r="P378" t="s">
        <v>3610</v>
      </c>
      <c r="Q378" t="s">
        <v>3634</v>
      </c>
      <c r="R378" t="s">
        <v>3642</v>
      </c>
      <c r="T378" t="s">
        <v>3660</v>
      </c>
      <c r="W378" t="s">
        <v>3670</v>
      </c>
      <c r="Y378">
        <v>0</v>
      </c>
      <c r="Z378" t="s">
        <v>3691</v>
      </c>
      <c r="AA378" t="s">
        <v>3698</v>
      </c>
      <c r="AB378" t="s">
        <v>3712</v>
      </c>
      <c r="AC378" t="s">
        <v>4005</v>
      </c>
      <c r="AE378" t="s">
        <v>5126</v>
      </c>
      <c r="AF378">
        <v>0</v>
      </c>
      <c r="AI378">
        <v>0</v>
      </c>
      <c r="AJ378">
        <v>2</v>
      </c>
      <c r="AK378">
        <v>2</v>
      </c>
      <c r="AL378">
        <v>100.97</v>
      </c>
      <c r="AO378" t="s">
        <v>5854</v>
      </c>
      <c r="AP378">
        <v>26000</v>
      </c>
      <c r="AV378">
        <v>0.2</v>
      </c>
      <c r="AW378" t="s">
        <v>286</v>
      </c>
      <c r="AX378" t="s">
        <v>6033</v>
      </c>
    </row>
    <row r="379" spans="1:50">
      <c r="A379" s="1">
        <f>HYPERLINK("https://lsnyc.legalserver.org/matter/dynamic-profile/view/1907315","19-1907315")</f>
        <v>0</v>
      </c>
      <c r="B379" t="s">
        <v>60</v>
      </c>
      <c r="C379" t="s">
        <v>191</v>
      </c>
      <c r="D379" t="s">
        <v>290</v>
      </c>
      <c r="F379" t="s">
        <v>528</v>
      </c>
      <c r="G379" t="s">
        <v>1473</v>
      </c>
      <c r="H379" t="s">
        <v>2225</v>
      </c>
      <c r="I379">
        <v>9</v>
      </c>
      <c r="J379" t="s">
        <v>3147</v>
      </c>
      <c r="K379">
        <v>10451</v>
      </c>
      <c r="L379" t="s">
        <v>3185</v>
      </c>
      <c r="M379" t="s">
        <v>3189</v>
      </c>
      <c r="N379" t="s">
        <v>3186</v>
      </c>
      <c r="Q379" t="s">
        <v>3634</v>
      </c>
      <c r="T379" t="s">
        <v>3660</v>
      </c>
      <c r="U379" t="s">
        <v>3185</v>
      </c>
      <c r="W379" t="s">
        <v>3670</v>
      </c>
      <c r="Y379">
        <v>1142</v>
      </c>
      <c r="Z379" t="s">
        <v>3690</v>
      </c>
      <c r="AA379" t="s">
        <v>3700</v>
      </c>
      <c r="AC379" t="s">
        <v>4058</v>
      </c>
      <c r="AE379" t="s">
        <v>5174</v>
      </c>
      <c r="AF379">
        <v>14</v>
      </c>
      <c r="AG379" t="s">
        <v>3263</v>
      </c>
      <c r="AH379" t="s">
        <v>3188</v>
      </c>
      <c r="AI379">
        <v>14</v>
      </c>
      <c r="AJ379">
        <v>3</v>
      </c>
      <c r="AK379">
        <v>3</v>
      </c>
      <c r="AL379">
        <v>75.17</v>
      </c>
      <c r="AO379" t="s">
        <v>5844</v>
      </c>
      <c r="AP379">
        <v>26000</v>
      </c>
      <c r="AV379">
        <v>0</v>
      </c>
      <c r="AX379" t="s">
        <v>83</v>
      </c>
    </row>
    <row r="380" spans="1:50">
      <c r="A380" s="1">
        <f>HYPERLINK("https://lsnyc.legalserver.org/matter/dynamic-profile/view/1899726","19-1899726")</f>
        <v>0</v>
      </c>
      <c r="B380" t="s">
        <v>60</v>
      </c>
      <c r="C380" t="s">
        <v>191</v>
      </c>
      <c r="D380" t="s">
        <v>239</v>
      </c>
      <c r="F380" t="s">
        <v>439</v>
      </c>
      <c r="G380" t="s">
        <v>1474</v>
      </c>
      <c r="H380" t="s">
        <v>2226</v>
      </c>
      <c r="I380">
        <v>220</v>
      </c>
      <c r="J380" t="s">
        <v>3147</v>
      </c>
      <c r="K380">
        <v>10459</v>
      </c>
      <c r="L380" t="s">
        <v>3185</v>
      </c>
      <c r="M380" t="s">
        <v>3189</v>
      </c>
      <c r="N380" t="s">
        <v>3186</v>
      </c>
      <c r="Q380" t="s">
        <v>3636</v>
      </c>
      <c r="T380" t="s">
        <v>3660</v>
      </c>
      <c r="U380" t="s">
        <v>3184</v>
      </c>
      <c r="W380" t="s">
        <v>3670</v>
      </c>
      <c r="Y380">
        <v>1041</v>
      </c>
      <c r="Z380" t="s">
        <v>3690</v>
      </c>
      <c r="AA380" t="s">
        <v>3700</v>
      </c>
      <c r="AC380" t="s">
        <v>4059</v>
      </c>
      <c r="AE380" t="s">
        <v>5175</v>
      </c>
      <c r="AF380">
        <v>141</v>
      </c>
      <c r="AG380" t="s">
        <v>3263</v>
      </c>
      <c r="AH380" t="s">
        <v>5825</v>
      </c>
      <c r="AI380">
        <v>3</v>
      </c>
      <c r="AJ380">
        <v>1</v>
      </c>
      <c r="AK380">
        <v>2</v>
      </c>
      <c r="AL380">
        <v>78.95</v>
      </c>
      <c r="AO380" t="s">
        <v>5844</v>
      </c>
      <c r="AP380">
        <v>16840</v>
      </c>
      <c r="AQ380" t="s">
        <v>5889</v>
      </c>
      <c r="AV380">
        <v>0.8</v>
      </c>
      <c r="AW380" t="s">
        <v>324</v>
      </c>
      <c r="AX380" t="s">
        <v>83</v>
      </c>
    </row>
    <row r="381" spans="1:50">
      <c r="A381" s="1">
        <f>HYPERLINK("https://lsnyc.legalserver.org/matter/dynamic-profile/view/1907322","19-1907322")</f>
        <v>0</v>
      </c>
      <c r="B381" t="s">
        <v>60</v>
      </c>
      <c r="C381" t="s">
        <v>191</v>
      </c>
      <c r="D381" t="s">
        <v>292</v>
      </c>
      <c r="F381" t="s">
        <v>727</v>
      </c>
      <c r="G381" t="s">
        <v>1475</v>
      </c>
      <c r="H381" t="s">
        <v>2225</v>
      </c>
      <c r="I381">
        <v>10</v>
      </c>
      <c r="J381" t="s">
        <v>3147</v>
      </c>
      <c r="K381">
        <v>10451</v>
      </c>
      <c r="L381" t="s">
        <v>3185</v>
      </c>
      <c r="M381" t="s">
        <v>3189</v>
      </c>
      <c r="N381" t="s">
        <v>3186</v>
      </c>
      <c r="Q381" t="s">
        <v>3634</v>
      </c>
      <c r="T381" t="s">
        <v>3660</v>
      </c>
      <c r="U381" t="s">
        <v>3185</v>
      </c>
      <c r="W381" t="s">
        <v>3670</v>
      </c>
      <c r="X381" t="s">
        <v>3681</v>
      </c>
      <c r="Y381">
        <v>787</v>
      </c>
      <c r="Z381" t="s">
        <v>3690</v>
      </c>
      <c r="AA381" t="s">
        <v>3700</v>
      </c>
      <c r="AC381" t="s">
        <v>4060</v>
      </c>
      <c r="AE381" t="s">
        <v>5176</v>
      </c>
      <c r="AF381">
        <v>14</v>
      </c>
      <c r="AG381" t="s">
        <v>5813</v>
      </c>
      <c r="AH381" t="s">
        <v>3188</v>
      </c>
      <c r="AI381">
        <v>30</v>
      </c>
      <c r="AJ381">
        <v>3</v>
      </c>
      <c r="AK381">
        <v>1</v>
      </c>
      <c r="AL381">
        <v>135.92</v>
      </c>
      <c r="AO381" t="s">
        <v>5844</v>
      </c>
      <c r="AP381">
        <v>35000</v>
      </c>
      <c r="AV381">
        <v>0</v>
      </c>
      <c r="AX381" t="s">
        <v>83</v>
      </c>
    </row>
    <row r="382" spans="1:50">
      <c r="A382" s="1">
        <f>HYPERLINK("https://lsnyc.legalserver.org/matter/dynamic-profile/view/1887994","19-1887994")</f>
        <v>0</v>
      </c>
      <c r="B382" t="s">
        <v>60</v>
      </c>
      <c r="C382" t="s">
        <v>191</v>
      </c>
      <c r="D382" t="s">
        <v>301</v>
      </c>
      <c r="F382" t="s">
        <v>728</v>
      </c>
      <c r="G382" t="s">
        <v>1199</v>
      </c>
      <c r="H382" t="s">
        <v>2221</v>
      </c>
      <c r="I382" t="s">
        <v>2838</v>
      </c>
      <c r="J382" t="s">
        <v>3147</v>
      </c>
      <c r="K382">
        <v>10456</v>
      </c>
      <c r="L382" t="s">
        <v>3185</v>
      </c>
      <c r="N382" t="s">
        <v>3185</v>
      </c>
      <c r="P382" t="s">
        <v>3624</v>
      </c>
      <c r="Q382" t="s">
        <v>3637</v>
      </c>
      <c r="T382" t="s">
        <v>3660</v>
      </c>
      <c r="U382" t="s">
        <v>3185</v>
      </c>
      <c r="W382" t="s">
        <v>3670</v>
      </c>
      <c r="Y382">
        <v>375</v>
      </c>
      <c r="Z382" t="s">
        <v>3690</v>
      </c>
      <c r="AA382" t="s">
        <v>3694</v>
      </c>
      <c r="AE382" t="s">
        <v>5177</v>
      </c>
      <c r="AF382">
        <v>17</v>
      </c>
      <c r="AG382" t="s">
        <v>5811</v>
      </c>
      <c r="AH382" t="s">
        <v>3188</v>
      </c>
      <c r="AI382">
        <v>60</v>
      </c>
      <c r="AJ382">
        <v>3</v>
      </c>
      <c r="AK382">
        <v>0</v>
      </c>
      <c r="AL382">
        <v>172.09</v>
      </c>
      <c r="AO382" t="s">
        <v>5844</v>
      </c>
      <c r="AP382">
        <v>36707.84</v>
      </c>
      <c r="AV382">
        <v>1</v>
      </c>
      <c r="AW382" t="s">
        <v>301</v>
      </c>
      <c r="AX382" t="s">
        <v>166</v>
      </c>
    </row>
    <row r="383" spans="1:50">
      <c r="A383" s="1">
        <f>HYPERLINK("https://lsnyc.legalserver.org/matter/dynamic-profile/view/1907325","19-1907325")</f>
        <v>0</v>
      </c>
      <c r="B383" t="s">
        <v>60</v>
      </c>
      <c r="C383" t="s">
        <v>191</v>
      </c>
      <c r="D383" t="s">
        <v>302</v>
      </c>
      <c r="F383" t="s">
        <v>729</v>
      </c>
      <c r="G383" t="s">
        <v>1476</v>
      </c>
      <c r="H383" t="s">
        <v>2225</v>
      </c>
      <c r="I383">
        <v>1</v>
      </c>
      <c r="J383" t="s">
        <v>3147</v>
      </c>
      <c r="K383">
        <v>10451</v>
      </c>
      <c r="L383" t="s">
        <v>3185</v>
      </c>
      <c r="M383" t="s">
        <v>3189</v>
      </c>
      <c r="N383" t="s">
        <v>3186</v>
      </c>
      <c r="Q383" t="s">
        <v>3634</v>
      </c>
      <c r="T383" t="s">
        <v>3660</v>
      </c>
      <c r="U383" t="s">
        <v>3185</v>
      </c>
      <c r="W383" t="s">
        <v>3670</v>
      </c>
      <c r="X383" t="s">
        <v>3681</v>
      </c>
      <c r="Y383">
        <v>1098</v>
      </c>
      <c r="Z383" t="s">
        <v>3690</v>
      </c>
      <c r="AA383" t="s">
        <v>3700</v>
      </c>
      <c r="AC383" t="s">
        <v>4061</v>
      </c>
      <c r="AE383" t="s">
        <v>5178</v>
      </c>
      <c r="AF383">
        <v>14</v>
      </c>
      <c r="AG383" t="s">
        <v>5813</v>
      </c>
      <c r="AH383" t="s">
        <v>3188</v>
      </c>
      <c r="AI383">
        <v>7</v>
      </c>
      <c r="AJ383">
        <v>1</v>
      </c>
      <c r="AK383">
        <v>0</v>
      </c>
      <c r="AL383">
        <v>200.16</v>
      </c>
      <c r="AO383" t="s">
        <v>5843</v>
      </c>
      <c r="AP383">
        <v>25000</v>
      </c>
      <c r="AV383">
        <v>0</v>
      </c>
      <c r="AX383" t="s">
        <v>83</v>
      </c>
    </row>
    <row r="384" spans="1:50">
      <c r="A384" s="1">
        <f>HYPERLINK("https://lsnyc.legalserver.org/matter/dynamic-profile/view/1857317","18-1857317")</f>
        <v>0</v>
      </c>
      <c r="B384" t="s">
        <v>60</v>
      </c>
      <c r="C384" t="s">
        <v>191</v>
      </c>
      <c r="D384" t="s">
        <v>300</v>
      </c>
      <c r="F384" t="s">
        <v>730</v>
      </c>
      <c r="G384" t="s">
        <v>1477</v>
      </c>
      <c r="H384" t="s">
        <v>1997</v>
      </c>
      <c r="I384" t="s">
        <v>2964</v>
      </c>
      <c r="J384" t="s">
        <v>3147</v>
      </c>
      <c r="K384">
        <v>10452</v>
      </c>
      <c r="L384" t="s">
        <v>3185</v>
      </c>
      <c r="N384" t="s">
        <v>3186</v>
      </c>
      <c r="O384" t="s">
        <v>3219</v>
      </c>
      <c r="P384" t="s">
        <v>3618</v>
      </c>
      <c r="Q384" t="s">
        <v>3639</v>
      </c>
      <c r="T384" t="s">
        <v>3660</v>
      </c>
      <c r="U384" t="s">
        <v>3185</v>
      </c>
      <c r="W384" t="s">
        <v>3670</v>
      </c>
      <c r="Y384">
        <v>1038.43</v>
      </c>
      <c r="Z384" t="s">
        <v>3690</v>
      </c>
      <c r="AA384" t="s">
        <v>3700</v>
      </c>
      <c r="AC384" t="s">
        <v>4062</v>
      </c>
      <c r="AE384" t="s">
        <v>5179</v>
      </c>
      <c r="AF384">
        <v>122</v>
      </c>
      <c r="AG384" t="s">
        <v>5813</v>
      </c>
      <c r="AI384">
        <v>8</v>
      </c>
      <c r="AJ384">
        <v>2</v>
      </c>
      <c r="AK384">
        <v>1</v>
      </c>
      <c r="AL384">
        <v>221.36</v>
      </c>
      <c r="AO384" t="s">
        <v>5843</v>
      </c>
      <c r="AP384">
        <v>45202.56</v>
      </c>
      <c r="AV384">
        <v>0</v>
      </c>
      <c r="AX384" t="s">
        <v>6019</v>
      </c>
    </row>
    <row r="385" spans="1:50">
      <c r="A385" s="1">
        <f>HYPERLINK("https://lsnyc.legalserver.org/matter/dynamic-profile/view/1904698","19-1904698")</f>
        <v>0</v>
      </c>
      <c r="B385" t="s">
        <v>60</v>
      </c>
      <c r="C385" t="s">
        <v>191</v>
      </c>
      <c r="D385" t="s">
        <v>214</v>
      </c>
      <c r="F385" t="s">
        <v>731</v>
      </c>
      <c r="G385" t="s">
        <v>1478</v>
      </c>
      <c r="H385" t="s">
        <v>2225</v>
      </c>
      <c r="I385">
        <v>12</v>
      </c>
      <c r="J385" t="s">
        <v>3147</v>
      </c>
      <c r="K385">
        <v>10451</v>
      </c>
      <c r="L385" t="s">
        <v>3185</v>
      </c>
      <c r="M385" t="s">
        <v>3189</v>
      </c>
      <c r="N385" t="s">
        <v>3186</v>
      </c>
      <c r="P385" t="s">
        <v>3624</v>
      </c>
      <c r="Q385" t="s">
        <v>3637</v>
      </c>
      <c r="T385" t="s">
        <v>3660</v>
      </c>
      <c r="U385" t="s">
        <v>3185</v>
      </c>
      <c r="W385" t="s">
        <v>3670</v>
      </c>
      <c r="Y385">
        <v>0</v>
      </c>
      <c r="Z385" t="s">
        <v>3690</v>
      </c>
      <c r="AA385" t="s">
        <v>3697</v>
      </c>
      <c r="AC385" t="s">
        <v>4063</v>
      </c>
      <c r="AE385" t="s">
        <v>5180</v>
      </c>
      <c r="AF385">
        <v>13</v>
      </c>
      <c r="AG385" t="s">
        <v>5813</v>
      </c>
      <c r="AH385" t="s">
        <v>3188</v>
      </c>
      <c r="AI385">
        <v>5</v>
      </c>
      <c r="AJ385">
        <v>3</v>
      </c>
      <c r="AK385">
        <v>0</v>
      </c>
      <c r="AL385">
        <v>234.41</v>
      </c>
      <c r="AO385" t="s">
        <v>5843</v>
      </c>
      <c r="AP385">
        <v>50000</v>
      </c>
      <c r="AV385">
        <v>23.45</v>
      </c>
      <c r="AW385" t="s">
        <v>221</v>
      </c>
      <c r="AX385" t="s">
        <v>75</v>
      </c>
    </row>
    <row r="386" spans="1:50">
      <c r="A386" s="1">
        <f>HYPERLINK("https://lsnyc.legalserver.org/matter/dynamic-profile/view/1899796","19-1899796")</f>
        <v>0</v>
      </c>
      <c r="B386" t="s">
        <v>112</v>
      </c>
      <c r="C386" t="s">
        <v>192</v>
      </c>
      <c r="D386" t="s">
        <v>204</v>
      </c>
      <c r="E386" t="s">
        <v>252</v>
      </c>
      <c r="F386" t="s">
        <v>732</v>
      </c>
      <c r="G386" t="s">
        <v>1479</v>
      </c>
      <c r="H386" t="s">
        <v>2227</v>
      </c>
      <c r="I386" t="s">
        <v>2838</v>
      </c>
      <c r="J386" t="s">
        <v>3148</v>
      </c>
      <c r="K386">
        <v>11212</v>
      </c>
      <c r="L386" t="s">
        <v>3186</v>
      </c>
      <c r="N386" t="s">
        <v>3186</v>
      </c>
      <c r="O386" t="s">
        <v>3338</v>
      </c>
      <c r="P386" t="s">
        <v>3610</v>
      </c>
      <c r="Q386" t="s">
        <v>3636</v>
      </c>
      <c r="R386" t="s">
        <v>3643</v>
      </c>
      <c r="T386" t="s">
        <v>3660</v>
      </c>
      <c r="W386" t="s">
        <v>3670</v>
      </c>
      <c r="Y386">
        <v>1025</v>
      </c>
      <c r="Z386" t="s">
        <v>3691</v>
      </c>
      <c r="AA386" t="s">
        <v>3697</v>
      </c>
      <c r="AB386" t="s">
        <v>3713</v>
      </c>
      <c r="AC386" t="s">
        <v>4064</v>
      </c>
      <c r="AE386" t="s">
        <v>5181</v>
      </c>
      <c r="AF386">
        <v>0</v>
      </c>
      <c r="AG386" t="s">
        <v>5813</v>
      </c>
      <c r="AH386" t="s">
        <v>5831</v>
      </c>
      <c r="AI386">
        <v>6</v>
      </c>
      <c r="AJ386">
        <v>1</v>
      </c>
      <c r="AK386">
        <v>0</v>
      </c>
      <c r="AL386">
        <v>99.92</v>
      </c>
      <c r="AO386" t="s">
        <v>5843</v>
      </c>
      <c r="AP386">
        <v>12480</v>
      </c>
      <c r="AV386">
        <v>4.75</v>
      </c>
      <c r="AW386" t="s">
        <v>252</v>
      </c>
      <c r="AX386" t="s">
        <v>6021</v>
      </c>
    </row>
    <row r="387" spans="1:50">
      <c r="A387" s="1">
        <f>HYPERLINK("https://lsnyc.legalserver.org/matter/dynamic-profile/view/1887538","19-1887538")</f>
        <v>0</v>
      </c>
      <c r="B387" t="s">
        <v>112</v>
      </c>
      <c r="C387" t="s">
        <v>192</v>
      </c>
      <c r="D387" t="s">
        <v>303</v>
      </c>
      <c r="E387" t="s">
        <v>195</v>
      </c>
      <c r="F387" t="s">
        <v>733</v>
      </c>
      <c r="G387" t="s">
        <v>1245</v>
      </c>
      <c r="H387" t="s">
        <v>2228</v>
      </c>
      <c r="I387" t="s">
        <v>2965</v>
      </c>
      <c r="J387" t="s">
        <v>3148</v>
      </c>
      <c r="K387">
        <v>11233</v>
      </c>
      <c r="L387" t="s">
        <v>3186</v>
      </c>
      <c r="N387" t="s">
        <v>3186</v>
      </c>
      <c r="P387" t="s">
        <v>3613</v>
      </c>
      <c r="Q387" t="s">
        <v>3638</v>
      </c>
      <c r="R387" t="s">
        <v>3644</v>
      </c>
      <c r="T387" t="s">
        <v>3660</v>
      </c>
      <c r="U387" t="s">
        <v>3184</v>
      </c>
      <c r="W387" t="s">
        <v>3670</v>
      </c>
      <c r="Y387">
        <v>1550</v>
      </c>
      <c r="Z387" t="s">
        <v>3691</v>
      </c>
      <c r="AA387" t="s">
        <v>3696</v>
      </c>
      <c r="AB387" t="s">
        <v>3714</v>
      </c>
      <c r="AC387" t="s">
        <v>4065</v>
      </c>
      <c r="AE387" t="s">
        <v>5182</v>
      </c>
      <c r="AF387">
        <v>0</v>
      </c>
      <c r="AI387">
        <v>9</v>
      </c>
      <c r="AJ387">
        <v>2</v>
      </c>
      <c r="AK387">
        <v>0</v>
      </c>
      <c r="AL387">
        <v>68.38</v>
      </c>
      <c r="AO387" t="s">
        <v>5843</v>
      </c>
      <c r="AP387">
        <v>11256</v>
      </c>
      <c r="AR387" t="s">
        <v>5932</v>
      </c>
      <c r="AS387" t="s">
        <v>5944</v>
      </c>
      <c r="AT387" t="s">
        <v>5946</v>
      </c>
      <c r="AU387" t="s">
        <v>5961</v>
      </c>
      <c r="AV387">
        <v>7</v>
      </c>
      <c r="AW387" t="s">
        <v>195</v>
      </c>
      <c r="AX387" t="s">
        <v>6039</v>
      </c>
    </row>
    <row r="388" spans="1:50">
      <c r="A388" s="1">
        <f>HYPERLINK("https://lsnyc.legalserver.org/matter/dynamic-profile/view/1878104","18-1878104")</f>
        <v>0</v>
      </c>
      <c r="B388" t="s">
        <v>112</v>
      </c>
      <c r="C388" t="s">
        <v>192</v>
      </c>
      <c r="D388" t="s">
        <v>304</v>
      </c>
      <c r="E388" t="s">
        <v>251</v>
      </c>
      <c r="F388" t="s">
        <v>734</v>
      </c>
      <c r="G388" t="s">
        <v>1480</v>
      </c>
      <c r="H388" t="s">
        <v>2229</v>
      </c>
      <c r="I388" t="s">
        <v>2830</v>
      </c>
      <c r="J388" t="s">
        <v>3148</v>
      </c>
      <c r="K388">
        <v>11237</v>
      </c>
      <c r="L388" t="s">
        <v>3186</v>
      </c>
      <c r="N388" t="s">
        <v>3186</v>
      </c>
      <c r="Q388" t="s">
        <v>3638</v>
      </c>
      <c r="R388" t="s">
        <v>3644</v>
      </c>
      <c r="T388" t="s">
        <v>3660</v>
      </c>
      <c r="W388" t="s">
        <v>3670</v>
      </c>
      <c r="Y388">
        <v>0</v>
      </c>
      <c r="Z388" t="s">
        <v>3691</v>
      </c>
      <c r="AB388" t="s">
        <v>3720</v>
      </c>
      <c r="AC388" t="s">
        <v>4066</v>
      </c>
      <c r="AE388" t="s">
        <v>5183</v>
      </c>
      <c r="AF388">
        <v>0</v>
      </c>
      <c r="AI388">
        <v>0</v>
      </c>
      <c r="AJ388">
        <v>1</v>
      </c>
      <c r="AK388">
        <v>0</v>
      </c>
      <c r="AL388">
        <v>72.65000000000001</v>
      </c>
      <c r="AO388" t="s">
        <v>5843</v>
      </c>
      <c r="AP388">
        <v>8820</v>
      </c>
      <c r="AR388" t="s">
        <v>5934</v>
      </c>
      <c r="AS388" t="s">
        <v>5945</v>
      </c>
      <c r="AT388" t="s">
        <v>5946</v>
      </c>
      <c r="AU388" t="s">
        <v>5962</v>
      </c>
      <c r="AV388">
        <v>21.9</v>
      </c>
      <c r="AW388" t="s">
        <v>251</v>
      </c>
      <c r="AX388" t="s">
        <v>6039</v>
      </c>
    </row>
    <row r="389" spans="1:50">
      <c r="A389" s="1">
        <f>HYPERLINK("https://lsnyc.legalserver.org/matter/dynamic-profile/view/1880321","18-1880321")</f>
        <v>0</v>
      </c>
      <c r="B389" t="s">
        <v>112</v>
      </c>
      <c r="C389" t="s">
        <v>192</v>
      </c>
      <c r="D389" t="s">
        <v>305</v>
      </c>
      <c r="E389" t="s">
        <v>251</v>
      </c>
      <c r="F389" t="s">
        <v>735</v>
      </c>
      <c r="G389" t="s">
        <v>1207</v>
      </c>
      <c r="H389" t="s">
        <v>2230</v>
      </c>
      <c r="I389" t="s">
        <v>2966</v>
      </c>
      <c r="J389" t="s">
        <v>3148</v>
      </c>
      <c r="K389">
        <v>11208</v>
      </c>
      <c r="L389" t="s">
        <v>3186</v>
      </c>
      <c r="N389" t="s">
        <v>3186</v>
      </c>
      <c r="O389" t="s">
        <v>3339</v>
      </c>
      <c r="P389" t="s">
        <v>3610</v>
      </c>
      <c r="Q389" t="s">
        <v>3638</v>
      </c>
      <c r="R389" t="s">
        <v>3644</v>
      </c>
      <c r="T389" t="s">
        <v>3660</v>
      </c>
      <c r="U389" t="s">
        <v>3184</v>
      </c>
      <c r="W389" t="s">
        <v>3670</v>
      </c>
      <c r="X389" t="s">
        <v>3681</v>
      </c>
      <c r="Y389">
        <v>0</v>
      </c>
      <c r="Z389" t="s">
        <v>3691</v>
      </c>
      <c r="AA389" t="s">
        <v>3696</v>
      </c>
      <c r="AB389" t="s">
        <v>3714</v>
      </c>
      <c r="AC389" t="s">
        <v>4067</v>
      </c>
      <c r="AE389" t="s">
        <v>5184</v>
      </c>
      <c r="AF389">
        <v>294</v>
      </c>
      <c r="AG389" t="s">
        <v>5816</v>
      </c>
      <c r="AH389" t="s">
        <v>5831</v>
      </c>
      <c r="AI389">
        <v>5</v>
      </c>
      <c r="AJ389">
        <v>1</v>
      </c>
      <c r="AK389">
        <v>0</v>
      </c>
      <c r="AL389">
        <v>84.70999999999999</v>
      </c>
      <c r="AO389" t="s">
        <v>5843</v>
      </c>
      <c r="AP389">
        <v>10284</v>
      </c>
      <c r="AR389" t="s">
        <v>5931</v>
      </c>
      <c r="AS389" t="s">
        <v>5938</v>
      </c>
      <c r="AT389" t="s">
        <v>5946</v>
      </c>
      <c r="AU389" t="s">
        <v>5963</v>
      </c>
      <c r="AV389">
        <v>18.3</v>
      </c>
      <c r="AW389" t="s">
        <v>251</v>
      </c>
      <c r="AX389" t="s">
        <v>6021</v>
      </c>
    </row>
    <row r="390" spans="1:50">
      <c r="A390" s="1">
        <f>HYPERLINK("https://lsnyc.legalserver.org/matter/dynamic-profile/view/1907805","19-1907805")</f>
        <v>0</v>
      </c>
      <c r="B390" t="s">
        <v>60</v>
      </c>
      <c r="C390" t="s">
        <v>191</v>
      </c>
      <c r="D390" t="s">
        <v>225</v>
      </c>
      <c r="F390" t="s">
        <v>512</v>
      </c>
      <c r="G390" t="s">
        <v>1481</v>
      </c>
      <c r="H390" t="s">
        <v>2231</v>
      </c>
      <c r="I390" t="s">
        <v>2967</v>
      </c>
      <c r="J390" t="s">
        <v>3147</v>
      </c>
      <c r="K390">
        <v>10457</v>
      </c>
      <c r="L390" t="s">
        <v>3185</v>
      </c>
      <c r="M390" t="s">
        <v>3189</v>
      </c>
      <c r="N390" t="s">
        <v>3186</v>
      </c>
      <c r="T390" t="s">
        <v>3660</v>
      </c>
      <c r="U390" t="s">
        <v>3185</v>
      </c>
      <c r="W390" t="s">
        <v>3670</v>
      </c>
      <c r="Y390">
        <v>0</v>
      </c>
      <c r="Z390" t="s">
        <v>3690</v>
      </c>
      <c r="AA390" t="s">
        <v>3700</v>
      </c>
      <c r="AC390" t="s">
        <v>4068</v>
      </c>
      <c r="AE390" t="s">
        <v>5185</v>
      </c>
      <c r="AF390">
        <v>0</v>
      </c>
      <c r="AG390" t="s">
        <v>3263</v>
      </c>
      <c r="AH390" t="s">
        <v>3188</v>
      </c>
      <c r="AI390">
        <v>5</v>
      </c>
      <c r="AJ390">
        <v>2</v>
      </c>
      <c r="AK390">
        <v>1</v>
      </c>
      <c r="AL390">
        <v>37.82</v>
      </c>
      <c r="AO390" t="s">
        <v>5843</v>
      </c>
      <c r="AP390">
        <v>8066.4</v>
      </c>
      <c r="AV390">
        <v>0</v>
      </c>
      <c r="AX390" t="s">
        <v>6019</v>
      </c>
    </row>
    <row r="391" spans="1:50">
      <c r="A391" s="1">
        <f>HYPERLINK("https://lsnyc.legalserver.org/matter/dynamic-profile/view/1907807","19-1907807")</f>
        <v>0</v>
      </c>
      <c r="B391" t="s">
        <v>60</v>
      </c>
      <c r="C391" t="s">
        <v>191</v>
      </c>
      <c r="D391" t="s">
        <v>225</v>
      </c>
      <c r="F391" t="s">
        <v>736</v>
      </c>
      <c r="G391" t="s">
        <v>1482</v>
      </c>
      <c r="H391" t="s">
        <v>2232</v>
      </c>
      <c r="I391" t="s">
        <v>2968</v>
      </c>
      <c r="J391" t="s">
        <v>3147</v>
      </c>
      <c r="K391">
        <v>10467</v>
      </c>
      <c r="L391" t="s">
        <v>3185</v>
      </c>
      <c r="M391" t="s">
        <v>3189</v>
      </c>
      <c r="N391" t="s">
        <v>3186</v>
      </c>
      <c r="T391" t="s">
        <v>3660</v>
      </c>
      <c r="U391" t="s">
        <v>3185</v>
      </c>
      <c r="W391" t="s">
        <v>3670</v>
      </c>
      <c r="Y391">
        <v>1531.65</v>
      </c>
      <c r="Z391" t="s">
        <v>3690</v>
      </c>
      <c r="AA391" t="s">
        <v>3700</v>
      </c>
      <c r="AC391" t="s">
        <v>4069</v>
      </c>
      <c r="AD391">
        <v>4043580</v>
      </c>
      <c r="AE391" t="s">
        <v>5186</v>
      </c>
      <c r="AF391">
        <v>0</v>
      </c>
      <c r="AG391" t="s">
        <v>5813</v>
      </c>
      <c r="AH391" t="s">
        <v>5827</v>
      </c>
      <c r="AI391">
        <v>15</v>
      </c>
      <c r="AJ391">
        <v>2</v>
      </c>
      <c r="AK391">
        <v>0</v>
      </c>
      <c r="AL391">
        <v>66.48999999999999</v>
      </c>
      <c r="AO391" t="s">
        <v>5843</v>
      </c>
      <c r="AP391">
        <v>11244</v>
      </c>
      <c r="AV391">
        <v>0</v>
      </c>
      <c r="AX391" t="s">
        <v>6019</v>
      </c>
    </row>
    <row r="392" spans="1:50">
      <c r="A392" s="1">
        <f>HYPERLINK("https://lsnyc.legalserver.org/matter/dynamic-profile/view/1870497","18-1870497")</f>
        <v>0</v>
      </c>
      <c r="B392" t="s">
        <v>113</v>
      </c>
      <c r="C392" t="s">
        <v>191</v>
      </c>
      <c r="D392" t="s">
        <v>306</v>
      </c>
      <c r="F392" t="s">
        <v>737</v>
      </c>
      <c r="G392" t="s">
        <v>1483</v>
      </c>
      <c r="H392" t="s">
        <v>2233</v>
      </c>
      <c r="I392" t="s">
        <v>2892</v>
      </c>
      <c r="J392" t="s">
        <v>3148</v>
      </c>
      <c r="K392">
        <v>11208</v>
      </c>
      <c r="L392" t="s">
        <v>3186</v>
      </c>
      <c r="N392" t="s">
        <v>3186</v>
      </c>
      <c r="O392" t="s">
        <v>3340</v>
      </c>
      <c r="P392" t="s">
        <v>3612</v>
      </c>
      <c r="T392" t="s">
        <v>3660</v>
      </c>
      <c r="W392" t="s">
        <v>3670</v>
      </c>
      <c r="Y392">
        <v>800</v>
      </c>
      <c r="Z392" t="s">
        <v>3691</v>
      </c>
      <c r="AC392" t="s">
        <v>4070</v>
      </c>
      <c r="AE392" t="s">
        <v>5187</v>
      </c>
      <c r="AF392">
        <v>8</v>
      </c>
      <c r="AG392" t="s">
        <v>5813</v>
      </c>
      <c r="AH392" t="s">
        <v>5825</v>
      </c>
      <c r="AI392">
        <v>0</v>
      </c>
      <c r="AJ392">
        <v>1</v>
      </c>
      <c r="AK392">
        <v>0</v>
      </c>
      <c r="AL392">
        <v>0</v>
      </c>
      <c r="AO392" t="s">
        <v>5843</v>
      </c>
      <c r="AP392">
        <v>0</v>
      </c>
      <c r="AV392">
        <v>24.5</v>
      </c>
      <c r="AW392" t="s">
        <v>231</v>
      </c>
      <c r="AX392" t="s">
        <v>6032</v>
      </c>
    </row>
    <row r="393" spans="1:50">
      <c r="A393" s="1">
        <f>HYPERLINK("https://lsnyc.legalserver.org/matter/dynamic-profile/view/1907479","19-1907479")</f>
        <v>0</v>
      </c>
      <c r="B393" t="s">
        <v>60</v>
      </c>
      <c r="C393" t="s">
        <v>191</v>
      </c>
      <c r="D393" t="s">
        <v>282</v>
      </c>
      <c r="F393" t="s">
        <v>609</v>
      </c>
      <c r="G393" t="s">
        <v>1484</v>
      </c>
      <c r="H393" t="s">
        <v>2234</v>
      </c>
      <c r="I393" t="s">
        <v>2901</v>
      </c>
      <c r="J393" t="s">
        <v>3147</v>
      </c>
      <c r="K393">
        <v>10452</v>
      </c>
      <c r="L393" t="s">
        <v>3185</v>
      </c>
      <c r="M393" t="s">
        <v>3189</v>
      </c>
      <c r="N393" t="s">
        <v>3186</v>
      </c>
      <c r="T393" t="s">
        <v>3661</v>
      </c>
      <c r="U393" t="s">
        <v>3185</v>
      </c>
      <c r="W393" t="s">
        <v>3670</v>
      </c>
      <c r="Y393">
        <v>1400</v>
      </c>
      <c r="Z393" t="s">
        <v>3690</v>
      </c>
      <c r="AA393" t="s">
        <v>3700</v>
      </c>
      <c r="AC393" t="s">
        <v>4071</v>
      </c>
      <c r="AE393" t="s">
        <v>5188</v>
      </c>
      <c r="AF393">
        <v>0</v>
      </c>
      <c r="AG393" t="s">
        <v>5813</v>
      </c>
      <c r="AH393" t="s">
        <v>3188</v>
      </c>
      <c r="AI393">
        <v>9</v>
      </c>
      <c r="AJ393">
        <v>3</v>
      </c>
      <c r="AK393">
        <v>0</v>
      </c>
      <c r="AL393">
        <v>301.23</v>
      </c>
      <c r="AM393" t="s">
        <v>5835</v>
      </c>
      <c r="AN393" t="s">
        <v>5840</v>
      </c>
      <c r="AO393" t="s">
        <v>5843</v>
      </c>
      <c r="AP393">
        <v>64252</v>
      </c>
      <c r="AV393">
        <v>0</v>
      </c>
      <c r="AX393" t="s">
        <v>6019</v>
      </c>
    </row>
    <row r="394" spans="1:50">
      <c r="A394" s="1">
        <f>HYPERLINK("https://lsnyc.legalserver.org/matter/dynamic-profile/view/1907723","19-1907723")</f>
        <v>0</v>
      </c>
      <c r="B394" t="s">
        <v>60</v>
      </c>
      <c r="C394" t="s">
        <v>191</v>
      </c>
      <c r="D394" t="s">
        <v>246</v>
      </c>
      <c r="F394" t="s">
        <v>738</v>
      </c>
      <c r="G394" t="s">
        <v>1485</v>
      </c>
      <c r="H394" t="s">
        <v>2235</v>
      </c>
      <c r="I394">
        <v>52</v>
      </c>
      <c r="J394" t="s">
        <v>3147</v>
      </c>
      <c r="K394">
        <v>10452</v>
      </c>
      <c r="L394" t="s">
        <v>3185</v>
      </c>
      <c r="M394" t="s">
        <v>3189</v>
      </c>
      <c r="N394" t="s">
        <v>3186</v>
      </c>
      <c r="T394" t="s">
        <v>3660</v>
      </c>
      <c r="U394" t="s">
        <v>3185</v>
      </c>
      <c r="W394" t="s">
        <v>3670</v>
      </c>
      <c r="Y394">
        <v>1380.54</v>
      </c>
      <c r="Z394" t="s">
        <v>3690</v>
      </c>
      <c r="AA394" t="s">
        <v>3700</v>
      </c>
      <c r="AC394" t="s">
        <v>4072</v>
      </c>
      <c r="AE394" t="s">
        <v>5189</v>
      </c>
      <c r="AF394">
        <v>31</v>
      </c>
      <c r="AG394" t="s">
        <v>5813</v>
      </c>
      <c r="AH394" t="s">
        <v>3188</v>
      </c>
      <c r="AI394">
        <v>3</v>
      </c>
      <c r="AJ394">
        <v>1</v>
      </c>
      <c r="AK394">
        <v>0</v>
      </c>
      <c r="AL394">
        <v>560.45</v>
      </c>
      <c r="AO394" t="s">
        <v>5843</v>
      </c>
      <c r="AP394">
        <v>70000</v>
      </c>
      <c r="AV394">
        <v>0</v>
      </c>
      <c r="AX394" t="s">
        <v>6019</v>
      </c>
    </row>
    <row r="395" spans="1:50">
      <c r="A395" s="1">
        <f>HYPERLINK("https://lsnyc.legalserver.org/matter/dynamic-profile/view/1870507","18-1870507")</f>
        <v>0</v>
      </c>
      <c r="B395" t="s">
        <v>113</v>
      </c>
      <c r="C395" t="s">
        <v>191</v>
      </c>
      <c r="D395" t="s">
        <v>306</v>
      </c>
      <c r="F395" t="s">
        <v>523</v>
      </c>
      <c r="G395" t="s">
        <v>1486</v>
      </c>
      <c r="H395" t="s">
        <v>2233</v>
      </c>
      <c r="I395" t="s">
        <v>2969</v>
      </c>
      <c r="J395" t="s">
        <v>3148</v>
      </c>
      <c r="K395">
        <v>11208</v>
      </c>
      <c r="L395" t="s">
        <v>3186</v>
      </c>
      <c r="N395" t="s">
        <v>3186</v>
      </c>
      <c r="O395" t="s">
        <v>3340</v>
      </c>
      <c r="P395" t="s">
        <v>3612</v>
      </c>
      <c r="T395" t="s">
        <v>3660</v>
      </c>
      <c r="W395" t="s">
        <v>3670</v>
      </c>
      <c r="Y395">
        <v>700</v>
      </c>
      <c r="Z395" t="s">
        <v>3691</v>
      </c>
      <c r="AC395" t="s">
        <v>4073</v>
      </c>
      <c r="AE395" t="s">
        <v>5190</v>
      </c>
      <c r="AF395">
        <v>0</v>
      </c>
      <c r="AH395" t="s">
        <v>3632</v>
      </c>
      <c r="AI395">
        <v>2</v>
      </c>
      <c r="AJ395">
        <v>1</v>
      </c>
      <c r="AK395">
        <v>0</v>
      </c>
      <c r="AL395">
        <v>0</v>
      </c>
      <c r="AO395" t="s">
        <v>5843</v>
      </c>
      <c r="AP395">
        <v>0</v>
      </c>
      <c r="AV395">
        <v>17.1</v>
      </c>
      <c r="AW395" t="s">
        <v>196</v>
      </c>
      <c r="AX395" t="s">
        <v>6032</v>
      </c>
    </row>
    <row r="396" spans="1:50">
      <c r="A396" s="1">
        <f>HYPERLINK("https://lsnyc.legalserver.org/matter/dynamic-profile/view/1870491","18-1870491")</f>
        <v>0</v>
      </c>
      <c r="B396" t="s">
        <v>113</v>
      </c>
      <c r="C396" t="s">
        <v>191</v>
      </c>
      <c r="D396" t="s">
        <v>306</v>
      </c>
      <c r="F396" t="s">
        <v>739</v>
      </c>
      <c r="G396" t="s">
        <v>1487</v>
      </c>
      <c r="H396" t="s">
        <v>2233</v>
      </c>
      <c r="I396" t="s">
        <v>2827</v>
      </c>
      <c r="J396" t="s">
        <v>3148</v>
      </c>
      <c r="K396">
        <v>11208</v>
      </c>
      <c r="L396" t="s">
        <v>3186</v>
      </c>
      <c r="N396" t="s">
        <v>3186</v>
      </c>
      <c r="O396" t="s">
        <v>3340</v>
      </c>
      <c r="P396" t="s">
        <v>3612</v>
      </c>
      <c r="T396" t="s">
        <v>3660</v>
      </c>
      <c r="W396" t="s">
        <v>3670</v>
      </c>
      <c r="Y396">
        <v>800</v>
      </c>
      <c r="Z396" t="s">
        <v>3691</v>
      </c>
      <c r="AC396" t="s">
        <v>4074</v>
      </c>
      <c r="AE396" t="s">
        <v>5191</v>
      </c>
      <c r="AF396">
        <v>11</v>
      </c>
      <c r="AG396" t="s">
        <v>5814</v>
      </c>
      <c r="AI396">
        <v>2</v>
      </c>
      <c r="AJ396">
        <v>1</v>
      </c>
      <c r="AK396">
        <v>1</v>
      </c>
      <c r="AL396">
        <v>76.48</v>
      </c>
      <c r="AO396" t="s">
        <v>5843</v>
      </c>
      <c r="AP396">
        <v>12588</v>
      </c>
      <c r="AV396">
        <v>33.4</v>
      </c>
      <c r="AW396" t="s">
        <v>429</v>
      </c>
      <c r="AX396" t="s">
        <v>6032</v>
      </c>
    </row>
    <row r="397" spans="1:50">
      <c r="A397" s="1">
        <f>HYPERLINK("https://lsnyc.legalserver.org/matter/dynamic-profile/view/1900040","19-1900040")</f>
        <v>0</v>
      </c>
      <c r="B397" t="s">
        <v>114</v>
      </c>
      <c r="C397" t="s">
        <v>192</v>
      </c>
      <c r="D397" t="s">
        <v>307</v>
      </c>
      <c r="E397" t="s">
        <v>232</v>
      </c>
      <c r="F397" t="s">
        <v>740</v>
      </c>
      <c r="G397" t="s">
        <v>1488</v>
      </c>
      <c r="H397" t="s">
        <v>2236</v>
      </c>
      <c r="I397" t="s">
        <v>2970</v>
      </c>
      <c r="J397" t="s">
        <v>3159</v>
      </c>
      <c r="K397">
        <v>10301</v>
      </c>
      <c r="L397" t="s">
        <v>3185</v>
      </c>
      <c r="M397" t="s">
        <v>3189</v>
      </c>
      <c r="N397" t="s">
        <v>3186</v>
      </c>
      <c r="O397" t="s">
        <v>3341</v>
      </c>
      <c r="P397" t="s">
        <v>3613</v>
      </c>
      <c r="Q397" t="s">
        <v>3638</v>
      </c>
      <c r="R397" t="s">
        <v>3644</v>
      </c>
      <c r="T397" t="s">
        <v>3660</v>
      </c>
      <c r="U397" t="s">
        <v>3184</v>
      </c>
      <c r="W397" t="s">
        <v>3670</v>
      </c>
      <c r="X397" t="s">
        <v>3681</v>
      </c>
      <c r="Y397">
        <v>0</v>
      </c>
      <c r="Z397" t="s">
        <v>3692</v>
      </c>
      <c r="AA397" t="s">
        <v>3706</v>
      </c>
      <c r="AB397" t="s">
        <v>3717</v>
      </c>
      <c r="AC397" t="s">
        <v>4075</v>
      </c>
      <c r="AE397" t="s">
        <v>5192</v>
      </c>
      <c r="AF397">
        <v>2</v>
      </c>
      <c r="AG397" t="s">
        <v>5814</v>
      </c>
      <c r="AH397" t="s">
        <v>3188</v>
      </c>
      <c r="AI397">
        <v>25</v>
      </c>
      <c r="AJ397">
        <v>1</v>
      </c>
      <c r="AK397">
        <v>0</v>
      </c>
      <c r="AL397">
        <v>86.47</v>
      </c>
      <c r="AO397" t="s">
        <v>5843</v>
      </c>
      <c r="AP397">
        <v>10800</v>
      </c>
      <c r="AV397">
        <v>16</v>
      </c>
      <c r="AW397" t="s">
        <v>213</v>
      </c>
      <c r="AX397" t="s">
        <v>6017</v>
      </c>
    </row>
    <row r="398" spans="1:50">
      <c r="A398" s="1">
        <f>HYPERLINK("https://lsnyc.legalserver.org/matter/dynamic-profile/view/1907410","19-1907410")</f>
        <v>0</v>
      </c>
      <c r="B398" t="s">
        <v>68</v>
      </c>
      <c r="C398" t="s">
        <v>192</v>
      </c>
      <c r="D398" t="s">
        <v>253</v>
      </c>
      <c r="E398" t="s">
        <v>244</v>
      </c>
      <c r="F398" t="s">
        <v>741</v>
      </c>
      <c r="G398" t="s">
        <v>1414</v>
      </c>
      <c r="H398" t="s">
        <v>2237</v>
      </c>
      <c r="I398" t="s">
        <v>2971</v>
      </c>
      <c r="J398" t="s">
        <v>3147</v>
      </c>
      <c r="K398">
        <v>10453</v>
      </c>
      <c r="L398" t="s">
        <v>3185</v>
      </c>
      <c r="M398" t="s">
        <v>3189</v>
      </c>
      <c r="N398" t="s">
        <v>3186</v>
      </c>
      <c r="Q398" t="s">
        <v>3634</v>
      </c>
      <c r="R398" t="s">
        <v>3642</v>
      </c>
      <c r="T398" t="s">
        <v>3660</v>
      </c>
      <c r="W398" t="s">
        <v>3670</v>
      </c>
      <c r="Y398">
        <v>1500</v>
      </c>
      <c r="Z398" t="s">
        <v>3690</v>
      </c>
      <c r="AA398" t="s">
        <v>3700</v>
      </c>
      <c r="AB398" t="s">
        <v>3712</v>
      </c>
      <c r="AC398" t="s">
        <v>4076</v>
      </c>
      <c r="AE398" t="s">
        <v>5193</v>
      </c>
      <c r="AF398">
        <v>0</v>
      </c>
      <c r="AH398" t="s">
        <v>3188</v>
      </c>
      <c r="AI398">
        <v>2</v>
      </c>
      <c r="AJ398">
        <v>2</v>
      </c>
      <c r="AK398">
        <v>2</v>
      </c>
      <c r="AL398">
        <v>116.5</v>
      </c>
      <c r="AO398" t="s">
        <v>5843</v>
      </c>
      <c r="AP398">
        <v>30000</v>
      </c>
      <c r="AV398">
        <v>0.1</v>
      </c>
      <c r="AW398" t="s">
        <v>244</v>
      </c>
      <c r="AX398" t="s">
        <v>6019</v>
      </c>
    </row>
    <row r="399" spans="1:50">
      <c r="A399" s="1">
        <f>HYPERLINK("https://lsnyc.legalserver.org/matter/dynamic-profile/view/1875657","18-1875657")</f>
        <v>0</v>
      </c>
      <c r="B399" t="s">
        <v>115</v>
      </c>
      <c r="C399" t="s">
        <v>191</v>
      </c>
      <c r="D399" t="s">
        <v>308</v>
      </c>
      <c r="F399" t="s">
        <v>515</v>
      </c>
      <c r="G399" t="s">
        <v>1489</v>
      </c>
      <c r="H399" t="s">
        <v>2238</v>
      </c>
      <c r="I399" t="s">
        <v>2944</v>
      </c>
      <c r="J399" t="s">
        <v>3148</v>
      </c>
      <c r="K399">
        <v>11233</v>
      </c>
      <c r="L399" t="s">
        <v>3186</v>
      </c>
      <c r="N399" t="s">
        <v>3186</v>
      </c>
      <c r="Q399" t="s">
        <v>3636</v>
      </c>
      <c r="T399" t="s">
        <v>3660</v>
      </c>
      <c r="W399" t="s">
        <v>3670</v>
      </c>
      <c r="Y399">
        <v>0</v>
      </c>
      <c r="Z399" t="s">
        <v>3691</v>
      </c>
      <c r="AC399" t="s">
        <v>4077</v>
      </c>
      <c r="AE399" t="s">
        <v>5194</v>
      </c>
      <c r="AF399">
        <v>0</v>
      </c>
      <c r="AI399">
        <v>0</v>
      </c>
      <c r="AJ399">
        <v>3</v>
      </c>
      <c r="AK399">
        <v>1</v>
      </c>
      <c r="AL399">
        <v>2.39</v>
      </c>
      <c r="AO399" t="s">
        <v>5843</v>
      </c>
      <c r="AP399">
        <v>600</v>
      </c>
      <c r="AV399">
        <v>0.25</v>
      </c>
      <c r="AW399" t="s">
        <v>5976</v>
      </c>
      <c r="AX399" t="s">
        <v>6037</v>
      </c>
    </row>
    <row r="400" spans="1:50">
      <c r="A400" s="1">
        <f>HYPERLINK("https://lsnyc.legalserver.org/matter/dynamic-profile/view/1906454","19-1906454")</f>
        <v>0</v>
      </c>
      <c r="B400" t="s">
        <v>68</v>
      </c>
      <c r="C400" t="s">
        <v>192</v>
      </c>
      <c r="D400" t="s">
        <v>286</v>
      </c>
      <c r="E400" t="s">
        <v>212</v>
      </c>
      <c r="F400" t="s">
        <v>463</v>
      </c>
      <c r="G400" t="s">
        <v>1490</v>
      </c>
      <c r="H400" t="s">
        <v>2239</v>
      </c>
      <c r="J400" t="s">
        <v>3147</v>
      </c>
      <c r="K400">
        <v>10452</v>
      </c>
      <c r="L400" t="s">
        <v>3185</v>
      </c>
      <c r="M400" t="s">
        <v>3189</v>
      </c>
      <c r="N400" t="s">
        <v>3186</v>
      </c>
      <c r="Q400" t="s">
        <v>3636</v>
      </c>
      <c r="R400" t="s">
        <v>3642</v>
      </c>
      <c r="T400" t="s">
        <v>3660</v>
      </c>
      <c r="W400" t="s">
        <v>3670</v>
      </c>
      <c r="Y400">
        <v>1550</v>
      </c>
      <c r="Z400" t="s">
        <v>3690</v>
      </c>
      <c r="AA400" t="s">
        <v>3704</v>
      </c>
      <c r="AB400" t="s">
        <v>3712</v>
      </c>
      <c r="AC400" t="s">
        <v>4078</v>
      </c>
      <c r="AE400" t="s">
        <v>5195</v>
      </c>
      <c r="AF400">
        <v>0</v>
      </c>
      <c r="AI400">
        <v>0</v>
      </c>
      <c r="AJ400">
        <v>1</v>
      </c>
      <c r="AK400">
        <v>0</v>
      </c>
      <c r="AL400">
        <v>333</v>
      </c>
      <c r="AO400" t="s">
        <v>5843</v>
      </c>
      <c r="AP400">
        <v>41592</v>
      </c>
      <c r="AV400">
        <v>1.5</v>
      </c>
      <c r="AW400" t="s">
        <v>226</v>
      </c>
      <c r="AX400" t="s">
        <v>68</v>
      </c>
    </row>
    <row r="401" spans="1:50">
      <c r="A401" s="1">
        <f>HYPERLINK("https://lsnyc.legalserver.org/matter/dynamic-profile/view/1906457","19-1906457")</f>
        <v>0</v>
      </c>
      <c r="B401" t="s">
        <v>68</v>
      </c>
      <c r="C401" t="s">
        <v>192</v>
      </c>
      <c r="D401" t="s">
        <v>212</v>
      </c>
      <c r="E401" t="s">
        <v>212</v>
      </c>
      <c r="F401" t="s">
        <v>742</v>
      </c>
      <c r="G401" t="s">
        <v>553</v>
      </c>
      <c r="H401" t="s">
        <v>2116</v>
      </c>
      <c r="J401" t="s">
        <v>3147</v>
      </c>
      <c r="K401">
        <v>10456</v>
      </c>
      <c r="L401" t="s">
        <v>3185</v>
      </c>
      <c r="N401" t="s">
        <v>3186</v>
      </c>
      <c r="Q401" t="s">
        <v>3636</v>
      </c>
      <c r="R401" t="s">
        <v>3643</v>
      </c>
      <c r="T401" t="s">
        <v>3660</v>
      </c>
      <c r="W401" t="s">
        <v>3670</v>
      </c>
      <c r="Y401">
        <v>1477.82</v>
      </c>
      <c r="Z401" t="s">
        <v>3690</v>
      </c>
      <c r="AB401" t="s">
        <v>3712</v>
      </c>
      <c r="AC401" t="s">
        <v>4079</v>
      </c>
      <c r="AE401" t="s">
        <v>5196</v>
      </c>
      <c r="AF401">
        <v>0</v>
      </c>
      <c r="AH401" t="s">
        <v>5827</v>
      </c>
      <c r="AI401">
        <v>14</v>
      </c>
      <c r="AJ401">
        <v>1</v>
      </c>
      <c r="AK401">
        <v>2</v>
      </c>
      <c r="AL401">
        <v>46.88</v>
      </c>
      <c r="AO401" t="s">
        <v>5843</v>
      </c>
      <c r="AP401">
        <v>10000</v>
      </c>
      <c r="AV401">
        <v>1.65</v>
      </c>
      <c r="AW401" t="s">
        <v>212</v>
      </c>
      <c r="AX401" t="s">
        <v>68</v>
      </c>
    </row>
    <row r="402" spans="1:50">
      <c r="A402" s="1">
        <f>HYPERLINK("https://lsnyc.legalserver.org/matter/dynamic-profile/view/1906451","19-1906451")</f>
        <v>0</v>
      </c>
      <c r="B402" t="s">
        <v>68</v>
      </c>
      <c r="C402" t="s">
        <v>192</v>
      </c>
      <c r="D402" t="s">
        <v>229</v>
      </c>
      <c r="E402" t="s">
        <v>286</v>
      </c>
      <c r="F402" t="s">
        <v>715</v>
      </c>
      <c r="G402" t="s">
        <v>1491</v>
      </c>
      <c r="H402" t="s">
        <v>2240</v>
      </c>
      <c r="J402" t="s">
        <v>3147</v>
      </c>
      <c r="K402">
        <v>10472</v>
      </c>
      <c r="L402" t="s">
        <v>3185</v>
      </c>
      <c r="N402" t="s">
        <v>3186</v>
      </c>
      <c r="P402" t="s">
        <v>3257</v>
      </c>
      <c r="Q402" t="s">
        <v>3636</v>
      </c>
      <c r="R402" t="s">
        <v>3643</v>
      </c>
      <c r="T402" t="s">
        <v>3660</v>
      </c>
      <c r="U402" t="s">
        <v>3184</v>
      </c>
      <c r="W402" t="s">
        <v>3671</v>
      </c>
      <c r="Y402">
        <v>475</v>
      </c>
      <c r="Z402" t="s">
        <v>3690</v>
      </c>
      <c r="AA402" t="s">
        <v>3704</v>
      </c>
      <c r="AB402" t="s">
        <v>3712</v>
      </c>
      <c r="AC402" t="s">
        <v>4080</v>
      </c>
      <c r="AE402" t="s">
        <v>5197</v>
      </c>
      <c r="AF402">
        <v>0</v>
      </c>
      <c r="AG402" t="s">
        <v>5813</v>
      </c>
      <c r="AI402">
        <v>3</v>
      </c>
      <c r="AJ402">
        <v>1</v>
      </c>
      <c r="AK402">
        <v>0</v>
      </c>
      <c r="AL402">
        <v>82.43000000000001</v>
      </c>
      <c r="AO402" t="s">
        <v>5843</v>
      </c>
      <c r="AP402">
        <v>10296</v>
      </c>
      <c r="AV402">
        <v>2.5</v>
      </c>
      <c r="AW402" t="s">
        <v>286</v>
      </c>
      <c r="AX402" t="s">
        <v>68</v>
      </c>
    </row>
    <row r="403" spans="1:50">
      <c r="A403" s="1">
        <f>HYPERLINK("https://lsnyc.legalserver.org/matter/dynamic-profile/view/1909014","19-1909014")</f>
        <v>0</v>
      </c>
      <c r="B403" t="s">
        <v>68</v>
      </c>
      <c r="C403" t="s">
        <v>191</v>
      </c>
      <c r="D403" t="s">
        <v>207</v>
      </c>
      <c r="F403" t="s">
        <v>692</v>
      </c>
      <c r="G403" t="s">
        <v>1492</v>
      </c>
      <c r="H403" t="s">
        <v>2241</v>
      </c>
      <c r="I403" t="s">
        <v>2926</v>
      </c>
      <c r="J403" t="s">
        <v>3147</v>
      </c>
      <c r="K403">
        <v>10457</v>
      </c>
      <c r="L403" t="s">
        <v>3185</v>
      </c>
      <c r="M403" t="s">
        <v>3189</v>
      </c>
      <c r="N403" t="s">
        <v>3186</v>
      </c>
      <c r="Q403" t="s">
        <v>3636</v>
      </c>
      <c r="T403" t="s">
        <v>3660</v>
      </c>
      <c r="U403" t="s">
        <v>3184</v>
      </c>
      <c r="W403" t="s">
        <v>3670</v>
      </c>
      <c r="Y403">
        <v>0</v>
      </c>
      <c r="Z403" t="s">
        <v>3690</v>
      </c>
      <c r="AA403" t="s">
        <v>3700</v>
      </c>
      <c r="AC403" t="s">
        <v>4081</v>
      </c>
      <c r="AE403" t="s">
        <v>5198</v>
      </c>
      <c r="AF403">
        <v>36</v>
      </c>
      <c r="AG403" t="s">
        <v>3263</v>
      </c>
      <c r="AH403" t="s">
        <v>5827</v>
      </c>
      <c r="AI403">
        <v>30</v>
      </c>
      <c r="AJ403">
        <v>1</v>
      </c>
      <c r="AK403">
        <v>0</v>
      </c>
      <c r="AL403">
        <v>60.53</v>
      </c>
      <c r="AO403" t="s">
        <v>5844</v>
      </c>
      <c r="AP403">
        <v>7560</v>
      </c>
      <c r="AV403">
        <v>0.35</v>
      </c>
      <c r="AW403" t="s">
        <v>228</v>
      </c>
      <c r="AX403" t="s">
        <v>78</v>
      </c>
    </row>
    <row r="404" spans="1:50">
      <c r="A404" s="1">
        <f>HYPERLINK("https://lsnyc.legalserver.org/matter/dynamic-profile/view/1909023","19-1909023")</f>
        <v>0</v>
      </c>
      <c r="B404" t="s">
        <v>68</v>
      </c>
      <c r="C404" t="s">
        <v>191</v>
      </c>
      <c r="D404" t="s">
        <v>207</v>
      </c>
      <c r="F404" t="s">
        <v>743</v>
      </c>
      <c r="G404" t="s">
        <v>1493</v>
      </c>
      <c r="H404" t="s">
        <v>2242</v>
      </c>
      <c r="I404" t="s">
        <v>2860</v>
      </c>
      <c r="J404" t="s">
        <v>3147</v>
      </c>
      <c r="K404">
        <v>10453</v>
      </c>
      <c r="L404" t="s">
        <v>3185</v>
      </c>
      <c r="M404" t="s">
        <v>3189</v>
      </c>
      <c r="N404" t="s">
        <v>3186</v>
      </c>
      <c r="Q404" t="s">
        <v>3636</v>
      </c>
      <c r="T404" t="s">
        <v>3660</v>
      </c>
      <c r="U404" t="s">
        <v>3184</v>
      </c>
      <c r="W404" t="s">
        <v>3670</v>
      </c>
      <c r="Y404">
        <v>1542.96</v>
      </c>
      <c r="Z404" t="s">
        <v>3690</v>
      </c>
      <c r="AA404" t="s">
        <v>3700</v>
      </c>
      <c r="AC404" t="s">
        <v>4082</v>
      </c>
      <c r="AE404" t="s">
        <v>5199</v>
      </c>
      <c r="AF404">
        <v>48</v>
      </c>
      <c r="AG404" t="s">
        <v>3263</v>
      </c>
      <c r="AH404" t="s">
        <v>3188</v>
      </c>
      <c r="AI404">
        <v>20</v>
      </c>
      <c r="AJ404">
        <v>2</v>
      </c>
      <c r="AK404">
        <v>0</v>
      </c>
      <c r="AL404">
        <v>91.02</v>
      </c>
      <c r="AO404" t="s">
        <v>5843</v>
      </c>
      <c r="AP404">
        <v>15392</v>
      </c>
      <c r="AV404">
        <v>0.6</v>
      </c>
      <c r="AW404" t="s">
        <v>228</v>
      </c>
      <c r="AX404" t="s">
        <v>78</v>
      </c>
    </row>
    <row r="405" spans="1:50">
      <c r="A405" s="1">
        <f>HYPERLINK("https://lsnyc.legalserver.org/matter/dynamic-profile/view/1904795","19-1904795")</f>
        <v>0</v>
      </c>
      <c r="B405" t="s">
        <v>68</v>
      </c>
      <c r="C405" t="s">
        <v>191</v>
      </c>
      <c r="D405" t="s">
        <v>245</v>
      </c>
      <c r="F405" t="s">
        <v>463</v>
      </c>
      <c r="G405" t="s">
        <v>1365</v>
      </c>
      <c r="H405" t="s">
        <v>2243</v>
      </c>
      <c r="I405" t="s">
        <v>2972</v>
      </c>
      <c r="J405" t="s">
        <v>3147</v>
      </c>
      <c r="K405">
        <v>10457</v>
      </c>
      <c r="L405" t="s">
        <v>3185</v>
      </c>
      <c r="M405" t="s">
        <v>3189</v>
      </c>
      <c r="N405" t="s">
        <v>3186</v>
      </c>
      <c r="Q405" t="s">
        <v>3634</v>
      </c>
      <c r="T405" t="s">
        <v>3660</v>
      </c>
      <c r="U405" t="s">
        <v>3184</v>
      </c>
      <c r="W405" t="s">
        <v>3670</v>
      </c>
      <c r="Y405">
        <v>1476.04</v>
      </c>
      <c r="Z405" t="s">
        <v>3690</v>
      </c>
      <c r="AA405" t="s">
        <v>3700</v>
      </c>
      <c r="AB405" t="s">
        <v>3712</v>
      </c>
      <c r="AC405" t="s">
        <v>4083</v>
      </c>
      <c r="AE405" t="s">
        <v>5200</v>
      </c>
      <c r="AF405">
        <v>222</v>
      </c>
      <c r="AG405" t="s">
        <v>5813</v>
      </c>
      <c r="AH405" t="s">
        <v>3188</v>
      </c>
      <c r="AI405">
        <v>8</v>
      </c>
      <c r="AJ405">
        <v>4</v>
      </c>
      <c r="AK405">
        <v>1</v>
      </c>
      <c r="AL405">
        <v>120.65</v>
      </c>
      <c r="AO405" t="s">
        <v>5844</v>
      </c>
      <c r="AP405">
        <v>36400</v>
      </c>
      <c r="AV405">
        <v>3.5</v>
      </c>
      <c r="AW405" t="s">
        <v>280</v>
      </c>
      <c r="AX405" t="s">
        <v>6024</v>
      </c>
    </row>
    <row r="406" spans="1:50">
      <c r="A406" s="1">
        <f>HYPERLINK("https://lsnyc.legalserver.org/matter/dynamic-profile/view/1908965","19-1908965")</f>
        <v>0</v>
      </c>
      <c r="B406" t="s">
        <v>68</v>
      </c>
      <c r="C406" t="s">
        <v>191</v>
      </c>
      <c r="D406" t="s">
        <v>211</v>
      </c>
      <c r="F406" t="s">
        <v>744</v>
      </c>
      <c r="G406" t="s">
        <v>1494</v>
      </c>
      <c r="H406" t="s">
        <v>2244</v>
      </c>
      <c r="I406" t="s">
        <v>2908</v>
      </c>
      <c r="J406" t="s">
        <v>3147</v>
      </c>
      <c r="K406">
        <v>10457</v>
      </c>
      <c r="L406" t="s">
        <v>3185</v>
      </c>
      <c r="M406" t="s">
        <v>3189</v>
      </c>
      <c r="N406" t="s">
        <v>3186</v>
      </c>
      <c r="T406" t="s">
        <v>3660</v>
      </c>
      <c r="U406" t="s">
        <v>3184</v>
      </c>
      <c r="W406" t="s">
        <v>3670</v>
      </c>
      <c r="Y406">
        <v>291</v>
      </c>
      <c r="Z406" t="s">
        <v>3690</v>
      </c>
      <c r="AA406" t="s">
        <v>3700</v>
      </c>
      <c r="AC406" t="s">
        <v>4084</v>
      </c>
      <c r="AE406" t="s">
        <v>5201</v>
      </c>
      <c r="AF406">
        <v>22</v>
      </c>
      <c r="AG406" t="s">
        <v>5813</v>
      </c>
      <c r="AH406" t="s">
        <v>5827</v>
      </c>
      <c r="AI406">
        <v>12</v>
      </c>
      <c r="AJ406">
        <v>2</v>
      </c>
      <c r="AK406">
        <v>1</v>
      </c>
      <c r="AL406">
        <v>42.66</v>
      </c>
      <c r="AO406" t="s">
        <v>5843</v>
      </c>
      <c r="AP406">
        <v>9100</v>
      </c>
      <c r="AV406">
        <v>0</v>
      </c>
      <c r="AX406" t="s">
        <v>78</v>
      </c>
    </row>
    <row r="407" spans="1:50">
      <c r="A407" s="1">
        <f>HYPERLINK("https://lsnyc.legalserver.org/matter/dynamic-profile/view/1907499","19-1907499")</f>
        <v>0</v>
      </c>
      <c r="B407" t="s">
        <v>68</v>
      </c>
      <c r="C407" t="s">
        <v>191</v>
      </c>
      <c r="D407" t="s">
        <v>282</v>
      </c>
      <c r="F407" t="s">
        <v>745</v>
      </c>
      <c r="G407" t="s">
        <v>1495</v>
      </c>
      <c r="H407" t="s">
        <v>2245</v>
      </c>
      <c r="I407">
        <v>2</v>
      </c>
      <c r="J407" t="s">
        <v>3147</v>
      </c>
      <c r="K407">
        <v>10464</v>
      </c>
      <c r="L407" t="s">
        <v>3185</v>
      </c>
      <c r="M407" t="s">
        <v>3189</v>
      </c>
      <c r="N407" t="s">
        <v>3186</v>
      </c>
      <c r="T407" t="s">
        <v>3660</v>
      </c>
      <c r="U407" t="s">
        <v>3185</v>
      </c>
      <c r="W407" t="s">
        <v>3670</v>
      </c>
      <c r="Y407">
        <v>2700</v>
      </c>
      <c r="Z407" t="s">
        <v>3690</v>
      </c>
      <c r="AA407" t="s">
        <v>3700</v>
      </c>
      <c r="AC407" t="s">
        <v>4085</v>
      </c>
      <c r="AE407" t="s">
        <v>5202</v>
      </c>
      <c r="AF407">
        <v>0</v>
      </c>
      <c r="AG407" t="s">
        <v>3263</v>
      </c>
      <c r="AH407" t="s">
        <v>5828</v>
      </c>
      <c r="AI407">
        <v>4</v>
      </c>
      <c r="AJ407">
        <v>1</v>
      </c>
      <c r="AK407">
        <v>0</v>
      </c>
      <c r="AL407">
        <v>78.20999999999999</v>
      </c>
      <c r="AO407" t="s">
        <v>5843</v>
      </c>
      <c r="AP407">
        <v>9768</v>
      </c>
      <c r="AV407">
        <v>0.5</v>
      </c>
      <c r="AW407" t="s">
        <v>251</v>
      </c>
      <c r="AX407" t="s">
        <v>6019</v>
      </c>
    </row>
    <row r="408" spans="1:50">
      <c r="A408" s="1">
        <f>HYPERLINK("https://lsnyc.legalserver.org/matter/dynamic-profile/view/1909609","19-1909609")</f>
        <v>0</v>
      </c>
      <c r="B408" t="s">
        <v>68</v>
      </c>
      <c r="C408" t="s">
        <v>191</v>
      </c>
      <c r="D408" t="s">
        <v>260</v>
      </c>
      <c r="F408" t="s">
        <v>746</v>
      </c>
      <c r="G408" t="s">
        <v>1496</v>
      </c>
      <c r="H408" t="s">
        <v>2013</v>
      </c>
      <c r="J408" t="s">
        <v>3147</v>
      </c>
      <c r="K408">
        <v>10452</v>
      </c>
      <c r="L408" t="s">
        <v>3185</v>
      </c>
      <c r="M408" t="s">
        <v>3189</v>
      </c>
      <c r="N408" t="s">
        <v>3186</v>
      </c>
      <c r="T408" t="s">
        <v>3660</v>
      </c>
      <c r="U408" t="s">
        <v>3185</v>
      </c>
      <c r="W408" t="s">
        <v>3670</v>
      </c>
      <c r="Y408">
        <v>1926.79</v>
      </c>
      <c r="Z408" t="s">
        <v>3690</v>
      </c>
      <c r="AA408" t="s">
        <v>3700</v>
      </c>
      <c r="AC408" t="s">
        <v>4086</v>
      </c>
      <c r="AE408" t="s">
        <v>5203</v>
      </c>
      <c r="AF408">
        <v>63</v>
      </c>
      <c r="AG408" t="s">
        <v>5813</v>
      </c>
      <c r="AH408" t="s">
        <v>3188</v>
      </c>
      <c r="AI408">
        <v>27</v>
      </c>
      <c r="AJ408">
        <v>1</v>
      </c>
      <c r="AK408">
        <v>0</v>
      </c>
      <c r="AL408">
        <v>160.13</v>
      </c>
      <c r="AP408">
        <v>20000</v>
      </c>
      <c r="AV408">
        <v>0</v>
      </c>
      <c r="AX408" t="s">
        <v>83</v>
      </c>
    </row>
    <row r="409" spans="1:50">
      <c r="A409" s="1">
        <f>HYPERLINK("https://lsnyc.legalserver.org/matter/dynamic-profile/view/1909946","19-1909946")</f>
        <v>0</v>
      </c>
      <c r="B409" t="s">
        <v>68</v>
      </c>
      <c r="C409" t="s">
        <v>191</v>
      </c>
      <c r="D409" t="s">
        <v>243</v>
      </c>
      <c r="F409" t="s">
        <v>488</v>
      </c>
      <c r="G409" t="s">
        <v>1236</v>
      </c>
      <c r="H409" t="s">
        <v>2013</v>
      </c>
      <c r="I409" t="s">
        <v>2832</v>
      </c>
      <c r="J409" t="s">
        <v>3147</v>
      </c>
      <c r="K409">
        <v>10452</v>
      </c>
      <c r="L409" t="s">
        <v>3185</v>
      </c>
      <c r="N409" t="s">
        <v>3186</v>
      </c>
      <c r="T409" t="s">
        <v>3660</v>
      </c>
      <c r="W409" t="s">
        <v>3670</v>
      </c>
      <c r="Y409">
        <v>930.77</v>
      </c>
      <c r="Z409" t="s">
        <v>3690</v>
      </c>
      <c r="AA409" t="s">
        <v>3700</v>
      </c>
      <c r="AC409" t="s">
        <v>3777</v>
      </c>
      <c r="AE409" t="s">
        <v>5204</v>
      </c>
      <c r="AF409">
        <v>63</v>
      </c>
      <c r="AG409" t="s">
        <v>5813</v>
      </c>
      <c r="AH409" t="s">
        <v>3188</v>
      </c>
      <c r="AI409">
        <v>0</v>
      </c>
      <c r="AJ409">
        <v>1</v>
      </c>
      <c r="AK409">
        <v>0</v>
      </c>
      <c r="AL409">
        <v>547.64</v>
      </c>
      <c r="AO409" t="s">
        <v>5843</v>
      </c>
      <c r="AP409">
        <v>68400</v>
      </c>
      <c r="AV409">
        <v>0</v>
      </c>
      <c r="AX409" t="s">
        <v>83</v>
      </c>
    </row>
    <row r="410" spans="1:50">
      <c r="A410" s="1">
        <f>HYPERLINK("https://lsnyc.legalserver.org/matter/dynamic-profile/view/1903978","19-1903978")</f>
        <v>0</v>
      </c>
      <c r="B410" t="s">
        <v>116</v>
      </c>
      <c r="C410" t="s">
        <v>191</v>
      </c>
      <c r="D410" t="s">
        <v>232</v>
      </c>
      <c r="F410" t="s">
        <v>747</v>
      </c>
      <c r="G410" t="s">
        <v>1221</v>
      </c>
      <c r="H410" t="s">
        <v>2246</v>
      </c>
      <c r="I410" t="s">
        <v>2973</v>
      </c>
      <c r="J410" t="s">
        <v>3145</v>
      </c>
      <c r="K410">
        <v>11692</v>
      </c>
      <c r="L410" t="s">
        <v>3185</v>
      </c>
      <c r="M410" t="s">
        <v>3189</v>
      </c>
      <c r="N410" t="s">
        <v>3186</v>
      </c>
      <c r="O410" t="s">
        <v>3342</v>
      </c>
      <c r="P410" t="s">
        <v>3612</v>
      </c>
      <c r="Q410" t="s">
        <v>3636</v>
      </c>
      <c r="T410" t="s">
        <v>3660</v>
      </c>
      <c r="U410" t="s">
        <v>3184</v>
      </c>
      <c r="W410" t="s">
        <v>3670</v>
      </c>
      <c r="X410" t="s">
        <v>3681</v>
      </c>
      <c r="Y410">
        <v>2206</v>
      </c>
      <c r="Z410" t="s">
        <v>3688</v>
      </c>
      <c r="AA410" t="s">
        <v>3698</v>
      </c>
      <c r="AC410" t="s">
        <v>4087</v>
      </c>
      <c r="AE410" t="s">
        <v>5205</v>
      </c>
      <c r="AF410">
        <v>3</v>
      </c>
      <c r="AG410" t="s">
        <v>5814</v>
      </c>
      <c r="AI410">
        <v>5</v>
      </c>
      <c r="AJ410">
        <v>1</v>
      </c>
      <c r="AK410">
        <v>3</v>
      </c>
      <c r="AL410">
        <v>35.14</v>
      </c>
      <c r="AO410" t="s">
        <v>5843</v>
      </c>
      <c r="AP410">
        <v>9048</v>
      </c>
      <c r="AV410">
        <v>1.3</v>
      </c>
      <c r="AW410" t="s">
        <v>437</v>
      </c>
      <c r="AX410" t="s">
        <v>116</v>
      </c>
    </row>
    <row r="411" spans="1:50">
      <c r="A411" s="1">
        <f>HYPERLINK("https://lsnyc.legalserver.org/matter/dynamic-profile/view/1907313","19-1907313")</f>
        <v>0</v>
      </c>
      <c r="B411" t="s">
        <v>116</v>
      </c>
      <c r="C411" t="s">
        <v>191</v>
      </c>
      <c r="D411" t="s">
        <v>227</v>
      </c>
      <c r="F411" t="s">
        <v>748</v>
      </c>
      <c r="G411" t="s">
        <v>1497</v>
      </c>
      <c r="H411" t="s">
        <v>2247</v>
      </c>
      <c r="I411" t="s">
        <v>2829</v>
      </c>
      <c r="J411" t="s">
        <v>3154</v>
      </c>
      <c r="K411">
        <v>11105</v>
      </c>
      <c r="L411" t="s">
        <v>3185</v>
      </c>
      <c r="N411" t="s">
        <v>3186</v>
      </c>
      <c r="O411" t="s">
        <v>3343</v>
      </c>
      <c r="P411" t="s">
        <v>3610</v>
      </c>
      <c r="Q411" t="s">
        <v>3637</v>
      </c>
      <c r="T411" t="s">
        <v>3660</v>
      </c>
      <c r="W411" t="s">
        <v>3670</v>
      </c>
      <c r="Y411">
        <v>2135</v>
      </c>
      <c r="Z411" t="s">
        <v>3688</v>
      </c>
      <c r="AA411" t="s">
        <v>3698</v>
      </c>
      <c r="AC411" t="s">
        <v>4088</v>
      </c>
      <c r="AE411" t="s">
        <v>5206</v>
      </c>
      <c r="AF411">
        <v>9</v>
      </c>
      <c r="AG411" t="s">
        <v>3263</v>
      </c>
      <c r="AH411" t="s">
        <v>3188</v>
      </c>
      <c r="AI411">
        <v>2</v>
      </c>
      <c r="AJ411">
        <v>2</v>
      </c>
      <c r="AK411">
        <v>2</v>
      </c>
      <c r="AL411">
        <v>186.41</v>
      </c>
      <c r="AO411" t="s">
        <v>5846</v>
      </c>
      <c r="AP411">
        <v>48000</v>
      </c>
      <c r="AV411">
        <v>5.5</v>
      </c>
      <c r="AW411" t="s">
        <v>244</v>
      </c>
      <c r="AX411" t="s">
        <v>6028</v>
      </c>
    </row>
    <row r="412" spans="1:50">
      <c r="A412" s="1">
        <f>HYPERLINK("https://lsnyc.legalserver.org/matter/dynamic-profile/view/1901630","19-1901630")</f>
        <v>0</v>
      </c>
      <c r="B412" t="s">
        <v>116</v>
      </c>
      <c r="C412" t="s">
        <v>191</v>
      </c>
      <c r="D412" t="s">
        <v>309</v>
      </c>
      <c r="F412" t="s">
        <v>749</v>
      </c>
      <c r="G412" t="s">
        <v>1498</v>
      </c>
      <c r="H412" t="s">
        <v>2248</v>
      </c>
      <c r="I412" t="s">
        <v>2974</v>
      </c>
      <c r="J412" t="s">
        <v>3161</v>
      </c>
      <c r="K412">
        <v>11368</v>
      </c>
      <c r="L412" t="s">
        <v>3185</v>
      </c>
      <c r="M412" t="s">
        <v>3189</v>
      </c>
      <c r="N412" t="s">
        <v>3186</v>
      </c>
      <c r="O412" t="s">
        <v>3344</v>
      </c>
      <c r="P412" t="s">
        <v>3613</v>
      </c>
      <c r="Q412" t="s">
        <v>3634</v>
      </c>
      <c r="S412" t="s">
        <v>232</v>
      </c>
      <c r="T412" t="s">
        <v>3660</v>
      </c>
      <c r="U412" t="s">
        <v>3184</v>
      </c>
      <c r="W412" t="s">
        <v>3670</v>
      </c>
      <c r="X412" t="s">
        <v>3681</v>
      </c>
      <c r="Y412">
        <v>1800</v>
      </c>
      <c r="Z412" t="s">
        <v>3688</v>
      </c>
      <c r="AA412" t="s">
        <v>3698</v>
      </c>
      <c r="AC412" t="s">
        <v>4089</v>
      </c>
      <c r="AD412" t="s">
        <v>4798</v>
      </c>
      <c r="AE412" t="s">
        <v>5207</v>
      </c>
      <c r="AF412">
        <v>3</v>
      </c>
      <c r="AG412" t="s">
        <v>3263</v>
      </c>
      <c r="AH412" t="s">
        <v>3188</v>
      </c>
      <c r="AI412">
        <v>21</v>
      </c>
      <c r="AJ412">
        <v>2</v>
      </c>
      <c r="AK412">
        <v>2</v>
      </c>
      <c r="AL412">
        <v>102.52</v>
      </c>
      <c r="AO412" t="s">
        <v>5844</v>
      </c>
      <c r="AP412">
        <v>26400</v>
      </c>
      <c r="AV412">
        <v>0.52</v>
      </c>
      <c r="AW412" t="s">
        <v>437</v>
      </c>
      <c r="AX412" t="s">
        <v>6028</v>
      </c>
    </row>
    <row r="413" spans="1:50">
      <c r="A413" s="1">
        <f>HYPERLINK("https://lsnyc.legalserver.org/matter/dynamic-profile/view/1891669","19-1891669")</f>
        <v>0</v>
      </c>
      <c r="B413" t="s">
        <v>116</v>
      </c>
      <c r="C413" t="s">
        <v>191</v>
      </c>
      <c r="D413" t="s">
        <v>310</v>
      </c>
      <c r="F413" t="s">
        <v>750</v>
      </c>
      <c r="G413" t="s">
        <v>1217</v>
      </c>
      <c r="H413" t="s">
        <v>2249</v>
      </c>
      <c r="I413">
        <v>1</v>
      </c>
      <c r="J413" t="s">
        <v>3153</v>
      </c>
      <c r="K413">
        <v>11691</v>
      </c>
      <c r="L413" t="s">
        <v>3185</v>
      </c>
      <c r="M413" t="s">
        <v>3189</v>
      </c>
      <c r="N413" t="s">
        <v>3186</v>
      </c>
      <c r="O413" t="s">
        <v>3345</v>
      </c>
      <c r="P413" t="s">
        <v>3613</v>
      </c>
      <c r="Q413" t="s">
        <v>3638</v>
      </c>
      <c r="S413" t="s">
        <v>3656</v>
      </c>
      <c r="T413" t="s">
        <v>3660</v>
      </c>
      <c r="U413" t="s">
        <v>3184</v>
      </c>
      <c r="W413" t="s">
        <v>3670</v>
      </c>
      <c r="X413" t="s">
        <v>3681</v>
      </c>
      <c r="Y413">
        <v>1475</v>
      </c>
      <c r="Z413" t="s">
        <v>3688</v>
      </c>
      <c r="AA413" t="s">
        <v>3693</v>
      </c>
      <c r="AC413" t="s">
        <v>4090</v>
      </c>
      <c r="AD413" t="s">
        <v>4764</v>
      </c>
      <c r="AE413" t="s">
        <v>5208</v>
      </c>
      <c r="AF413">
        <v>3</v>
      </c>
      <c r="AG413" t="s">
        <v>5813</v>
      </c>
      <c r="AH413" t="s">
        <v>5827</v>
      </c>
      <c r="AI413">
        <v>9</v>
      </c>
      <c r="AJ413">
        <v>1</v>
      </c>
      <c r="AK413">
        <v>0</v>
      </c>
      <c r="AL413">
        <v>199.84</v>
      </c>
      <c r="AO413" t="s">
        <v>5843</v>
      </c>
      <c r="AP413">
        <v>24960</v>
      </c>
      <c r="AV413">
        <v>8.26</v>
      </c>
      <c r="AW413" t="s">
        <v>227</v>
      </c>
      <c r="AX413" t="s">
        <v>6021</v>
      </c>
    </row>
    <row r="414" spans="1:50">
      <c r="A414" s="1">
        <f>HYPERLINK("https://lsnyc.legalserver.org/matter/dynamic-profile/view/1907240","19-1907240")</f>
        <v>0</v>
      </c>
      <c r="B414" t="s">
        <v>115</v>
      </c>
      <c r="C414" t="s">
        <v>191</v>
      </c>
      <c r="D414" t="s">
        <v>227</v>
      </c>
      <c r="F414" t="s">
        <v>751</v>
      </c>
      <c r="G414" t="s">
        <v>1499</v>
      </c>
      <c r="H414" t="s">
        <v>2250</v>
      </c>
      <c r="I414" t="s">
        <v>2975</v>
      </c>
      <c r="J414" t="s">
        <v>3148</v>
      </c>
      <c r="K414">
        <v>11233</v>
      </c>
      <c r="L414" t="s">
        <v>3186</v>
      </c>
      <c r="N414" t="s">
        <v>3186</v>
      </c>
      <c r="O414" t="s">
        <v>3346</v>
      </c>
      <c r="P414" t="s">
        <v>3613</v>
      </c>
      <c r="Q414" t="s">
        <v>3637</v>
      </c>
      <c r="T414" t="s">
        <v>3660</v>
      </c>
      <c r="U414" t="s">
        <v>3184</v>
      </c>
      <c r="W414" t="s">
        <v>3670</v>
      </c>
      <c r="Y414">
        <v>1660</v>
      </c>
      <c r="Z414" t="s">
        <v>3691</v>
      </c>
      <c r="AA414" t="s">
        <v>3702</v>
      </c>
      <c r="AB414" t="s">
        <v>3712</v>
      </c>
      <c r="AC414" t="s">
        <v>4091</v>
      </c>
      <c r="AE414" t="s">
        <v>5209</v>
      </c>
      <c r="AF414">
        <v>3</v>
      </c>
      <c r="AG414" t="s">
        <v>5814</v>
      </c>
      <c r="AH414" t="s">
        <v>5827</v>
      </c>
      <c r="AI414">
        <v>9</v>
      </c>
      <c r="AJ414">
        <v>2</v>
      </c>
      <c r="AK414">
        <v>2</v>
      </c>
      <c r="AL414">
        <v>228.19</v>
      </c>
      <c r="AO414" t="s">
        <v>5843</v>
      </c>
      <c r="AP414">
        <v>58760</v>
      </c>
      <c r="AV414">
        <v>0.5</v>
      </c>
      <c r="AW414" t="s">
        <v>227</v>
      </c>
      <c r="AX414" t="s">
        <v>6006</v>
      </c>
    </row>
    <row r="415" spans="1:50">
      <c r="A415" s="1">
        <f>HYPERLINK("https://lsnyc.legalserver.org/matter/dynamic-profile/view/1901281","19-1901281")</f>
        <v>0</v>
      </c>
      <c r="B415" t="s">
        <v>116</v>
      </c>
      <c r="C415" t="s">
        <v>191</v>
      </c>
      <c r="D415" t="s">
        <v>311</v>
      </c>
      <c r="F415" t="s">
        <v>478</v>
      </c>
      <c r="G415" t="s">
        <v>1500</v>
      </c>
      <c r="H415" t="s">
        <v>2251</v>
      </c>
      <c r="I415">
        <v>516</v>
      </c>
      <c r="J415" t="s">
        <v>3149</v>
      </c>
      <c r="K415">
        <v>11355</v>
      </c>
      <c r="L415" t="s">
        <v>3185</v>
      </c>
      <c r="M415" t="s">
        <v>3189</v>
      </c>
      <c r="N415" t="s">
        <v>3186</v>
      </c>
      <c r="O415" t="s">
        <v>3347</v>
      </c>
      <c r="P415" t="s">
        <v>3613</v>
      </c>
      <c r="Q415" t="s">
        <v>3638</v>
      </c>
      <c r="T415" t="s">
        <v>3660</v>
      </c>
      <c r="U415" t="s">
        <v>3184</v>
      </c>
      <c r="W415" t="s">
        <v>3670</v>
      </c>
      <c r="X415" t="s">
        <v>3681</v>
      </c>
      <c r="Y415">
        <v>1378.85</v>
      </c>
      <c r="Z415" t="s">
        <v>3688</v>
      </c>
      <c r="AA415" t="s">
        <v>3698</v>
      </c>
      <c r="AC415" t="s">
        <v>4092</v>
      </c>
      <c r="AE415" t="s">
        <v>5210</v>
      </c>
      <c r="AF415">
        <v>50</v>
      </c>
      <c r="AG415" t="s">
        <v>5813</v>
      </c>
      <c r="AH415" t="s">
        <v>3188</v>
      </c>
      <c r="AI415">
        <v>11</v>
      </c>
      <c r="AJ415">
        <v>4</v>
      </c>
      <c r="AK415">
        <v>0</v>
      </c>
      <c r="AL415">
        <v>132.04</v>
      </c>
      <c r="AO415" t="s">
        <v>5843</v>
      </c>
      <c r="AP415">
        <v>34000</v>
      </c>
      <c r="AV415">
        <v>4.55</v>
      </c>
      <c r="AW415" t="s">
        <v>262</v>
      </c>
      <c r="AX415" t="s">
        <v>167</v>
      </c>
    </row>
    <row r="416" spans="1:50">
      <c r="A416" s="1">
        <f>HYPERLINK("https://lsnyc.legalserver.org/matter/dynamic-profile/view/1896083","19-1896083")</f>
        <v>0</v>
      </c>
      <c r="B416" t="s">
        <v>116</v>
      </c>
      <c r="C416" t="s">
        <v>191</v>
      </c>
      <c r="D416" t="s">
        <v>312</v>
      </c>
      <c r="F416" t="s">
        <v>752</v>
      </c>
      <c r="G416" t="s">
        <v>1501</v>
      </c>
      <c r="H416" t="s">
        <v>2252</v>
      </c>
      <c r="I416" t="s">
        <v>2976</v>
      </c>
      <c r="J416" t="s">
        <v>3149</v>
      </c>
      <c r="K416">
        <v>11354</v>
      </c>
      <c r="L416" t="s">
        <v>3185</v>
      </c>
      <c r="M416" t="s">
        <v>3189</v>
      </c>
      <c r="N416" t="s">
        <v>3186</v>
      </c>
      <c r="O416" t="s">
        <v>3348</v>
      </c>
      <c r="P416" t="s">
        <v>3613</v>
      </c>
      <c r="Q416" t="s">
        <v>3638</v>
      </c>
      <c r="T416" t="s">
        <v>3660</v>
      </c>
      <c r="U416" t="s">
        <v>3184</v>
      </c>
      <c r="W416" t="s">
        <v>3670</v>
      </c>
      <c r="X416" t="s">
        <v>3685</v>
      </c>
      <c r="Y416">
        <v>774</v>
      </c>
      <c r="Z416" t="s">
        <v>3688</v>
      </c>
      <c r="AA416" t="s">
        <v>3698</v>
      </c>
      <c r="AC416" t="s">
        <v>4093</v>
      </c>
      <c r="AD416" t="s">
        <v>4764</v>
      </c>
      <c r="AE416" t="s">
        <v>5211</v>
      </c>
      <c r="AF416">
        <v>6</v>
      </c>
      <c r="AG416" t="s">
        <v>5813</v>
      </c>
      <c r="AH416" t="s">
        <v>3188</v>
      </c>
      <c r="AI416">
        <v>39</v>
      </c>
      <c r="AJ416">
        <v>2</v>
      </c>
      <c r="AK416">
        <v>0</v>
      </c>
      <c r="AL416">
        <v>276.76</v>
      </c>
      <c r="AO416" t="s">
        <v>5843</v>
      </c>
      <c r="AP416">
        <v>46800</v>
      </c>
      <c r="AV416">
        <v>7.4</v>
      </c>
      <c r="AW416" t="s">
        <v>437</v>
      </c>
      <c r="AX416" t="s">
        <v>6030</v>
      </c>
    </row>
    <row r="417" spans="1:50">
      <c r="A417" s="1">
        <f>HYPERLINK("https://lsnyc.legalserver.org/matter/dynamic-profile/view/1905070","19-1905070")</f>
        <v>0</v>
      </c>
      <c r="B417" t="s">
        <v>116</v>
      </c>
      <c r="C417" t="s">
        <v>191</v>
      </c>
      <c r="D417" t="s">
        <v>249</v>
      </c>
      <c r="F417" t="s">
        <v>604</v>
      </c>
      <c r="G417" t="s">
        <v>1187</v>
      </c>
      <c r="H417" t="s">
        <v>2253</v>
      </c>
      <c r="I417" t="s">
        <v>2860</v>
      </c>
      <c r="J417" t="s">
        <v>3162</v>
      </c>
      <c r="K417">
        <v>11372</v>
      </c>
      <c r="L417" t="s">
        <v>3185</v>
      </c>
      <c r="M417" t="s">
        <v>3189</v>
      </c>
      <c r="N417" t="s">
        <v>3186</v>
      </c>
      <c r="O417" t="s">
        <v>3349</v>
      </c>
      <c r="P417" t="s">
        <v>3610</v>
      </c>
      <c r="Q417" t="s">
        <v>3638</v>
      </c>
      <c r="S417" t="s">
        <v>249</v>
      </c>
      <c r="T417" t="s">
        <v>3660</v>
      </c>
      <c r="U417" t="s">
        <v>3184</v>
      </c>
      <c r="W417" t="s">
        <v>3670</v>
      </c>
      <c r="X417" t="s">
        <v>3683</v>
      </c>
      <c r="Y417">
        <v>1760</v>
      </c>
      <c r="Z417" t="s">
        <v>3688</v>
      </c>
      <c r="AA417" t="s">
        <v>3696</v>
      </c>
      <c r="AC417" t="s">
        <v>4094</v>
      </c>
      <c r="AE417" t="s">
        <v>5212</v>
      </c>
      <c r="AF417">
        <v>16</v>
      </c>
      <c r="AG417" t="s">
        <v>3263</v>
      </c>
      <c r="AH417" t="s">
        <v>3188</v>
      </c>
      <c r="AI417">
        <v>5</v>
      </c>
      <c r="AJ417">
        <v>2</v>
      </c>
      <c r="AK417">
        <v>2</v>
      </c>
      <c r="AL417">
        <v>149.44</v>
      </c>
      <c r="AO417" t="s">
        <v>5843</v>
      </c>
      <c r="AP417">
        <v>38480</v>
      </c>
      <c r="AV417">
        <v>12.56</v>
      </c>
      <c r="AW417" t="s">
        <v>196</v>
      </c>
      <c r="AX417" t="s">
        <v>62</v>
      </c>
    </row>
    <row r="418" spans="1:50">
      <c r="A418" s="1">
        <f>HYPERLINK("https://lsnyc.legalserver.org/matter/dynamic-profile/view/1906180","19-1906180")</f>
        <v>0</v>
      </c>
      <c r="B418" t="s">
        <v>116</v>
      </c>
      <c r="C418" t="s">
        <v>191</v>
      </c>
      <c r="D418" t="s">
        <v>219</v>
      </c>
      <c r="F418" t="s">
        <v>753</v>
      </c>
      <c r="G418" t="s">
        <v>1502</v>
      </c>
      <c r="H418" t="s">
        <v>2254</v>
      </c>
      <c r="J418" t="s">
        <v>3155</v>
      </c>
      <c r="K418">
        <v>11435</v>
      </c>
      <c r="L418" t="s">
        <v>3185</v>
      </c>
      <c r="M418" t="s">
        <v>3189</v>
      </c>
      <c r="N418" t="s">
        <v>3186</v>
      </c>
      <c r="O418" t="s">
        <v>3350</v>
      </c>
      <c r="P418" t="s">
        <v>3613</v>
      </c>
      <c r="Q418" t="s">
        <v>3634</v>
      </c>
      <c r="S418" t="s">
        <v>219</v>
      </c>
      <c r="T418" t="s">
        <v>3660</v>
      </c>
      <c r="U418" t="s">
        <v>3184</v>
      </c>
      <c r="W418" t="s">
        <v>3670</v>
      </c>
      <c r="X418" t="s">
        <v>3681</v>
      </c>
      <c r="Y418">
        <v>3100</v>
      </c>
      <c r="Z418" t="s">
        <v>3688</v>
      </c>
      <c r="AA418" t="s">
        <v>3698</v>
      </c>
      <c r="AC418" t="s">
        <v>4095</v>
      </c>
      <c r="AE418" t="s">
        <v>5213</v>
      </c>
      <c r="AF418">
        <v>1</v>
      </c>
      <c r="AG418" t="s">
        <v>3263</v>
      </c>
      <c r="AH418" t="s">
        <v>3188</v>
      </c>
      <c r="AI418">
        <v>-1</v>
      </c>
      <c r="AJ418">
        <v>4</v>
      </c>
      <c r="AK418">
        <v>3</v>
      </c>
      <c r="AL418">
        <v>97.26000000000001</v>
      </c>
      <c r="AO418" t="s">
        <v>5843</v>
      </c>
      <c r="AP418">
        <v>37940</v>
      </c>
      <c r="AV418">
        <v>1.4</v>
      </c>
      <c r="AW418" t="s">
        <v>437</v>
      </c>
      <c r="AX418" t="s">
        <v>62</v>
      </c>
    </row>
    <row r="419" spans="1:50">
      <c r="A419" s="1">
        <f>HYPERLINK("https://lsnyc.legalserver.org/matter/dynamic-profile/view/1903512","19-1903512")</f>
        <v>0</v>
      </c>
      <c r="B419" t="s">
        <v>116</v>
      </c>
      <c r="C419" t="s">
        <v>191</v>
      </c>
      <c r="D419" t="s">
        <v>258</v>
      </c>
      <c r="F419" t="s">
        <v>754</v>
      </c>
      <c r="G419" t="s">
        <v>1503</v>
      </c>
      <c r="H419" t="s">
        <v>2255</v>
      </c>
      <c r="I419" t="s">
        <v>2823</v>
      </c>
      <c r="J419" t="s">
        <v>3150</v>
      </c>
      <c r="K419">
        <v>11101</v>
      </c>
      <c r="L419" t="s">
        <v>3185</v>
      </c>
      <c r="M419" t="s">
        <v>3189</v>
      </c>
      <c r="N419" t="s">
        <v>3186</v>
      </c>
      <c r="O419" t="s">
        <v>3351</v>
      </c>
      <c r="P419" t="s">
        <v>3610</v>
      </c>
      <c r="Q419" t="s">
        <v>3638</v>
      </c>
      <c r="S419" t="s">
        <v>245</v>
      </c>
      <c r="T419" t="s">
        <v>3660</v>
      </c>
      <c r="U419" t="s">
        <v>3184</v>
      </c>
      <c r="W419" t="s">
        <v>3670</v>
      </c>
      <c r="X419" t="s">
        <v>3681</v>
      </c>
      <c r="Y419">
        <v>1800</v>
      </c>
      <c r="Z419" t="s">
        <v>3688</v>
      </c>
      <c r="AA419" t="s">
        <v>3632</v>
      </c>
      <c r="AC419" t="s">
        <v>4096</v>
      </c>
      <c r="AE419" t="s">
        <v>5214</v>
      </c>
      <c r="AF419">
        <v>6</v>
      </c>
      <c r="AG419" t="s">
        <v>5814</v>
      </c>
      <c r="AH419" t="s">
        <v>3188</v>
      </c>
      <c r="AI419">
        <v>2</v>
      </c>
      <c r="AJ419">
        <v>2</v>
      </c>
      <c r="AK419">
        <v>2</v>
      </c>
      <c r="AL419">
        <v>167.77</v>
      </c>
      <c r="AO419" t="s">
        <v>5844</v>
      </c>
      <c r="AP419">
        <v>43200</v>
      </c>
      <c r="AV419">
        <v>5.76</v>
      </c>
      <c r="AW419" t="s">
        <v>275</v>
      </c>
      <c r="AX419" t="s">
        <v>6015</v>
      </c>
    </row>
    <row r="420" spans="1:50">
      <c r="A420" s="1">
        <f>HYPERLINK("https://lsnyc.legalserver.org/matter/dynamic-profile/view/1908602","19-1908602")</f>
        <v>0</v>
      </c>
      <c r="B420" t="s">
        <v>116</v>
      </c>
      <c r="C420" t="s">
        <v>191</v>
      </c>
      <c r="D420" t="s">
        <v>231</v>
      </c>
      <c r="F420" t="s">
        <v>755</v>
      </c>
      <c r="G420" t="s">
        <v>1504</v>
      </c>
      <c r="H420" t="s">
        <v>2256</v>
      </c>
      <c r="J420" t="s">
        <v>3163</v>
      </c>
      <c r="K420">
        <v>11422</v>
      </c>
      <c r="L420" t="s">
        <v>3185</v>
      </c>
      <c r="M420" t="s">
        <v>3189</v>
      </c>
      <c r="N420" t="s">
        <v>3186</v>
      </c>
      <c r="O420" t="s">
        <v>3352</v>
      </c>
      <c r="P420" t="s">
        <v>3613</v>
      </c>
      <c r="Q420" t="s">
        <v>3637</v>
      </c>
      <c r="S420" t="s">
        <v>231</v>
      </c>
      <c r="T420" t="s">
        <v>3660</v>
      </c>
      <c r="U420" t="s">
        <v>3184</v>
      </c>
      <c r="W420" t="s">
        <v>3670</v>
      </c>
      <c r="X420" t="s">
        <v>3686</v>
      </c>
      <c r="Y420">
        <v>1028</v>
      </c>
      <c r="Z420" t="s">
        <v>3688</v>
      </c>
      <c r="AA420" t="s">
        <v>3698</v>
      </c>
      <c r="AC420" t="s">
        <v>4097</v>
      </c>
      <c r="AD420" t="s">
        <v>4799</v>
      </c>
      <c r="AE420" t="s">
        <v>5215</v>
      </c>
      <c r="AF420">
        <v>2</v>
      </c>
      <c r="AG420" t="s">
        <v>5810</v>
      </c>
      <c r="AH420" t="s">
        <v>3188</v>
      </c>
      <c r="AI420">
        <v>13</v>
      </c>
      <c r="AJ420">
        <v>1</v>
      </c>
      <c r="AK420">
        <v>0</v>
      </c>
      <c r="AL420">
        <v>169.48</v>
      </c>
      <c r="AO420" t="s">
        <v>5843</v>
      </c>
      <c r="AP420">
        <v>21168</v>
      </c>
      <c r="AV420">
        <v>1.36</v>
      </c>
      <c r="AW420" t="s">
        <v>222</v>
      </c>
      <c r="AX420" t="s">
        <v>62</v>
      </c>
    </row>
    <row r="421" spans="1:50">
      <c r="A421" s="1">
        <f>HYPERLINK("https://lsnyc.legalserver.org/matter/dynamic-profile/view/1899921","19-1899921")</f>
        <v>0</v>
      </c>
      <c r="B421" t="s">
        <v>117</v>
      </c>
      <c r="C421" t="s">
        <v>191</v>
      </c>
      <c r="D421" t="s">
        <v>204</v>
      </c>
      <c r="F421" t="s">
        <v>756</v>
      </c>
      <c r="G421" t="s">
        <v>1505</v>
      </c>
      <c r="H421" t="s">
        <v>2257</v>
      </c>
      <c r="I421" t="s">
        <v>2977</v>
      </c>
      <c r="J421" t="s">
        <v>3148</v>
      </c>
      <c r="K421">
        <v>11226</v>
      </c>
      <c r="L421" t="s">
        <v>3186</v>
      </c>
      <c r="N421" t="s">
        <v>3186</v>
      </c>
      <c r="O421" t="s">
        <v>3353</v>
      </c>
      <c r="P421" t="s">
        <v>3610</v>
      </c>
      <c r="T421" t="s">
        <v>3660</v>
      </c>
      <c r="U421" t="s">
        <v>3185</v>
      </c>
      <c r="W421" t="s">
        <v>3670</v>
      </c>
      <c r="Y421">
        <v>771.66</v>
      </c>
      <c r="Z421" t="s">
        <v>3691</v>
      </c>
      <c r="AA421" t="s">
        <v>3696</v>
      </c>
      <c r="AC421" t="s">
        <v>4098</v>
      </c>
      <c r="AD421">
        <v>35037572</v>
      </c>
      <c r="AE421" t="s">
        <v>5216</v>
      </c>
      <c r="AF421">
        <v>16</v>
      </c>
      <c r="AG421" t="s">
        <v>5813</v>
      </c>
      <c r="AI421">
        <v>36</v>
      </c>
      <c r="AJ421">
        <v>4</v>
      </c>
      <c r="AK421">
        <v>1</v>
      </c>
      <c r="AL421">
        <v>76.23</v>
      </c>
      <c r="AO421" t="s">
        <v>5843</v>
      </c>
      <c r="AP421">
        <v>23000</v>
      </c>
      <c r="AV421">
        <v>11</v>
      </c>
      <c r="AW421" t="s">
        <v>199</v>
      </c>
      <c r="AX421" t="s">
        <v>6040</v>
      </c>
    </row>
    <row r="422" spans="1:50">
      <c r="A422" s="1">
        <f>HYPERLINK("https://lsnyc.legalserver.org/matter/dynamic-profile/view/1904522","19-1904522")</f>
        <v>0</v>
      </c>
      <c r="B422" t="s">
        <v>116</v>
      </c>
      <c r="C422" t="s">
        <v>191</v>
      </c>
      <c r="D422" t="s">
        <v>233</v>
      </c>
      <c r="F422" t="s">
        <v>757</v>
      </c>
      <c r="G422" t="s">
        <v>1506</v>
      </c>
      <c r="H422" t="s">
        <v>2258</v>
      </c>
      <c r="I422" t="s">
        <v>2978</v>
      </c>
      <c r="J422" t="s">
        <v>3164</v>
      </c>
      <c r="K422">
        <v>11104</v>
      </c>
      <c r="L422" t="s">
        <v>3185</v>
      </c>
      <c r="M422" t="s">
        <v>3189</v>
      </c>
      <c r="N422" t="s">
        <v>3186</v>
      </c>
      <c r="O422" t="s">
        <v>3354</v>
      </c>
      <c r="P422" t="s">
        <v>3613</v>
      </c>
      <c r="Q422" t="s">
        <v>3638</v>
      </c>
      <c r="S422" t="s">
        <v>233</v>
      </c>
      <c r="T422" t="s">
        <v>3660</v>
      </c>
      <c r="U422" t="s">
        <v>3184</v>
      </c>
      <c r="W422" t="s">
        <v>3670</v>
      </c>
      <c r="X422" t="s">
        <v>3681</v>
      </c>
      <c r="Y422">
        <v>1241</v>
      </c>
      <c r="Z422" t="s">
        <v>3688</v>
      </c>
      <c r="AA422" t="s">
        <v>3698</v>
      </c>
      <c r="AC422" t="s">
        <v>4099</v>
      </c>
      <c r="AE422" t="s">
        <v>5217</v>
      </c>
      <c r="AF422">
        <v>60</v>
      </c>
      <c r="AG422" t="s">
        <v>3263</v>
      </c>
      <c r="AH422" t="s">
        <v>3188</v>
      </c>
      <c r="AI422">
        <v>20</v>
      </c>
      <c r="AJ422">
        <v>2</v>
      </c>
      <c r="AK422">
        <v>0</v>
      </c>
      <c r="AL422">
        <v>138.65</v>
      </c>
      <c r="AO422" t="s">
        <v>5854</v>
      </c>
      <c r="AP422">
        <v>23446.28</v>
      </c>
      <c r="AV422">
        <v>15.2</v>
      </c>
      <c r="AW422" t="s">
        <v>228</v>
      </c>
      <c r="AX422" t="s">
        <v>62</v>
      </c>
    </row>
    <row r="423" spans="1:50">
      <c r="A423" s="1">
        <f>HYPERLINK("https://lsnyc.legalserver.org/matter/dynamic-profile/view/1906385","19-1906385")</f>
        <v>0</v>
      </c>
      <c r="B423" t="s">
        <v>116</v>
      </c>
      <c r="C423" t="s">
        <v>191</v>
      </c>
      <c r="D423" t="s">
        <v>229</v>
      </c>
      <c r="F423" t="s">
        <v>758</v>
      </c>
      <c r="G423" t="s">
        <v>1507</v>
      </c>
      <c r="H423" t="s">
        <v>2259</v>
      </c>
      <c r="I423" t="s">
        <v>2852</v>
      </c>
      <c r="J423" t="s">
        <v>3165</v>
      </c>
      <c r="K423">
        <v>11377</v>
      </c>
      <c r="L423" t="s">
        <v>3185</v>
      </c>
      <c r="M423" t="s">
        <v>3189</v>
      </c>
      <c r="N423" t="s">
        <v>3186</v>
      </c>
      <c r="O423" t="s">
        <v>3355</v>
      </c>
      <c r="P423" t="s">
        <v>3613</v>
      </c>
      <c r="Q423" t="s">
        <v>3638</v>
      </c>
      <c r="S423" t="s">
        <v>229</v>
      </c>
      <c r="T423" t="s">
        <v>3660</v>
      </c>
      <c r="U423" t="s">
        <v>3184</v>
      </c>
      <c r="W423" t="s">
        <v>3670</v>
      </c>
      <c r="X423" t="s">
        <v>3681</v>
      </c>
      <c r="Y423">
        <v>1024</v>
      </c>
      <c r="Z423" t="s">
        <v>3688</v>
      </c>
      <c r="AA423" t="s">
        <v>3698</v>
      </c>
      <c r="AC423" t="s">
        <v>4100</v>
      </c>
      <c r="AE423" t="s">
        <v>5218</v>
      </c>
      <c r="AF423">
        <v>60</v>
      </c>
      <c r="AG423" t="s">
        <v>5813</v>
      </c>
      <c r="AH423" t="s">
        <v>3188</v>
      </c>
      <c r="AI423">
        <v>26</v>
      </c>
      <c r="AJ423">
        <v>5</v>
      </c>
      <c r="AK423">
        <v>1</v>
      </c>
      <c r="AL423">
        <v>105.81</v>
      </c>
      <c r="AO423" t="s">
        <v>5844</v>
      </c>
      <c r="AP423">
        <v>36600</v>
      </c>
      <c r="AV423">
        <v>5.5</v>
      </c>
      <c r="AW423" t="s">
        <v>216</v>
      </c>
      <c r="AX423" t="s">
        <v>62</v>
      </c>
    </row>
    <row r="424" spans="1:50">
      <c r="A424" s="1">
        <f>HYPERLINK("https://lsnyc.legalserver.org/matter/dynamic-profile/view/1907707","19-1907707")</f>
        <v>0</v>
      </c>
      <c r="B424" t="s">
        <v>116</v>
      </c>
      <c r="C424" t="s">
        <v>191</v>
      </c>
      <c r="D424" t="s">
        <v>246</v>
      </c>
      <c r="F424" t="s">
        <v>478</v>
      </c>
      <c r="G424" t="s">
        <v>1390</v>
      </c>
      <c r="H424" t="s">
        <v>2260</v>
      </c>
      <c r="I424" t="s">
        <v>2900</v>
      </c>
      <c r="J424" t="s">
        <v>3165</v>
      </c>
      <c r="K424">
        <v>11377</v>
      </c>
      <c r="L424" t="s">
        <v>3185</v>
      </c>
      <c r="M424" t="s">
        <v>3189</v>
      </c>
      <c r="N424" t="s">
        <v>3186</v>
      </c>
      <c r="P424" t="s">
        <v>3616</v>
      </c>
      <c r="Q424" t="s">
        <v>3639</v>
      </c>
      <c r="S424" t="s">
        <v>246</v>
      </c>
      <c r="T424" t="s">
        <v>3660</v>
      </c>
      <c r="U424" t="s">
        <v>3185</v>
      </c>
      <c r="W424" t="s">
        <v>3670</v>
      </c>
      <c r="Y424">
        <v>1102</v>
      </c>
      <c r="Z424" t="s">
        <v>3688</v>
      </c>
      <c r="AA424" t="s">
        <v>3700</v>
      </c>
      <c r="AC424" t="s">
        <v>4101</v>
      </c>
      <c r="AE424" t="s">
        <v>5219</v>
      </c>
      <c r="AF424">
        <v>234</v>
      </c>
      <c r="AG424" t="s">
        <v>3263</v>
      </c>
      <c r="AH424" t="s">
        <v>5827</v>
      </c>
      <c r="AI424">
        <v>40</v>
      </c>
      <c r="AJ424">
        <v>2</v>
      </c>
      <c r="AK424">
        <v>0</v>
      </c>
      <c r="AL424">
        <v>83.52</v>
      </c>
      <c r="AO424" t="s">
        <v>5844</v>
      </c>
      <c r="AP424">
        <v>14124</v>
      </c>
      <c r="AV424">
        <v>0.01</v>
      </c>
      <c r="AW424" t="s">
        <v>222</v>
      </c>
      <c r="AX424" t="s">
        <v>62</v>
      </c>
    </row>
    <row r="425" spans="1:50">
      <c r="A425" s="1">
        <f>HYPERLINK("https://lsnyc.legalserver.org/matter/dynamic-profile/view/1907712","19-1907712")</f>
        <v>0</v>
      </c>
      <c r="B425" t="s">
        <v>116</v>
      </c>
      <c r="C425" t="s">
        <v>191</v>
      </c>
      <c r="D425" t="s">
        <v>246</v>
      </c>
      <c r="F425" t="s">
        <v>452</v>
      </c>
      <c r="G425" t="s">
        <v>1508</v>
      </c>
      <c r="H425" t="s">
        <v>2261</v>
      </c>
      <c r="I425" t="s">
        <v>2979</v>
      </c>
      <c r="J425" t="s">
        <v>3165</v>
      </c>
      <c r="K425">
        <v>11377</v>
      </c>
      <c r="L425" t="s">
        <v>3185</v>
      </c>
      <c r="M425" t="s">
        <v>3189</v>
      </c>
      <c r="N425" t="s">
        <v>3186</v>
      </c>
      <c r="O425" t="s">
        <v>3356</v>
      </c>
      <c r="P425" t="s">
        <v>3616</v>
      </c>
      <c r="Q425" t="s">
        <v>3639</v>
      </c>
      <c r="S425" t="s">
        <v>246</v>
      </c>
      <c r="T425" t="s">
        <v>3660</v>
      </c>
      <c r="U425" t="s">
        <v>3185</v>
      </c>
      <c r="W425" t="s">
        <v>3670</v>
      </c>
      <c r="Y425">
        <v>0</v>
      </c>
      <c r="Z425" t="s">
        <v>3688</v>
      </c>
      <c r="AA425" t="s">
        <v>3700</v>
      </c>
      <c r="AC425" t="s">
        <v>4102</v>
      </c>
      <c r="AE425" t="s">
        <v>5220</v>
      </c>
      <c r="AF425">
        <v>390</v>
      </c>
      <c r="AG425" t="s">
        <v>5813</v>
      </c>
      <c r="AH425" t="s">
        <v>3188</v>
      </c>
      <c r="AI425">
        <v>32</v>
      </c>
      <c r="AJ425">
        <v>4</v>
      </c>
      <c r="AK425">
        <v>0</v>
      </c>
      <c r="AL425">
        <v>233.01</v>
      </c>
      <c r="AO425" t="s">
        <v>5844</v>
      </c>
      <c r="AP425">
        <v>60000</v>
      </c>
      <c r="AV425">
        <v>0.45</v>
      </c>
      <c r="AW425" t="s">
        <v>222</v>
      </c>
      <c r="AX425" t="s">
        <v>62</v>
      </c>
    </row>
    <row r="426" spans="1:50">
      <c r="A426" s="1">
        <f>HYPERLINK("https://lsnyc.legalserver.org/matter/dynamic-profile/view/1907690","19-1907690")</f>
        <v>0</v>
      </c>
      <c r="B426" t="s">
        <v>116</v>
      </c>
      <c r="C426" t="s">
        <v>191</v>
      </c>
      <c r="D426" t="s">
        <v>246</v>
      </c>
      <c r="F426" t="s">
        <v>759</v>
      </c>
      <c r="G426" t="s">
        <v>1509</v>
      </c>
      <c r="H426" t="s">
        <v>2261</v>
      </c>
      <c r="I426" t="s">
        <v>2840</v>
      </c>
      <c r="J426" t="s">
        <v>3165</v>
      </c>
      <c r="K426">
        <v>11377</v>
      </c>
      <c r="L426" t="s">
        <v>3185</v>
      </c>
      <c r="M426" t="s">
        <v>3189</v>
      </c>
      <c r="N426" t="s">
        <v>3186</v>
      </c>
      <c r="O426" t="s">
        <v>3356</v>
      </c>
      <c r="P426" t="s">
        <v>3616</v>
      </c>
      <c r="Q426" t="s">
        <v>3639</v>
      </c>
      <c r="S426" t="s">
        <v>246</v>
      </c>
      <c r="T426" t="s">
        <v>3660</v>
      </c>
      <c r="U426" t="s">
        <v>3185</v>
      </c>
      <c r="W426" t="s">
        <v>3670</v>
      </c>
      <c r="X426" t="s">
        <v>3681</v>
      </c>
      <c r="Y426">
        <v>1635.49</v>
      </c>
      <c r="Z426" t="s">
        <v>3688</v>
      </c>
      <c r="AA426" t="s">
        <v>3700</v>
      </c>
      <c r="AC426" t="s">
        <v>4103</v>
      </c>
      <c r="AE426" t="s">
        <v>5221</v>
      </c>
      <c r="AF426">
        <v>390</v>
      </c>
      <c r="AG426" t="s">
        <v>3263</v>
      </c>
      <c r="AH426" t="s">
        <v>3188</v>
      </c>
      <c r="AI426">
        <v>5</v>
      </c>
      <c r="AJ426">
        <v>3</v>
      </c>
      <c r="AK426">
        <v>1</v>
      </c>
      <c r="AL426">
        <v>322.33</v>
      </c>
      <c r="AO426" t="s">
        <v>5843</v>
      </c>
      <c r="AP426">
        <v>83000</v>
      </c>
      <c r="AV426">
        <v>0.4</v>
      </c>
      <c r="AW426" t="s">
        <v>246</v>
      </c>
      <c r="AX426" t="s">
        <v>62</v>
      </c>
    </row>
    <row r="427" spans="1:50">
      <c r="A427" s="1">
        <f>HYPERLINK("https://lsnyc.legalserver.org/matter/dynamic-profile/view/1907697","19-1907697")</f>
        <v>0</v>
      </c>
      <c r="B427" t="s">
        <v>116</v>
      </c>
      <c r="C427" t="s">
        <v>191</v>
      </c>
      <c r="D427" t="s">
        <v>246</v>
      </c>
      <c r="F427" t="s">
        <v>605</v>
      </c>
      <c r="G427" t="s">
        <v>1510</v>
      </c>
      <c r="H427" t="s">
        <v>2261</v>
      </c>
      <c r="J427" t="s">
        <v>3165</v>
      </c>
      <c r="K427">
        <v>11377</v>
      </c>
      <c r="L427" t="s">
        <v>3185</v>
      </c>
      <c r="M427" t="s">
        <v>3189</v>
      </c>
      <c r="N427" t="s">
        <v>3186</v>
      </c>
      <c r="O427" t="s">
        <v>3356</v>
      </c>
      <c r="P427" t="s">
        <v>3616</v>
      </c>
      <c r="Q427" t="s">
        <v>3639</v>
      </c>
      <c r="S427" t="s">
        <v>246</v>
      </c>
      <c r="T427" t="s">
        <v>3660</v>
      </c>
      <c r="U427" t="s">
        <v>3185</v>
      </c>
      <c r="W427" t="s">
        <v>3670</v>
      </c>
      <c r="X427" t="s">
        <v>3681</v>
      </c>
      <c r="Y427">
        <v>1543</v>
      </c>
      <c r="Z427" t="s">
        <v>3688</v>
      </c>
      <c r="AA427" t="s">
        <v>3700</v>
      </c>
      <c r="AC427" t="s">
        <v>4104</v>
      </c>
      <c r="AE427" t="s">
        <v>5222</v>
      </c>
      <c r="AF427">
        <v>390</v>
      </c>
      <c r="AG427" t="s">
        <v>3263</v>
      </c>
      <c r="AH427" t="s">
        <v>3188</v>
      </c>
      <c r="AI427">
        <v>2</v>
      </c>
      <c r="AJ427">
        <v>2</v>
      </c>
      <c r="AK427">
        <v>0</v>
      </c>
      <c r="AL427">
        <v>591.37</v>
      </c>
      <c r="AO427" t="s">
        <v>5844</v>
      </c>
      <c r="AP427">
        <v>100000</v>
      </c>
      <c r="AV427">
        <v>0.4</v>
      </c>
      <c r="AW427" t="s">
        <v>246</v>
      </c>
      <c r="AX427" t="s">
        <v>62</v>
      </c>
    </row>
    <row r="428" spans="1:50">
      <c r="A428" s="1">
        <f>HYPERLINK("https://lsnyc.legalserver.org/matter/dynamic-profile/view/1907714","19-1907714")</f>
        <v>0</v>
      </c>
      <c r="B428" t="s">
        <v>116</v>
      </c>
      <c r="C428" t="s">
        <v>191</v>
      </c>
      <c r="D428" t="s">
        <v>246</v>
      </c>
      <c r="F428" t="s">
        <v>760</v>
      </c>
      <c r="G428" t="s">
        <v>1511</v>
      </c>
      <c r="H428" t="s">
        <v>2261</v>
      </c>
      <c r="I428" t="s">
        <v>2980</v>
      </c>
      <c r="J428" t="s">
        <v>3165</v>
      </c>
      <c r="K428">
        <v>11377</v>
      </c>
      <c r="L428" t="s">
        <v>3185</v>
      </c>
      <c r="M428" t="s">
        <v>3189</v>
      </c>
      <c r="N428" t="s">
        <v>3186</v>
      </c>
      <c r="O428" t="s">
        <v>3356</v>
      </c>
      <c r="P428" t="s">
        <v>3616</v>
      </c>
      <c r="Q428" t="s">
        <v>3639</v>
      </c>
      <c r="S428" t="s">
        <v>246</v>
      </c>
      <c r="T428" t="s">
        <v>3660</v>
      </c>
      <c r="U428" t="s">
        <v>3185</v>
      </c>
      <c r="W428" t="s">
        <v>3670</v>
      </c>
      <c r="X428" t="s">
        <v>3681</v>
      </c>
      <c r="Y428">
        <v>2000</v>
      </c>
      <c r="Z428" t="s">
        <v>3688</v>
      </c>
      <c r="AA428" t="s">
        <v>3700</v>
      </c>
      <c r="AC428" t="s">
        <v>4105</v>
      </c>
      <c r="AE428" t="s">
        <v>5223</v>
      </c>
      <c r="AF428">
        <v>390</v>
      </c>
      <c r="AG428" t="s">
        <v>5813</v>
      </c>
      <c r="AH428" t="s">
        <v>3632</v>
      </c>
      <c r="AI428">
        <v>-1</v>
      </c>
      <c r="AJ428">
        <v>2</v>
      </c>
      <c r="AK428">
        <v>0</v>
      </c>
      <c r="AL428">
        <v>650.5</v>
      </c>
      <c r="AO428" t="s">
        <v>5843</v>
      </c>
      <c r="AP428">
        <v>110000</v>
      </c>
      <c r="AV428">
        <v>0.4</v>
      </c>
      <c r="AW428" t="s">
        <v>246</v>
      </c>
      <c r="AX428" t="s">
        <v>62</v>
      </c>
    </row>
    <row r="429" spans="1:50">
      <c r="A429" s="1">
        <f>HYPERLINK("https://lsnyc.legalserver.org/matter/dynamic-profile/view/1907818","19-1907818")</f>
        <v>0</v>
      </c>
      <c r="B429" t="s">
        <v>116</v>
      </c>
      <c r="C429" t="s">
        <v>191</v>
      </c>
      <c r="D429" t="s">
        <v>268</v>
      </c>
      <c r="F429" t="s">
        <v>761</v>
      </c>
      <c r="G429" t="s">
        <v>1512</v>
      </c>
      <c r="H429" t="s">
        <v>2262</v>
      </c>
      <c r="I429" t="s">
        <v>2981</v>
      </c>
      <c r="J429" t="s">
        <v>3165</v>
      </c>
      <c r="K429">
        <v>11377</v>
      </c>
      <c r="L429" t="s">
        <v>3185</v>
      </c>
      <c r="M429" t="s">
        <v>3189</v>
      </c>
      <c r="N429" t="s">
        <v>3186</v>
      </c>
      <c r="O429" t="s">
        <v>3357</v>
      </c>
      <c r="P429" t="s">
        <v>3616</v>
      </c>
      <c r="Q429" t="s">
        <v>3639</v>
      </c>
      <c r="S429" t="s">
        <v>268</v>
      </c>
      <c r="T429" t="s">
        <v>3660</v>
      </c>
      <c r="U429" t="s">
        <v>3185</v>
      </c>
      <c r="W429" t="s">
        <v>3670</v>
      </c>
      <c r="Y429">
        <v>0</v>
      </c>
      <c r="Z429" t="s">
        <v>3688</v>
      </c>
      <c r="AA429" t="s">
        <v>3700</v>
      </c>
      <c r="AC429" t="s">
        <v>4106</v>
      </c>
      <c r="AE429" t="s">
        <v>5224</v>
      </c>
      <c r="AF429">
        <v>66</v>
      </c>
      <c r="AG429" t="s">
        <v>5813</v>
      </c>
      <c r="AH429" t="s">
        <v>3188</v>
      </c>
      <c r="AI429">
        <v>8</v>
      </c>
      <c r="AJ429">
        <v>1</v>
      </c>
      <c r="AK429">
        <v>0</v>
      </c>
      <c r="AL429">
        <v>133.23</v>
      </c>
      <c r="AO429" t="s">
        <v>5844</v>
      </c>
      <c r="AP429">
        <v>16640</v>
      </c>
      <c r="AV429">
        <v>0.55</v>
      </c>
      <c r="AW429" t="s">
        <v>222</v>
      </c>
      <c r="AX429" t="s">
        <v>62</v>
      </c>
    </row>
    <row r="430" spans="1:50">
      <c r="A430" s="1">
        <f>HYPERLINK("https://lsnyc.legalserver.org/matter/dynamic-profile/view/1907837","19-1907837")</f>
        <v>0</v>
      </c>
      <c r="B430" t="s">
        <v>116</v>
      </c>
      <c r="C430" t="s">
        <v>191</v>
      </c>
      <c r="D430" t="s">
        <v>268</v>
      </c>
      <c r="F430" t="s">
        <v>762</v>
      </c>
      <c r="G430" t="s">
        <v>1513</v>
      </c>
      <c r="H430" t="s">
        <v>2262</v>
      </c>
      <c r="I430" t="s">
        <v>2860</v>
      </c>
      <c r="J430" t="s">
        <v>3165</v>
      </c>
      <c r="K430">
        <v>11377</v>
      </c>
      <c r="L430" t="s">
        <v>3185</v>
      </c>
      <c r="M430" t="s">
        <v>3189</v>
      </c>
      <c r="N430" t="s">
        <v>3186</v>
      </c>
      <c r="O430" t="s">
        <v>3357</v>
      </c>
      <c r="P430" t="s">
        <v>3616</v>
      </c>
      <c r="Q430" t="s">
        <v>3639</v>
      </c>
      <c r="S430" t="s">
        <v>268</v>
      </c>
      <c r="T430" t="s">
        <v>3660</v>
      </c>
      <c r="U430" t="s">
        <v>3185</v>
      </c>
      <c r="W430" t="s">
        <v>3670</v>
      </c>
      <c r="Y430">
        <v>892.88</v>
      </c>
      <c r="Z430" t="s">
        <v>3688</v>
      </c>
      <c r="AA430" t="s">
        <v>3700</v>
      </c>
      <c r="AC430" t="s">
        <v>4107</v>
      </c>
      <c r="AD430" t="s">
        <v>4800</v>
      </c>
      <c r="AE430" t="s">
        <v>5225</v>
      </c>
      <c r="AF430">
        <v>66</v>
      </c>
      <c r="AG430" t="s">
        <v>5813</v>
      </c>
      <c r="AH430" t="s">
        <v>5826</v>
      </c>
      <c r="AI430">
        <v>61</v>
      </c>
      <c r="AJ430">
        <v>1</v>
      </c>
      <c r="AK430">
        <v>0</v>
      </c>
      <c r="AL430">
        <v>162.66</v>
      </c>
      <c r="AO430" t="s">
        <v>5843</v>
      </c>
      <c r="AP430">
        <v>20316</v>
      </c>
      <c r="AV430">
        <v>0.4</v>
      </c>
      <c r="AW430" t="s">
        <v>268</v>
      </c>
      <c r="AX430" t="s">
        <v>62</v>
      </c>
    </row>
    <row r="431" spans="1:50">
      <c r="A431" s="1">
        <f>HYPERLINK("https://lsnyc.legalserver.org/matter/dynamic-profile/view/1907851","19-1907851")</f>
        <v>0</v>
      </c>
      <c r="B431" t="s">
        <v>116</v>
      </c>
      <c r="C431" t="s">
        <v>191</v>
      </c>
      <c r="D431" t="s">
        <v>268</v>
      </c>
      <c r="F431" t="s">
        <v>763</v>
      </c>
      <c r="G431" t="s">
        <v>1258</v>
      </c>
      <c r="H431" t="s">
        <v>2262</v>
      </c>
      <c r="I431" t="s">
        <v>2933</v>
      </c>
      <c r="J431" t="s">
        <v>3165</v>
      </c>
      <c r="K431">
        <v>11377</v>
      </c>
      <c r="L431" t="s">
        <v>3185</v>
      </c>
      <c r="M431" t="s">
        <v>3189</v>
      </c>
      <c r="N431" t="s">
        <v>3186</v>
      </c>
      <c r="O431" t="s">
        <v>3357</v>
      </c>
      <c r="P431" t="s">
        <v>3616</v>
      </c>
      <c r="Q431" t="s">
        <v>3639</v>
      </c>
      <c r="S431" t="s">
        <v>268</v>
      </c>
      <c r="T431" t="s">
        <v>3660</v>
      </c>
      <c r="U431" t="s">
        <v>3185</v>
      </c>
      <c r="W431" t="s">
        <v>3670</v>
      </c>
      <c r="Y431">
        <v>1291</v>
      </c>
      <c r="Z431" t="s">
        <v>3688</v>
      </c>
      <c r="AA431" t="s">
        <v>3700</v>
      </c>
      <c r="AC431" t="s">
        <v>4108</v>
      </c>
      <c r="AE431" t="s">
        <v>5226</v>
      </c>
      <c r="AF431">
        <v>66</v>
      </c>
      <c r="AG431" t="s">
        <v>5813</v>
      </c>
      <c r="AH431" t="s">
        <v>3188</v>
      </c>
      <c r="AI431">
        <v>12</v>
      </c>
      <c r="AJ431">
        <v>2</v>
      </c>
      <c r="AK431">
        <v>1</v>
      </c>
      <c r="AL431">
        <v>257.85</v>
      </c>
      <c r="AO431" t="s">
        <v>5843</v>
      </c>
      <c r="AP431">
        <v>55000</v>
      </c>
      <c r="AV431">
        <v>0.4</v>
      </c>
      <c r="AW431" t="s">
        <v>268</v>
      </c>
      <c r="AX431" t="s">
        <v>62</v>
      </c>
    </row>
    <row r="432" spans="1:50">
      <c r="A432" s="1">
        <f>HYPERLINK("https://lsnyc.legalserver.org/matter/dynamic-profile/view/1907974","19-1907974")</f>
        <v>0</v>
      </c>
      <c r="B432" t="s">
        <v>116</v>
      </c>
      <c r="C432" t="s">
        <v>191</v>
      </c>
      <c r="D432" t="s">
        <v>251</v>
      </c>
      <c r="F432" t="s">
        <v>574</v>
      </c>
      <c r="G432" t="s">
        <v>1186</v>
      </c>
      <c r="H432" t="s">
        <v>2262</v>
      </c>
      <c r="I432" t="s">
        <v>2904</v>
      </c>
      <c r="J432" t="s">
        <v>3165</v>
      </c>
      <c r="K432">
        <v>11377</v>
      </c>
      <c r="L432" t="s">
        <v>3185</v>
      </c>
      <c r="M432" t="s">
        <v>3189</v>
      </c>
      <c r="N432" t="s">
        <v>3186</v>
      </c>
      <c r="O432" t="s">
        <v>3357</v>
      </c>
      <c r="P432" t="s">
        <v>3616</v>
      </c>
      <c r="Q432" t="s">
        <v>3639</v>
      </c>
      <c r="S432" t="s">
        <v>251</v>
      </c>
      <c r="T432" t="s">
        <v>3660</v>
      </c>
      <c r="U432" t="s">
        <v>3185</v>
      </c>
      <c r="W432" t="s">
        <v>3670</v>
      </c>
      <c r="Y432">
        <v>1450</v>
      </c>
      <c r="Z432" t="s">
        <v>3688</v>
      </c>
      <c r="AA432" t="s">
        <v>3700</v>
      </c>
      <c r="AC432" t="s">
        <v>4109</v>
      </c>
      <c r="AE432" t="s">
        <v>5227</v>
      </c>
      <c r="AF432">
        <v>66</v>
      </c>
      <c r="AG432" t="s">
        <v>5813</v>
      </c>
      <c r="AH432" t="s">
        <v>3188</v>
      </c>
      <c r="AI432">
        <v>10</v>
      </c>
      <c r="AJ432">
        <v>2</v>
      </c>
      <c r="AK432">
        <v>1</v>
      </c>
      <c r="AL432">
        <v>110.17</v>
      </c>
      <c r="AO432" t="s">
        <v>5844</v>
      </c>
      <c r="AP432">
        <v>23500</v>
      </c>
      <c r="AV432">
        <v>0.3</v>
      </c>
      <c r="AW432" t="s">
        <v>251</v>
      </c>
      <c r="AX432" t="s">
        <v>62</v>
      </c>
    </row>
    <row r="433" spans="1:50">
      <c r="A433" s="1">
        <f>HYPERLINK("https://lsnyc.legalserver.org/matter/dynamic-profile/view/1908218","19-1908218")</f>
        <v>0</v>
      </c>
      <c r="B433" t="s">
        <v>116</v>
      </c>
      <c r="C433" t="s">
        <v>191</v>
      </c>
      <c r="D433" t="s">
        <v>286</v>
      </c>
      <c r="F433" t="s">
        <v>764</v>
      </c>
      <c r="G433" t="s">
        <v>1514</v>
      </c>
      <c r="H433" t="s">
        <v>2262</v>
      </c>
      <c r="I433" t="s">
        <v>2899</v>
      </c>
      <c r="J433" t="s">
        <v>3165</v>
      </c>
      <c r="K433">
        <v>11377</v>
      </c>
      <c r="L433" t="s">
        <v>3185</v>
      </c>
      <c r="M433" t="s">
        <v>3189</v>
      </c>
      <c r="N433" t="s">
        <v>3186</v>
      </c>
      <c r="O433" t="s">
        <v>3357</v>
      </c>
      <c r="P433" t="s">
        <v>3616</v>
      </c>
      <c r="Q433" t="s">
        <v>3639</v>
      </c>
      <c r="S433" t="s">
        <v>286</v>
      </c>
      <c r="T433" t="s">
        <v>3660</v>
      </c>
      <c r="U433" t="s">
        <v>3185</v>
      </c>
      <c r="W433" t="s">
        <v>3670</v>
      </c>
      <c r="Y433">
        <v>1277.9</v>
      </c>
      <c r="Z433" t="s">
        <v>3688</v>
      </c>
      <c r="AA433" t="s">
        <v>3700</v>
      </c>
      <c r="AC433" t="s">
        <v>4110</v>
      </c>
      <c r="AE433" t="s">
        <v>5228</v>
      </c>
      <c r="AF433">
        <v>66</v>
      </c>
      <c r="AG433" t="s">
        <v>5813</v>
      </c>
      <c r="AH433" t="s">
        <v>3188</v>
      </c>
      <c r="AI433">
        <v>0</v>
      </c>
      <c r="AJ433">
        <v>4</v>
      </c>
      <c r="AK433">
        <v>0</v>
      </c>
      <c r="AL433">
        <v>411.65</v>
      </c>
      <c r="AO433" t="s">
        <v>5843</v>
      </c>
      <c r="AP433">
        <v>106000</v>
      </c>
      <c r="AV433">
        <v>0.45</v>
      </c>
      <c r="AW433" t="s">
        <v>222</v>
      </c>
      <c r="AX433" t="s">
        <v>62</v>
      </c>
    </row>
    <row r="434" spans="1:50">
      <c r="A434" s="1">
        <f>HYPERLINK("https://lsnyc.legalserver.org/matter/dynamic-profile/view/1908375","19-1908375")</f>
        <v>0</v>
      </c>
      <c r="B434" t="s">
        <v>116</v>
      </c>
      <c r="C434" t="s">
        <v>191</v>
      </c>
      <c r="D434" t="s">
        <v>262</v>
      </c>
      <c r="F434" t="s">
        <v>765</v>
      </c>
      <c r="G434" t="s">
        <v>1515</v>
      </c>
      <c r="H434" t="s">
        <v>2262</v>
      </c>
      <c r="I434" t="s">
        <v>2914</v>
      </c>
      <c r="J434" t="s">
        <v>3165</v>
      </c>
      <c r="K434">
        <v>11377</v>
      </c>
      <c r="L434" t="s">
        <v>3185</v>
      </c>
      <c r="M434" t="s">
        <v>3189</v>
      </c>
      <c r="N434" t="s">
        <v>3186</v>
      </c>
      <c r="O434" t="s">
        <v>3357</v>
      </c>
      <c r="P434" t="s">
        <v>3616</v>
      </c>
      <c r="Q434" t="s">
        <v>3639</v>
      </c>
      <c r="S434" t="s">
        <v>262</v>
      </c>
      <c r="T434" t="s">
        <v>3660</v>
      </c>
      <c r="U434" t="s">
        <v>3185</v>
      </c>
      <c r="W434" t="s">
        <v>3670</v>
      </c>
      <c r="Y434">
        <v>1382</v>
      </c>
      <c r="Z434" t="s">
        <v>3688</v>
      </c>
      <c r="AA434" t="s">
        <v>3698</v>
      </c>
      <c r="AC434" t="s">
        <v>4111</v>
      </c>
      <c r="AE434" t="s">
        <v>5229</v>
      </c>
      <c r="AF434">
        <v>66</v>
      </c>
      <c r="AG434" t="s">
        <v>5813</v>
      </c>
      <c r="AH434" t="s">
        <v>3188</v>
      </c>
      <c r="AI434">
        <v>19</v>
      </c>
      <c r="AJ434">
        <v>2</v>
      </c>
      <c r="AK434">
        <v>0</v>
      </c>
      <c r="AL434">
        <v>82.79000000000001</v>
      </c>
      <c r="AO434" t="s">
        <v>5844</v>
      </c>
      <c r="AP434">
        <v>14000</v>
      </c>
      <c r="AV434">
        <v>0.4</v>
      </c>
      <c r="AW434" t="s">
        <v>262</v>
      </c>
      <c r="AX434" t="s">
        <v>62</v>
      </c>
    </row>
    <row r="435" spans="1:50">
      <c r="A435" s="1">
        <f>HYPERLINK("https://lsnyc.legalserver.org/matter/dynamic-profile/view/1908351","19-1908351")</f>
        <v>0</v>
      </c>
      <c r="B435" t="s">
        <v>116</v>
      </c>
      <c r="C435" t="s">
        <v>191</v>
      </c>
      <c r="D435" t="s">
        <v>262</v>
      </c>
      <c r="F435" t="s">
        <v>766</v>
      </c>
      <c r="G435" t="s">
        <v>1516</v>
      </c>
      <c r="H435" t="s">
        <v>2262</v>
      </c>
      <c r="I435" t="s">
        <v>2816</v>
      </c>
      <c r="J435" t="s">
        <v>3165</v>
      </c>
      <c r="K435">
        <v>11377</v>
      </c>
      <c r="L435" t="s">
        <v>3185</v>
      </c>
      <c r="M435" t="s">
        <v>3189</v>
      </c>
      <c r="N435" t="s">
        <v>3186</v>
      </c>
      <c r="O435" t="s">
        <v>3357</v>
      </c>
      <c r="P435" t="s">
        <v>3616</v>
      </c>
      <c r="Q435" t="s">
        <v>3639</v>
      </c>
      <c r="S435" t="s">
        <v>262</v>
      </c>
      <c r="T435" t="s">
        <v>3660</v>
      </c>
      <c r="U435" t="s">
        <v>3185</v>
      </c>
      <c r="W435" t="s">
        <v>3670</v>
      </c>
      <c r="Y435">
        <v>1624.22</v>
      </c>
      <c r="Z435" t="s">
        <v>3688</v>
      </c>
      <c r="AA435" t="s">
        <v>3700</v>
      </c>
      <c r="AC435" t="s">
        <v>4112</v>
      </c>
      <c r="AE435" t="s">
        <v>5230</v>
      </c>
      <c r="AF435">
        <v>66</v>
      </c>
      <c r="AG435" t="s">
        <v>5813</v>
      </c>
      <c r="AH435" t="s">
        <v>3188</v>
      </c>
      <c r="AI435">
        <v>0</v>
      </c>
      <c r="AJ435">
        <v>4</v>
      </c>
      <c r="AK435">
        <v>1</v>
      </c>
      <c r="AL435">
        <v>119.32</v>
      </c>
      <c r="AO435" t="s">
        <v>5843</v>
      </c>
      <c r="AP435">
        <v>36000</v>
      </c>
      <c r="AV435">
        <v>0.45</v>
      </c>
      <c r="AW435" t="s">
        <v>222</v>
      </c>
      <c r="AX435" t="s">
        <v>62</v>
      </c>
    </row>
    <row r="436" spans="1:50">
      <c r="A436" s="1">
        <f>HYPERLINK("https://lsnyc.legalserver.org/matter/dynamic-profile/view/1908363","19-1908363")</f>
        <v>0</v>
      </c>
      <c r="B436" t="s">
        <v>116</v>
      </c>
      <c r="C436" t="s">
        <v>191</v>
      </c>
      <c r="D436" t="s">
        <v>262</v>
      </c>
      <c r="F436" t="s">
        <v>767</v>
      </c>
      <c r="G436" t="s">
        <v>1517</v>
      </c>
      <c r="H436" t="s">
        <v>2262</v>
      </c>
      <c r="I436" t="s">
        <v>2829</v>
      </c>
      <c r="J436" t="s">
        <v>3165</v>
      </c>
      <c r="K436">
        <v>11377</v>
      </c>
      <c r="L436" t="s">
        <v>3185</v>
      </c>
      <c r="M436" t="s">
        <v>3189</v>
      </c>
      <c r="N436" t="s">
        <v>3186</v>
      </c>
      <c r="O436" t="s">
        <v>3357</v>
      </c>
      <c r="P436" t="s">
        <v>3616</v>
      </c>
      <c r="Q436" t="s">
        <v>3639</v>
      </c>
      <c r="S436" t="s">
        <v>262</v>
      </c>
      <c r="T436" t="s">
        <v>3660</v>
      </c>
      <c r="U436" t="s">
        <v>3185</v>
      </c>
      <c r="W436" t="s">
        <v>3670</v>
      </c>
      <c r="Y436">
        <v>1854</v>
      </c>
      <c r="Z436" t="s">
        <v>3688</v>
      </c>
      <c r="AA436" t="s">
        <v>3700</v>
      </c>
      <c r="AC436" t="s">
        <v>4113</v>
      </c>
      <c r="AE436" t="s">
        <v>5231</v>
      </c>
      <c r="AF436">
        <v>66</v>
      </c>
      <c r="AG436" t="s">
        <v>5813</v>
      </c>
      <c r="AH436" t="s">
        <v>3188</v>
      </c>
      <c r="AI436">
        <v>26</v>
      </c>
      <c r="AJ436">
        <v>1</v>
      </c>
      <c r="AK436">
        <v>0</v>
      </c>
      <c r="AL436">
        <v>480.38</v>
      </c>
      <c r="AO436" t="s">
        <v>5844</v>
      </c>
      <c r="AP436">
        <v>60000</v>
      </c>
      <c r="AV436">
        <v>0.4</v>
      </c>
      <c r="AW436" t="s">
        <v>262</v>
      </c>
      <c r="AX436" t="s">
        <v>62</v>
      </c>
    </row>
    <row r="437" spans="1:50">
      <c r="A437" s="1">
        <f>HYPERLINK("https://lsnyc.legalserver.org/matter/dynamic-profile/view/1908666","19-1908666")</f>
        <v>0</v>
      </c>
      <c r="B437" t="s">
        <v>116</v>
      </c>
      <c r="C437" t="s">
        <v>191</v>
      </c>
      <c r="D437" t="s">
        <v>244</v>
      </c>
      <c r="F437" t="s">
        <v>768</v>
      </c>
      <c r="G437" t="s">
        <v>1518</v>
      </c>
      <c r="H437" t="s">
        <v>2262</v>
      </c>
      <c r="I437" t="s">
        <v>2888</v>
      </c>
      <c r="J437" t="s">
        <v>3165</v>
      </c>
      <c r="K437">
        <v>11377</v>
      </c>
      <c r="L437" t="s">
        <v>3185</v>
      </c>
      <c r="M437" t="s">
        <v>3189</v>
      </c>
      <c r="N437" t="s">
        <v>3186</v>
      </c>
      <c r="O437" t="s">
        <v>3357</v>
      </c>
      <c r="P437" t="s">
        <v>3616</v>
      </c>
      <c r="Q437" t="s">
        <v>3639</v>
      </c>
      <c r="S437" t="s">
        <v>244</v>
      </c>
      <c r="T437" t="s">
        <v>3660</v>
      </c>
      <c r="U437" t="s">
        <v>3185</v>
      </c>
      <c r="W437" t="s">
        <v>3670</v>
      </c>
      <c r="Y437">
        <v>1541.52</v>
      </c>
      <c r="Z437" t="s">
        <v>3688</v>
      </c>
      <c r="AA437" t="s">
        <v>3700</v>
      </c>
      <c r="AC437" t="s">
        <v>4114</v>
      </c>
      <c r="AE437" t="s">
        <v>4764</v>
      </c>
      <c r="AF437">
        <v>66</v>
      </c>
      <c r="AG437" t="s">
        <v>5813</v>
      </c>
      <c r="AH437" t="s">
        <v>3188</v>
      </c>
      <c r="AI437">
        <v>14</v>
      </c>
      <c r="AJ437">
        <v>3</v>
      </c>
      <c r="AK437">
        <v>1</v>
      </c>
      <c r="AL437">
        <v>100.97</v>
      </c>
      <c r="AO437" t="s">
        <v>5844</v>
      </c>
      <c r="AP437">
        <v>26000</v>
      </c>
      <c r="AV437">
        <v>0.3</v>
      </c>
      <c r="AW437" t="s">
        <v>244</v>
      </c>
      <c r="AX437" t="s">
        <v>62</v>
      </c>
    </row>
    <row r="438" spans="1:50">
      <c r="A438" s="1">
        <f>HYPERLINK("https://lsnyc.legalserver.org/matter/dynamic-profile/view/1908385","19-1908385")</f>
        <v>0</v>
      </c>
      <c r="B438" t="s">
        <v>116</v>
      </c>
      <c r="C438" t="s">
        <v>191</v>
      </c>
      <c r="D438" t="s">
        <v>262</v>
      </c>
      <c r="F438" t="s">
        <v>765</v>
      </c>
      <c r="G438" t="s">
        <v>1515</v>
      </c>
      <c r="H438" t="s">
        <v>2262</v>
      </c>
      <c r="I438" t="s">
        <v>2914</v>
      </c>
      <c r="J438" t="s">
        <v>3165</v>
      </c>
      <c r="K438">
        <v>11377</v>
      </c>
      <c r="L438" t="s">
        <v>3185</v>
      </c>
      <c r="M438" t="s">
        <v>3189</v>
      </c>
      <c r="N438" t="s">
        <v>3186</v>
      </c>
      <c r="O438" t="s">
        <v>3358</v>
      </c>
      <c r="P438" t="s">
        <v>3616</v>
      </c>
      <c r="Q438" t="s">
        <v>3639</v>
      </c>
      <c r="S438" t="s">
        <v>3657</v>
      </c>
      <c r="T438" t="s">
        <v>3660</v>
      </c>
      <c r="U438" t="s">
        <v>3185</v>
      </c>
      <c r="W438" t="s">
        <v>3670</v>
      </c>
      <c r="Y438">
        <v>1382</v>
      </c>
      <c r="Z438" t="s">
        <v>3688</v>
      </c>
      <c r="AA438" t="s">
        <v>3700</v>
      </c>
      <c r="AC438" t="s">
        <v>4111</v>
      </c>
      <c r="AE438" t="s">
        <v>5229</v>
      </c>
      <c r="AF438">
        <v>66</v>
      </c>
      <c r="AG438" t="s">
        <v>5813</v>
      </c>
      <c r="AH438" t="s">
        <v>3188</v>
      </c>
      <c r="AI438">
        <v>19</v>
      </c>
      <c r="AJ438">
        <v>2</v>
      </c>
      <c r="AK438">
        <v>0</v>
      </c>
      <c r="AL438">
        <v>82.79000000000001</v>
      </c>
      <c r="AO438" t="s">
        <v>5844</v>
      </c>
      <c r="AP438">
        <v>14000</v>
      </c>
      <c r="AV438">
        <v>0.2</v>
      </c>
      <c r="AW438" t="s">
        <v>262</v>
      </c>
      <c r="AX438" t="s">
        <v>62</v>
      </c>
    </row>
    <row r="439" spans="1:50">
      <c r="A439" s="1">
        <f>HYPERLINK("https://lsnyc.legalserver.org/matter/dynamic-profile/view/1908752","19-1908752")</f>
        <v>0</v>
      </c>
      <c r="B439" t="s">
        <v>116</v>
      </c>
      <c r="C439" t="s">
        <v>191</v>
      </c>
      <c r="D439" t="s">
        <v>280</v>
      </c>
      <c r="F439" t="s">
        <v>768</v>
      </c>
      <c r="G439" t="s">
        <v>1518</v>
      </c>
      <c r="H439" t="s">
        <v>2262</v>
      </c>
      <c r="I439" t="s">
        <v>2888</v>
      </c>
      <c r="J439" t="s">
        <v>3165</v>
      </c>
      <c r="K439">
        <v>11377</v>
      </c>
      <c r="L439" t="s">
        <v>3185</v>
      </c>
      <c r="M439" t="s">
        <v>3189</v>
      </c>
      <c r="N439" t="s">
        <v>3186</v>
      </c>
      <c r="O439" t="s">
        <v>3358</v>
      </c>
      <c r="P439" t="s">
        <v>3616</v>
      </c>
      <c r="Q439" t="s">
        <v>3639</v>
      </c>
      <c r="S439" t="s">
        <v>3657</v>
      </c>
      <c r="T439" t="s">
        <v>3660</v>
      </c>
      <c r="U439" t="s">
        <v>3185</v>
      </c>
      <c r="W439" t="s">
        <v>3670</v>
      </c>
      <c r="Y439">
        <v>1541.52</v>
      </c>
      <c r="Z439" t="s">
        <v>3688</v>
      </c>
      <c r="AA439" t="s">
        <v>3700</v>
      </c>
      <c r="AC439" t="s">
        <v>4114</v>
      </c>
      <c r="AE439" t="s">
        <v>4764</v>
      </c>
      <c r="AF439">
        <v>66</v>
      </c>
      <c r="AG439" t="s">
        <v>5813</v>
      </c>
      <c r="AH439" t="s">
        <v>3188</v>
      </c>
      <c r="AI439">
        <v>14</v>
      </c>
      <c r="AJ439">
        <v>3</v>
      </c>
      <c r="AK439">
        <v>1</v>
      </c>
      <c r="AL439">
        <v>100.97</v>
      </c>
      <c r="AO439" t="s">
        <v>5844</v>
      </c>
      <c r="AP439">
        <v>26000</v>
      </c>
      <c r="AV439">
        <v>0.2</v>
      </c>
      <c r="AW439" t="s">
        <v>280</v>
      </c>
      <c r="AX439" t="s">
        <v>62</v>
      </c>
    </row>
    <row r="440" spans="1:50">
      <c r="A440" s="1">
        <f>HYPERLINK("https://lsnyc.legalserver.org/matter/dynamic-profile/view/1907976","19-1907976")</f>
        <v>0</v>
      </c>
      <c r="B440" t="s">
        <v>116</v>
      </c>
      <c r="C440" t="s">
        <v>191</v>
      </c>
      <c r="D440" t="s">
        <v>251</v>
      </c>
      <c r="F440" t="s">
        <v>574</v>
      </c>
      <c r="G440" t="s">
        <v>1186</v>
      </c>
      <c r="H440" t="s">
        <v>2262</v>
      </c>
      <c r="I440" t="s">
        <v>2904</v>
      </c>
      <c r="J440" t="s">
        <v>3165</v>
      </c>
      <c r="K440">
        <v>11377</v>
      </c>
      <c r="L440" t="s">
        <v>3185</v>
      </c>
      <c r="M440" t="s">
        <v>3189</v>
      </c>
      <c r="N440" t="s">
        <v>3186</v>
      </c>
      <c r="O440" t="s">
        <v>3358</v>
      </c>
      <c r="P440" t="s">
        <v>3616</v>
      </c>
      <c r="Q440" t="s">
        <v>3639</v>
      </c>
      <c r="S440" t="s">
        <v>3657</v>
      </c>
      <c r="T440" t="s">
        <v>3660</v>
      </c>
      <c r="U440" t="s">
        <v>3185</v>
      </c>
      <c r="W440" t="s">
        <v>3670</v>
      </c>
      <c r="Y440">
        <v>1450</v>
      </c>
      <c r="Z440" t="s">
        <v>3688</v>
      </c>
      <c r="AA440" t="s">
        <v>3700</v>
      </c>
      <c r="AC440" t="s">
        <v>4109</v>
      </c>
      <c r="AE440" t="s">
        <v>5227</v>
      </c>
      <c r="AF440">
        <v>66</v>
      </c>
      <c r="AG440" t="s">
        <v>5813</v>
      </c>
      <c r="AH440" t="s">
        <v>3188</v>
      </c>
      <c r="AI440">
        <v>10</v>
      </c>
      <c r="AJ440">
        <v>2</v>
      </c>
      <c r="AK440">
        <v>1</v>
      </c>
      <c r="AL440">
        <v>110.17</v>
      </c>
      <c r="AO440" t="s">
        <v>5844</v>
      </c>
      <c r="AP440">
        <v>23500</v>
      </c>
      <c r="AV440">
        <v>0.2</v>
      </c>
      <c r="AW440" t="s">
        <v>251</v>
      </c>
      <c r="AX440" t="s">
        <v>62</v>
      </c>
    </row>
    <row r="441" spans="1:50">
      <c r="A441" s="1">
        <f>HYPERLINK("https://lsnyc.legalserver.org/matter/dynamic-profile/view/1908355","19-1908355")</f>
        <v>0</v>
      </c>
      <c r="B441" t="s">
        <v>116</v>
      </c>
      <c r="C441" t="s">
        <v>191</v>
      </c>
      <c r="D441" t="s">
        <v>262</v>
      </c>
      <c r="F441" t="s">
        <v>766</v>
      </c>
      <c r="G441" t="s">
        <v>1516</v>
      </c>
      <c r="H441" t="s">
        <v>2262</v>
      </c>
      <c r="I441" t="s">
        <v>2816</v>
      </c>
      <c r="J441" t="s">
        <v>3165</v>
      </c>
      <c r="K441">
        <v>11377</v>
      </c>
      <c r="L441" t="s">
        <v>3185</v>
      </c>
      <c r="M441" t="s">
        <v>3189</v>
      </c>
      <c r="N441" t="s">
        <v>3186</v>
      </c>
      <c r="O441" t="s">
        <v>3358</v>
      </c>
      <c r="P441" t="s">
        <v>3616</v>
      </c>
      <c r="Q441" t="s">
        <v>3639</v>
      </c>
      <c r="S441" t="s">
        <v>3657</v>
      </c>
      <c r="T441" t="s">
        <v>3660</v>
      </c>
      <c r="U441" t="s">
        <v>3185</v>
      </c>
      <c r="W441" t="s">
        <v>3670</v>
      </c>
      <c r="Y441">
        <v>1624.22</v>
      </c>
      <c r="Z441" t="s">
        <v>3688</v>
      </c>
      <c r="AA441" t="s">
        <v>3700</v>
      </c>
      <c r="AC441" t="s">
        <v>4112</v>
      </c>
      <c r="AE441" t="s">
        <v>5230</v>
      </c>
      <c r="AF441">
        <v>66</v>
      </c>
      <c r="AG441" t="s">
        <v>5813</v>
      </c>
      <c r="AH441" t="s">
        <v>3188</v>
      </c>
      <c r="AI441">
        <v>0</v>
      </c>
      <c r="AJ441">
        <v>4</v>
      </c>
      <c r="AK441">
        <v>1</v>
      </c>
      <c r="AL441">
        <v>119.32</v>
      </c>
      <c r="AO441" t="s">
        <v>5843</v>
      </c>
      <c r="AP441">
        <v>36000</v>
      </c>
      <c r="AV441">
        <v>0.2</v>
      </c>
      <c r="AW441" t="s">
        <v>262</v>
      </c>
      <c r="AX441" t="s">
        <v>62</v>
      </c>
    </row>
    <row r="442" spans="1:50">
      <c r="A442" s="1">
        <f>HYPERLINK("https://lsnyc.legalserver.org/matter/dynamic-profile/view/1907829","19-1907829")</f>
        <v>0</v>
      </c>
      <c r="B442" t="s">
        <v>116</v>
      </c>
      <c r="C442" t="s">
        <v>191</v>
      </c>
      <c r="D442" t="s">
        <v>268</v>
      </c>
      <c r="F442" t="s">
        <v>761</v>
      </c>
      <c r="G442" t="s">
        <v>1512</v>
      </c>
      <c r="H442" t="s">
        <v>2262</v>
      </c>
      <c r="I442" t="s">
        <v>2981</v>
      </c>
      <c r="J442" t="s">
        <v>3165</v>
      </c>
      <c r="K442">
        <v>11377</v>
      </c>
      <c r="L442" t="s">
        <v>3185</v>
      </c>
      <c r="M442" t="s">
        <v>3189</v>
      </c>
      <c r="N442" t="s">
        <v>3186</v>
      </c>
      <c r="O442" t="s">
        <v>3358</v>
      </c>
      <c r="P442" t="s">
        <v>3616</v>
      </c>
      <c r="Q442" t="s">
        <v>3639</v>
      </c>
      <c r="S442" t="s">
        <v>3657</v>
      </c>
      <c r="T442" t="s">
        <v>3660</v>
      </c>
      <c r="U442" t="s">
        <v>3185</v>
      </c>
      <c r="W442" t="s">
        <v>3670</v>
      </c>
      <c r="Y442">
        <v>0</v>
      </c>
      <c r="Z442" t="s">
        <v>3688</v>
      </c>
      <c r="AA442" t="s">
        <v>3700</v>
      </c>
      <c r="AC442" t="s">
        <v>4106</v>
      </c>
      <c r="AE442" t="s">
        <v>5224</v>
      </c>
      <c r="AF442">
        <v>66</v>
      </c>
      <c r="AG442" t="s">
        <v>5813</v>
      </c>
      <c r="AH442" t="s">
        <v>3188</v>
      </c>
      <c r="AI442">
        <v>8</v>
      </c>
      <c r="AJ442">
        <v>1</v>
      </c>
      <c r="AK442">
        <v>0</v>
      </c>
      <c r="AL442">
        <v>133.23</v>
      </c>
      <c r="AO442" t="s">
        <v>5844</v>
      </c>
      <c r="AP442">
        <v>16640</v>
      </c>
      <c r="AV442">
        <v>0.3</v>
      </c>
      <c r="AW442" t="s">
        <v>268</v>
      </c>
      <c r="AX442" t="s">
        <v>62</v>
      </c>
    </row>
    <row r="443" spans="1:50">
      <c r="A443" s="1">
        <f>HYPERLINK("https://lsnyc.legalserver.org/matter/dynamic-profile/view/1907844","19-1907844")</f>
        <v>0</v>
      </c>
      <c r="B443" t="s">
        <v>116</v>
      </c>
      <c r="C443" t="s">
        <v>191</v>
      </c>
      <c r="D443" t="s">
        <v>268</v>
      </c>
      <c r="F443" t="s">
        <v>762</v>
      </c>
      <c r="G443" t="s">
        <v>1513</v>
      </c>
      <c r="H443" t="s">
        <v>2262</v>
      </c>
      <c r="I443" t="s">
        <v>2860</v>
      </c>
      <c r="J443" t="s">
        <v>3165</v>
      </c>
      <c r="K443">
        <v>11377</v>
      </c>
      <c r="L443" t="s">
        <v>3185</v>
      </c>
      <c r="M443" t="s">
        <v>3189</v>
      </c>
      <c r="N443" t="s">
        <v>3186</v>
      </c>
      <c r="O443" t="s">
        <v>3358</v>
      </c>
      <c r="P443" t="s">
        <v>3616</v>
      </c>
      <c r="Q443" t="s">
        <v>3639</v>
      </c>
      <c r="S443" t="s">
        <v>3657</v>
      </c>
      <c r="T443" t="s">
        <v>3660</v>
      </c>
      <c r="U443" t="s">
        <v>3184</v>
      </c>
      <c r="W443" t="s">
        <v>3670</v>
      </c>
      <c r="Y443">
        <v>892.58</v>
      </c>
      <c r="Z443" t="s">
        <v>3688</v>
      </c>
      <c r="AA443" t="s">
        <v>3700</v>
      </c>
      <c r="AC443" t="s">
        <v>4107</v>
      </c>
      <c r="AD443" t="s">
        <v>4800</v>
      </c>
      <c r="AE443" t="s">
        <v>5225</v>
      </c>
      <c r="AF443">
        <v>66</v>
      </c>
      <c r="AG443" t="s">
        <v>5813</v>
      </c>
      <c r="AH443" t="s">
        <v>5826</v>
      </c>
      <c r="AI443">
        <v>61</v>
      </c>
      <c r="AJ443">
        <v>1</v>
      </c>
      <c r="AK443">
        <v>0</v>
      </c>
      <c r="AL443">
        <v>162.66</v>
      </c>
      <c r="AO443" t="s">
        <v>5843</v>
      </c>
      <c r="AP443">
        <v>20316</v>
      </c>
      <c r="AV443">
        <v>0.2</v>
      </c>
      <c r="AW443" t="s">
        <v>268</v>
      </c>
      <c r="AX443" t="s">
        <v>62</v>
      </c>
    </row>
    <row r="444" spans="1:50">
      <c r="A444" s="1">
        <f>HYPERLINK("https://lsnyc.legalserver.org/matter/dynamic-profile/view/1907856","19-1907856")</f>
        <v>0</v>
      </c>
      <c r="B444" t="s">
        <v>116</v>
      </c>
      <c r="C444" t="s">
        <v>191</v>
      </c>
      <c r="D444" t="s">
        <v>268</v>
      </c>
      <c r="F444" t="s">
        <v>763</v>
      </c>
      <c r="G444" t="s">
        <v>1258</v>
      </c>
      <c r="H444" t="s">
        <v>2262</v>
      </c>
      <c r="I444" t="s">
        <v>2933</v>
      </c>
      <c r="J444" t="s">
        <v>3165</v>
      </c>
      <c r="K444">
        <v>11377</v>
      </c>
      <c r="L444" t="s">
        <v>3185</v>
      </c>
      <c r="M444" t="s">
        <v>3189</v>
      </c>
      <c r="N444" t="s">
        <v>3186</v>
      </c>
      <c r="O444" t="s">
        <v>3358</v>
      </c>
      <c r="P444" t="s">
        <v>3616</v>
      </c>
      <c r="Q444" t="s">
        <v>3639</v>
      </c>
      <c r="S444" t="s">
        <v>3657</v>
      </c>
      <c r="T444" t="s">
        <v>3660</v>
      </c>
      <c r="U444" t="s">
        <v>3185</v>
      </c>
      <c r="W444" t="s">
        <v>3670</v>
      </c>
      <c r="Y444">
        <v>1291</v>
      </c>
      <c r="Z444" t="s">
        <v>3688</v>
      </c>
      <c r="AA444" t="s">
        <v>3700</v>
      </c>
      <c r="AC444" t="s">
        <v>4108</v>
      </c>
      <c r="AE444" t="s">
        <v>5226</v>
      </c>
      <c r="AF444">
        <v>66</v>
      </c>
      <c r="AG444" t="s">
        <v>5813</v>
      </c>
      <c r="AH444" t="s">
        <v>3188</v>
      </c>
      <c r="AI444">
        <v>66</v>
      </c>
      <c r="AJ444">
        <v>2</v>
      </c>
      <c r="AK444">
        <v>1</v>
      </c>
      <c r="AL444">
        <v>257.85</v>
      </c>
      <c r="AO444" t="s">
        <v>5843</v>
      </c>
      <c r="AP444">
        <v>55000</v>
      </c>
      <c r="AV444">
        <v>0.4</v>
      </c>
      <c r="AW444" t="s">
        <v>268</v>
      </c>
      <c r="AX444" t="s">
        <v>62</v>
      </c>
    </row>
    <row r="445" spans="1:50">
      <c r="A445" s="1">
        <f>HYPERLINK("https://lsnyc.legalserver.org/matter/dynamic-profile/view/1908223","19-1908223")</f>
        <v>0</v>
      </c>
      <c r="B445" t="s">
        <v>116</v>
      </c>
      <c r="C445" t="s">
        <v>191</v>
      </c>
      <c r="D445" t="s">
        <v>286</v>
      </c>
      <c r="F445" t="s">
        <v>764</v>
      </c>
      <c r="G445" t="s">
        <v>1514</v>
      </c>
      <c r="H445" t="s">
        <v>2262</v>
      </c>
      <c r="I445" t="s">
        <v>2899</v>
      </c>
      <c r="J445" t="s">
        <v>3165</v>
      </c>
      <c r="K445">
        <v>11377</v>
      </c>
      <c r="L445" t="s">
        <v>3185</v>
      </c>
      <c r="M445" t="s">
        <v>3189</v>
      </c>
      <c r="N445" t="s">
        <v>3186</v>
      </c>
      <c r="O445" t="s">
        <v>3358</v>
      </c>
      <c r="P445" t="s">
        <v>3616</v>
      </c>
      <c r="Q445" t="s">
        <v>3639</v>
      </c>
      <c r="S445" t="s">
        <v>3657</v>
      </c>
      <c r="T445" t="s">
        <v>3660</v>
      </c>
      <c r="U445" t="s">
        <v>3185</v>
      </c>
      <c r="W445" t="s">
        <v>3670</v>
      </c>
      <c r="Y445">
        <v>1277</v>
      </c>
      <c r="Z445" t="s">
        <v>3688</v>
      </c>
      <c r="AA445" t="s">
        <v>3700</v>
      </c>
      <c r="AC445" t="s">
        <v>4110</v>
      </c>
      <c r="AE445" t="s">
        <v>5228</v>
      </c>
      <c r="AF445">
        <v>66</v>
      </c>
      <c r="AG445" t="s">
        <v>5813</v>
      </c>
      <c r="AH445" t="s">
        <v>3188</v>
      </c>
      <c r="AI445">
        <v>0</v>
      </c>
      <c r="AJ445">
        <v>4</v>
      </c>
      <c r="AK445">
        <v>0</v>
      </c>
      <c r="AL445">
        <v>411.65</v>
      </c>
      <c r="AO445" t="s">
        <v>5843</v>
      </c>
      <c r="AP445">
        <v>106000</v>
      </c>
      <c r="AV445">
        <v>0.3</v>
      </c>
      <c r="AW445" t="s">
        <v>286</v>
      </c>
      <c r="AX445" t="s">
        <v>62</v>
      </c>
    </row>
    <row r="446" spans="1:50">
      <c r="A446" s="1">
        <f>HYPERLINK("https://lsnyc.legalserver.org/matter/dynamic-profile/view/1908367","19-1908367")</f>
        <v>0</v>
      </c>
      <c r="B446" t="s">
        <v>116</v>
      </c>
      <c r="C446" t="s">
        <v>191</v>
      </c>
      <c r="D446" t="s">
        <v>262</v>
      </c>
      <c r="F446" t="s">
        <v>767</v>
      </c>
      <c r="G446" t="s">
        <v>1517</v>
      </c>
      <c r="H446" t="s">
        <v>2262</v>
      </c>
      <c r="I446" t="s">
        <v>2829</v>
      </c>
      <c r="J446" t="s">
        <v>3165</v>
      </c>
      <c r="K446">
        <v>11377</v>
      </c>
      <c r="L446" t="s">
        <v>3185</v>
      </c>
      <c r="M446" t="s">
        <v>3189</v>
      </c>
      <c r="N446" t="s">
        <v>3186</v>
      </c>
      <c r="O446" t="s">
        <v>3358</v>
      </c>
      <c r="P446" t="s">
        <v>3616</v>
      </c>
      <c r="Q446" t="s">
        <v>3639</v>
      </c>
      <c r="S446" t="s">
        <v>3657</v>
      </c>
      <c r="T446" t="s">
        <v>3660</v>
      </c>
      <c r="U446" t="s">
        <v>3185</v>
      </c>
      <c r="W446" t="s">
        <v>3670</v>
      </c>
      <c r="Y446">
        <v>1854</v>
      </c>
      <c r="Z446" t="s">
        <v>3688</v>
      </c>
      <c r="AA446" t="s">
        <v>3700</v>
      </c>
      <c r="AC446" t="s">
        <v>4113</v>
      </c>
      <c r="AE446" t="s">
        <v>5231</v>
      </c>
      <c r="AF446">
        <v>66</v>
      </c>
      <c r="AG446" t="s">
        <v>5813</v>
      </c>
      <c r="AH446" t="s">
        <v>3188</v>
      </c>
      <c r="AI446">
        <v>26</v>
      </c>
      <c r="AJ446">
        <v>1</v>
      </c>
      <c r="AK446">
        <v>0</v>
      </c>
      <c r="AL446">
        <v>480.38</v>
      </c>
      <c r="AO446" t="s">
        <v>5844</v>
      </c>
      <c r="AP446">
        <v>60000</v>
      </c>
      <c r="AV446">
        <v>0.2</v>
      </c>
      <c r="AW446" t="s">
        <v>262</v>
      </c>
      <c r="AX446" t="s">
        <v>62</v>
      </c>
    </row>
    <row r="447" spans="1:50">
      <c r="A447" s="1">
        <f>HYPERLINK("https://lsnyc.legalserver.org/matter/dynamic-profile/view/1904274","19-1904274")</f>
        <v>0</v>
      </c>
      <c r="B447" t="s">
        <v>118</v>
      </c>
      <c r="C447" t="s">
        <v>191</v>
      </c>
      <c r="D447" t="s">
        <v>193</v>
      </c>
      <c r="F447" t="s">
        <v>769</v>
      </c>
      <c r="G447" t="s">
        <v>1519</v>
      </c>
      <c r="H447" t="s">
        <v>2263</v>
      </c>
      <c r="I447" t="s">
        <v>2906</v>
      </c>
      <c r="J447" t="s">
        <v>3146</v>
      </c>
      <c r="K447">
        <v>10013</v>
      </c>
      <c r="L447" t="s">
        <v>3185</v>
      </c>
      <c r="M447" t="s">
        <v>3189</v>
      </c>
      <c r="N447" t="s">
        <v>3186</v>
      </c>
      <c r="O447" t="s">
        <v>3359</v>
      </c>
      <c r="P447" t="s">
        <v>3613</v>
      </c>
      <c r="Q447" t="s">
        <v>3637</v>
      </c>
      <c r="T447" t="s">
        <v>3660</v>
      </c>
      <c r="U447" t="s">
        <v>3184</v>
      </c>
      <c r="W447" t="s">
        <v>3670</v>
      </c>
      <c r="Y447">
        <v>0</v>
      </c>
      <c r="Z447" t="s">
        <v>3689</v>
      </c>
      <c r="AC447" t="s">
        <v>4115</v>
      </c>
      <c r="AE447" t="s">
        <v>5232</v>
      </c>
      <c r="AF447">
        <v>0</v>
      </c>
      <c r="AG447" t="s">
        <v>5817</v>
      </c>
      <c r="AH447" t="s">
        <v>3188</v>
      </c>
      <c r="AI447">
        <v>0</v>
      </c>
      <c r="AJ447">
        <v>2</v>
      </c>
      <c r="AK447">
        <v>0</v>
      </c>
      <c r="AL447">
        <v>119.93</v>
      </c>
      <c r="AO447" t="s">
        <v>5855</v>
      </c>
      <c r="AP447">
        <v>20280</v>
      </c>
      <c r="AV447">
        <v>1</v>
      </c>
      <c r="AW447" t="s">
        <v>260</v>
      </c>
      <c r="AX447" t="s">
        <v>6041</v>
      </c>
    </row>
    <row r="448" spans="1:50">
      <c r="A448" s="1">
        <f>HYPERLINK("https://lsnyc.legalserver.org/matter/dynamic-profile/view/1905420","19-1905420")</f>
        <v>0</v>
      </c>
      <c r="B448" t="s">
        <v>118</v>
      </c>
      <c r="C448" t="s">
        <v>191</v>
      </c>
      <c r="D448" t="s">
        <v>217</v>
      </c>
      <c r="F448" t="s">
        <v>770</v>
      </c>
      <c r="G448" t="s">
        <v>1520</v>
      </c>
      <c r="H448" t="s">
        <v>2264</v>
      </c>
      <c r="I448">
        <v>9</v>
      </c>
      <c r="J448" t="s">
        <v>3146</v>
      </c>
      <c r="K448">
        <v>10002</v>
      </c>
      <c r="L448" t="s">
        <v>3185</v>
      </c>
      <c r="M448" t="s">
        <v>3189</v>
      </c>
      <c r="N448" t="s">
        <v>3186</v>
      </c>
      <c r="O448" t="s">
        <v>3360</v>
      </c>
      <c r="P448" t="s">
        <v>3613</v>
      </c>
      <c r="Q448" t="s">
        <v>3637</v>
      </c>
      <c r="T448" t="s">
        <v>3660</v>
      </c>
      <c r="U448" t="s">
        <v>3184</v>
      </c>
      <c r="W448" t="s">
        <v>3670</v>
      </c>
      <c r="X448" t="s">
        <v>3681</v>
      </c>
      <c r="Y448">
        <v>1114</v>
      </c>
      <c r="Z448" t="s">
        <v>3689</v>
      </c>
      <c r="AA448" t="s">
        <v>3704</v>
      </c>
      <c r="AC448" t="s">
        <v>4116</v>
      </c>
      <c r="AE448" t="s">
        <v>5233</v>
      </c>
      <c r="AF448">
        <v>0</v>
      </c>
      <c r="AG448" t="s">
        <v>3263</v>
      </c>
      <c r="AH448" t="s">
        <v>3188</v>
      </c>
      <c r="AI448">
        <v>23</v>
      </c>
      <c r="AJ448">
        <v>4</v>
      </c>
      <c r="AK448">
        <v>0</v>
      </c>
      <c r="AL448">
        <v>166.99</v>
      </c>
      <c r="AO448" t="s">
        <v>5856</v>
      </c>
      <c r="AP448">
        <v>43000</v>
      </c>
      <c r="AV448">
        <v>0.5</v>
      </c>
      <c r="AW448" t="s">
        <v>217</v>
      </c>
      <c r="AX448" t="s">
        <v>6041</v>
      </c>
    </row>
    <row r="449" spans="1:50">
      <c r="A449" s="1">
        <f>HYPERLINK("https://lsnyc.legalserver.org/matter/dynamic-profile/view/1876048","18-1876048")</f>
        <v>0</v>
      </c>
      <c r="B449" t="s">
        <v>117</v>
      </c>
      <c r="C449" t="s">
        <v>191</v>
      </c>
      <c r="D449" t="s">
        <v>296</v>
      </c>
      <c r="F449" t="s">
        <v>663</v>
      </c>
      <c r="G449" t="s">
        <v>1207</v>
      </c>
      <c r="H449" t="s">
        <v>2265</v>
      </c>
      <c r="J449" t="s">
        <v>3148</v>
      </c>
      <c r="K449">
        <v>11224</v>
      </c>
      <c r="L449" t="s">
        <v>3186</v>
      </c>
      <c r="N449" t="s">
        <v>3186</v>
      </c>
      <c r="O449" t="s">
        <v>3361</v>
      </c>
      <c r="P449" t="s">
        <v>3613</v>
      </c>
      <c r="Q449" t="s">
        <v>3638</v>
      </c>
      <c r="T449" t="s">
        <v>3660</v>
      </c>
      <c r="W449" t="s">
        <v>3670</v>
      </c>
      <c r="Y449">
        <v>2135</v>
      </c>
      <c r="Z449" t="s">
        <v>3691</v>
      </c>
      <c r="AA449" t="s">
        <v>3698</v>
      </c>
      <c r="AC449" t="s">
        <v>4117</v>
      </c>
      <c r="AF449">
        <v>0</v>
      </c>
      <c r="AH449" t="s">
        <v>5827</v>
      </c>
      <c r="AI449">
        <v>30</v>
      </c>
      <c r="AJ449">
        <v>3</v>
      </c>
      <c r="AK449">
        <v>0</v>
      </c>
      <c r="AL449">
        <v>46.87</v>
      </c>
      <c r="AO449" t="s">
        <v>5843</v>
      </c>
      <c r="AP449">
        <v>9740.4</v>
      </c>
      <c r="AV449">
        <v>50.95</v>
      </c>
      <c r="AW449" t="s">
        <v>275</v>
      </c>
      <c r="AX449" t="s">
        <v>6042</v>
      </c>
    </row>
    <row r="450" spans="1:50">
      <c r="A450" s="1">
        <f>HYPERLINK("https://lsnyc.legalserver.org/matter/dynamic-profile/view/1906627","19-1906627")</f>
        <v>0</v>
      </c>
      <c r="B450" t="s">
        <v>115</v>
      </c>
      <c r="C450" t="s">
        <v>191</v>
      </c>
      <c r="D450" t="s">
        <v>277</v>
      </c>
      <c r="F450" t="s">
        <v>771</v>
      </c>
      <c r="G450" t="s">
        <v>1521</v>
      </c>
      <c r="H450" t="s">
        <v>2266</v>
      </c>
      <c r="J450" t="s">
        <v>3148</v>
      </c>
      <c r="K450">
        <v>11206</v>
      </c>
      <c r="L450" t="s">
        <v>3185</v>
      </c>
      <c r="M450" t="s">
        <v>3189</v>
      </c>
      <c r="N450" t="s">
        <v>3186</v>
      </c>
      <c r="P450" t="s">
        <v>3610</v>
      </c>
      <c r="Q450" t="s">
        <v>3638</v>
      </c>
      <c r="S450" t="s">
        <v>277</v>
      </c>
      <c r="T450" t="s">
        <v>3660</v>
      </c>
      <c r="U450" t="s">
        <v>3184</v>
      </c>
      <c r="W450" t="s">
        <v>3670</v>
      </c>
      <c r="X450" t="s">
        <v>3681</v>
      </c>
      <c r="Y450">
        <v>588</v>
      </c>
      <c r="Z450" t="s">
        <v>3691</v>
      </c>
      <c r="AA450" t="s">
        <v>3696</v>
      </c>
      <c r="AC450" t="s">
        <v>4118</v>
      </c>
      <c r="AE450" t="s">
        <v>5234</v>
      </c>
      <c r="AF450">
        <v>8</v>
      </c>
      <c r="AG450" t="s">
        <v>5813</v>
      </c>
      <c r="AI450">
        <v>4</v>
      </c>
      <c r="AJ450">
        <v>1</v>
      </c>
      <c r="AK450">
        <v>1</v>
      </c>
      <c r="AL450">
        <v>218.81</v>
      </c>
      <c r="AM450" t="s">
        <v>228</v>
      </c>
      <c r="AN450" t="s">
        <v>5839</v>
      </c>
      <c r="AO450" t="s">
        <v>5843</v>
      </c>
      <c r="AP450">
        <v>37000</v>
      </c>
      <c r="AV450">
        <v>0.1</v>
      </c>
      <c r="AW450" t="s">
        <v>290</v>
      </c>
      <c r="AX450" t="s">
        <v>122</v>
      </c>
    </row>
    <row r="451" spans="1:50">
      <c r="A451" s="1">
        <f>HYPERLINK("https://lsnyc.legalserver.org/matter/dynamic-profile/view/1876097","18-1876097")</f>
        <v>0</v>
      </c>
      <c r="B451" t="s">
        <v>119</v>
      </c>
      <c r="C451" t="s">
        <v>191</v>
      </c>
      <c r="D451" t="s">
        <v>296</v>
      </c>
      <c r="F451" t="s">
        <v>589</v>
      </c>
      <c r="G451" t="s">
        <v>1522</v>
      </c>
      <c r="H451" t="s">
        <v>2267</v>
      </c>
      <c r="I451" t="s">
        <v>2931</v>
      </c>
      <c r="J451" t="s">
        <v>3148</v>
      </c>
      <c r="K451">
        <v>11230</v>
      </c>
      <c r="L451" t="s">
        <v>3186</v>
      </c>
      <c r="N451" t="s">
        <v>3186</v>
      </c>
      <c r="O451" t="s">
        <v>3362</v>
      </c>
      <c r="P451" t="s">
        <v>3613</v>
      </c>
      <c r="Q451" t="s">
        <v>3638</v>
      </c>
      <c r="T451" t="s">
        <v>3660</v>
      </c>
      <c r="U451" t="s">
        <v>3184</v>
      </c>
      <c r="W451" t="s">
        <v>3670</v>
      </c>
      <c r="Y451">
        <v>1050</v>
      </c>
      <c r="Z451" t="s">
        <v>3691</v>
      </c>
      <c r="AA451" t="s">
        <v>3696</v>
      </c>
      <c r="AC451" t="s">
        <v>4119</v>
      </c>
      <c r="AE451" t="s">
        <v>5235</v>
      </c>
      <c r="AF451">
        <v>0</v>
      </c>
      <c r="AG451" t="s">
        <v>5813</v>
      </c>
      <c r="AI451">
        <v>5</v>
      </c>
      <c r="AJ451">
        <v>1</v>
      </c>
      <c r="AK451">
        <v>1</v>
      </c>
      <c r="AL451">
        <v>145.81</v>
      </c>
      <c r="AO451" t="s">
        <v>5843</v>
      </c>
      <c r="AP451">
        <v>24000</v>
      </c>
      <c r="AV451">
        <v>25.6</v>
      </c>
      <c r="AW451" t="s">
        <v>5982</v>
      </c>
      <c r="AX451" t="s">
        <v>148</v>
      </c>
    </row>
    <row r="452" spans="1:50">
      <c r="A452" s="1">
        <f>HYPERLINK("https://lsnyc.legalserver.org/matter/dynamic-profile/view/1900257","19-1900257")</f>
        <v>0</v>
      </c>
      <c r="B452" t="s">
        <v>120</v>
      </c>
      <c r="C452" t="s">
        <v>192</v>
      </c>
      <c r="D452" t="s">
        <v>259</v>
      </c>
      <c r="E452" t="s">
        <v>243</v>
      </c>
      <c r="F452" t="s">
        <v>772</v>
      </c>
      <c r="G452" t="s">
        <v>1523</v>
      </c>
      <c r="H452" t="s">
        <v>2268</v>
      </c>
      <c r="I452" t="s">
        <v>2982</v>
      </c>
      <c r="J452" t="s">
        <v>3148</v>
      </c>
      <c r="K452">
        <v>11237</v>
      </c>
      <c r="L452" t="s">
        <v>3186</v>
      </c>
      <c r="N452" t="s">
        <v>3186</v>
      </c>
      <c r="R452" t="s">
        <v>3643</v>
      </c>
      <c r="T452" t="s">
        <v>3660</v>
      </c>
      <c r="W452" t="s">
        <v>3670</v>
      </c>
      <c r="Y452">
        <v>1950</v>
      </c>
      <c r="Z452" t="s">
        <v>3691</v>
      </c>
      <c r="AA452" t="s">
        <v>3632</v>
      </c>
      <c r="AB452" t="s">
        <v>3712</v>
      </c>
      <c r="AC452" t="s">
        <v>4120</v>
      </c>
      <c r="AE452" t="s">
        <v>5236</v>
      </c>
      <c r="AF452">
        <v>0</v>
      </c>
      <c r="AG452" t="s">
        <v>5811</v>
      </c>
      <c r="AI452">
        <v>3</v>
      </c>
      <c r="AJ452">
        <v>1</v>
      </c>
      <c r="AK452">
        <v>0</v>
      </c>
      <c r="AL452">
        <v>39.14</v>
      </c>
      <c r="AO452" t="s">
        <v>5843</v>
      </c>
      <c r="AP452">
        <v>4888</v>
      </c>
      <c r="AV452">
        <v>1.85</v>
      </c>
      <c r="AW452" t="s">
        <v>243</v>
      </c>
      <c r="AX452" t="s">
        <v>6022</v>
      </c>
    </row>
    <row r="453" spans="1:50">
      <c r="A453" s="1">
        <f>HYPERLINK("https://lsnyc.legalserver.org/matter/dynamic-profile/view/1898448","19-1898448")</f>
        <v>0</v>
      </c>
      <c r="B453" t="s">
        <v>120</v>
      </c>
      <c r="C453" t="s">
        <v>192</v>
      </c>
      <c r="D453" t="s">
        <v>257</v>
      </c>
      <c r="E453" t="s">
        <v>221</v>
      </c>
      <c r="F453" t="s">
        <v>589</v>
      </c>
      <c r="G453" t="s">
        <v>1524</v>
      </c>
      <c r="H453" t="s">
        <v>2269</v>
      </c>
      <c r="I453" t="s">
        <v>2983</v>
      </c>
      <c r="J453" t="s">
        <v>3148</v>
      </c>
      <c r="K453">
        <v>11213</v>
      </c>
      <c r="L453" t="s">
        <v>3186</v>
      </c>
      <c r="N453" t="s">
        <v>3186</v>
      </c>
      <c r="O453" t="s">
        <v>3363</v>
      </c>
      <c r="P453" t="s">
        <v>3610</v>
      </c>
      <c r="Q453" t="s">
        <v>3638</v>
      </c>
      <c r="R453" t="s">
        <v>3644</v>
      </c>
      <c r="T453" t="s">
        <v>3660</v>
      </c>
      <c r="U453" t="s">
        <v>3184</v>
      </c>
      <c r="W453" t="s">
        <v>3670</v>
      </c>
      <c r="Y453">
        <v>659.4299999999999</v>
      </c>
      <c r="Z453" t="s">
        <v>3691</v>
      </c>
      <c r="AA453" t="s">
        <v>3696</v>
      </c>
      <c r="AB453" t="s">
        <v>3714</v>
      </c>
      <c r="AC453" t="s">
        <v>4121</v>
      </c>
      <c r="AE453" t="s">
        <v>5237</v>
      </c>
      <c r="AF453">
        <v>8</v>
      </c>
      <c r="AG453" t="s">
        <v>5817</v>
      </c>
      <c r="AI453">
        <v>18</v>
      </c>
      <c r="AJ453">
        <v>2</v>
      </c>
      <c r="AK453">
        <v>2</v>
      </c>
      <c r="AL453">
        <v>36.12</v>
      </c>
      <c r="AO453" t="s">
        <v>5843</v>
      </c>
      <c r="AP453">
        <v>9300</v>
      </c>
      <c r="AR453" t="s">
        <v>5931</v>
      </c>
      <c r="AS453" t="s">
        <v>5938</v>
      </c>
      <c r="AT453" t="s">
        <v>5946</v>
      </c>
      <c r="AU453" t="s">
        <v>5959</v>
      </c>
      <c r="AV453">
        <v>13.15</v>
      </c>
      <c r="AW453" t="s">
        <v>221</v>
      </c>
      <c r="AX453" t="s">
        <v>143</v>
      </c>
    </row>
    <row r="454" spans="1:50">
      <c r="A454" s="1">
        <f>HYPERLINK("https://lsnyc.legalserver.org/matter/dynamic-profile/view/1905736","19-1905736")</f>
        <v>0</v>
      </c>
      <c r="B454" t="s">
        <v>115</v>
      </c>
      <c r="C454" t="s">
        <v>191</v>
      </c>
      <c r="D454" t="s">
        <v>203</v>
      </c>
      <c r="F454" t="s">
        <v>773</v>
      </c>
      <c r="G454" t="s">
        <v>1525</v>
      </c>
      <c r="H454" t="s">
        <v>2238</v>
      </c>
      <c r="I454" t="s">
        <v>2830</v>
      </c>
      <c r="J454" t="s">
        <v>3148</v>
      </c>
      <c r="K454">
        <v>11233</v>
      </c>
      <c r="L454" t="s">
        <v>3185</v>
      </c>
      <c r="M454" t="s">
        <v>3189</v>
      </c>
      <c r="N454" t="s">
        <v>3186</v>
      </c>
      <c r="O454" t="s">
        <v>3364</v>
      </c>
      <c r="P454" t="s">
        <v>3612</v>
      </c>
      <c r="Q454" t="s">
        <v>3638</v>
      </c>
      <c r="T454" t="s">
        <v>3660</v>
      </c>
      <c r="U454" t="s">
        <v>3185</v>
      </c>
      <c r="W454" t="s">
        <v>3670</v>
      </c>
      <c r="X454" t="s">
        <v>3681</v>
      </c>
      <c r="Y454">
        <v>1200</v>
      </c>
      <c r="Z454" t="s">
        <v>3691</v>
      </c>
      <c r="AA454" t="s">
        <v>3696</v>
      </c>
      <c r="AC454" t="s">
        <v>4122</v>
      </c>
      <c r="AD454" t="s">
        <v>3218</v>
      </c>
      <c r="AE454" t="s">
        <v>5238</v>
      </c>
      <c r="AF454">
        <v>6</v>
      </c>
      <c r="AG454" t="s">
        <v>5813</v>
      </c>
      <c r="AH454" t="s">
        <v>3188</v>
      </c>
      <c r="AI454">
        <v>6</v>
      </c>
      <c r="AJ454">
        <v>1</v>
      </c>
      <c r="AK454">
        <v>0</v>
      </c>
      <c r="AL454">
        <v>464.37</v>
      </c>
      <c r="AO454" t="s">
        <v>5843</v>
      </c>
      <c r="AP454">
        <v>58000</v>
      </c>
      <c r="AQ454" t="s">
        <v>5890</v>
      </c>
      <c r="AV454">
        <v>0</v>
      </c>
      <c r="AX454" t="s">
        <v>158</v>
      </c>
    </row>
    <row r="455" spans="1:50">
      <c r="A455" s="1">
        <f>HYPERLINK("https://lsnyc.legalserver.org/matter/dynamic-profile/view/1905728","19-1905728")</f>
        <v>0</v>
      </c>
      <c r="B455" t="s">
        <v>115</v>
      </c>
      <c r="C455" t="s">
        <v>191</v>
      </c>
      <c r="D455" t="s">
        <v>203</v>
      </c>
      <c r="F455" t="s">
        <v>773</v>
      </c>
      <c r="G455" t="s">
        <v>1525</v>
      </c>
      <c r="H455" t="s">
        <v>2238</v>
      </c>
      <c r="I455" t="s">
        <v>2830</v>
      </c>
      <c r="J455" t="s">
        <v>3148</v>
      </c>
      <c r="K455">
        <v>11233</v>
      </c>
      <c r="L455" t="s">
        <v>3185</v>
      </c>
      <c r="M455" t="s">
        <v>3189</v>
      </c>
      <c r="N455" t="s">
        <v>3186</v>
      </c>
      <c r="O455" t="s">
        <v>3191</v>
      </c>
      <c r="P455" t="s">
        <v>3622</v>
      </c>
      <c r="Q455" t="s">
        <v>3636</v>
      </c>
      <c r="T455" t="s">
        <v>3660</v>
      </c>
      <c r="U455" t="s">
        <v>3185</v>
      </c>
      <c r="W455" t="s">
        <v>3670</v>
      </c>
      <c r="X455" t="s">
        <v>3681</v>
      </c>
      <c r="Y455">
        <v>1200</v>
      </c>
      <c r="Z455" t="s">
        <v>3691</v>
      </c>
      <c r="AA455" t="s">
        <v>3696</v>
      </c>
      <c r="AC455" t="s">
        <v>4122</v>
      </c>
      <c r="AD455" t="s">
        <v>3188</v>
      </c>
      <c r="AE455" t="s">
        <v>5238</v>
      </c>
      <c r="AF455">
        <v>6</v>
      </c>
      <c r="AG455" t="s">
        <v>5813</v>
      </c>
      <c r="AH455" t="s">
        <v>3188</v>
      </c>
      <c r="AI455">
        <v>6</v>
      </c>
      <c r="AJ455">
        <v>1</v>
      </c>
      <c r="AK455">
        <v>0</v>
      </c>
      <c r="AL455">
        <v>464.37</v>
      </c>
      <c r="AO455" t="s">
        <v>5843</v>
      </c>
      <c r="AP455">
        <v>58000</v>
      </c>
      <c r="AQ455" t="s">
        <v>5890</v>
      </c>
      <c r="AV455">
        <v>0</v>
      </c>
      <c r="AX455" t="s">
        <v>158</v>
      </c>
    </row>
    <row r="456" spans="1:50">
      <c r="A456" s="1">
        <f>HYPERLINK("https://lsnyc.legalserver.org/matter/dynamic-profile/view/1905731","19-1905731")</f>
        <v>0</v>
      </c>
      <c r="B456" t="s">
        <v>115</v>
      </c>
      <c r="C456" t="s">
        <v>191</v>
      </c>
      <c r="D456" t="s">
        <v>203</v>
      </c>
      <c r="F456" t="s">
        <v>773</v>
      </c>
      <c r="G456" t="s">
        <v>1525</v>
      </c>
      <c r="H456" t="s">
        <v>2238</v>
      </c>
      <c r="I456" t="s">
        <v>2830</v>
      </c>
      <c r="J456" t="s">
        <v>3148</v>
      </c>
      <c r="K456">
        <v>11233</v>
      </c>
      <c r="L456" t="s">
        <v>3185</v>
      </c>
      <c r="M456" t="s">
        <v>3189</v>
      </c>
      <c r="N456" t="s">
        <v>3186</v>
      </c>
      <c r="O456" t="s">
        <v>3200</v>
      </c>
      <c r="P456" t="s">
        <v>3622</v>
      </c>
      <c r="Q456" t="s">
        <v>3636</v>
      </c>
      <c r="T456" t="s">
        <v>3660</v>
      </c>
      <c r="U456" t="s">
        <v>3185</v>
      </c>
      <c r="W456" t="s">
        <v>3670</v>
      </c>
      <c r="X456" t="s">
        <v>3681</v>
      </c>
      <c r="Y456">
        <v>1200</v>
      </c>
      <c r="Z456" t="s">
        <v>3691</v>
      </c>
      <c r="AA456" t="s">
        <v>3696</v>
      </c>
      <c r="AC456" t="s">
        <v>4122</v>
      </c>
      <c r="AD456" t="s">
        <v>3218</v>
      </c>
      <c r="AE456" t="s">
        <v>5238</v>
      </c>
      <c r="AF456">
        <v>6</v>
      </c>
      <c r="AG456" t="s">
        <v>5813</v>
      </c>
      <c r="AH456" t="s">
        <v>3188</v>
      </c>
      <c r="AI456">
        <v>6</v>
      </c>
      <c r="AJ456">
        <v>1</v>
      </c>
      <c r="AK456">
        <v>0</v>
      </c>
      <c r="AL456">
        <v>464.37</v>
      </c>
      <c r="AO456" t="s">
        <v>5843</v>
      </c>
      <c r="AP456">
        <v>58000</v>
      </c>
      <c r="AQ456" t="s">
        <v>5890</v>
      </c>
      <c r="AV456">
        <v>0</v>
      </c>
      <c r="AX456" t="s">
        <v>158</v>
      </c>
    </row>
    <row r="457" spans="1:50">
      <c r="A457" s="1">
        <f>HYPERLINK("https://lsnyc.legalserver.org/matter/dynamic-profile/view/1905734","19-1905734")</f>
        <v>0</v>
      </c>
      <c r="B457" t="s">
        <v>115</v>
      </c>
      <c r="C457" t="s">
        <v>191</v>
      </c>
      <c r="D457" t="s">
        <v>203</v>
      </c>
      <c r="F457" t="s">
        <v>773</v>
      </c>
      <c r="G457" t="s">
        <v>1525</v>
      </c>
      <c r="H457" t="s">
        <v>2238</v>
      </c>
      <c r="I457" t="s">
        <v>2830</v>
      </c>
      <c r="J457" t="s">
        <v>3148</v>
      </c>
      <c r="K457">
        <v>11233</v>
      </c>
      <c r="L457" t="s">
        <v>3185</v>
      </c>
      <c r="M457" t="s">
        <v>3189</v>
      </c>
      <c r="N457" t="s">
        <v>3186</v>
      </c>
      <c r="O457" t="s">
        <v>3200</v>
      </c>
      <c r="P457" t="s">
        <v>3622</v>
      </c>
      <c r="Q457" t="s">
        <v>3636</v>
      </c>
      <c r="T457" t="s">
        <v>3660</v>
      </c>
      <c r="U457" t="s">
        <v>3185</v>
      </c>
      <c r="W457" t="s">
        <v>3670</v>
      </c>
      <c r="X457" t="s">
        <v>3681</v>
      </c>
      <c r="Y457">
        <v>1200</v>
      </c>
      <c r="Z457" t="s">
        <v>3691</v>
      </c>
      <c r="AA457" t="s">
        <v>3696</v>
      </c>
      <c r="AC457" t="s">
        <v>4122</v>
      </c>
      <c r="AD457" t="s">
        <v>3218</v>
      </c>
      <c r="AE457" t="s">
        <v>5238</v>
      </c>
      <c r="AF457">
        <v>6</v>
      </c>
      <c r="AG457" t="s">
        <v>5813</v>
      </c>
      <c r="AH457" t="s">
        <v>3188</v>
      </c>
      <c r="AI457">
        <v>6</v>
      </c>
      <c r="AJ457">
        <v>1</v>
      </c>
      <c r="AK457">
        <v>0</v>
      </c>
      <c r="AL457">
        <v>464.37</v>
      </c>
      <c r="AO457" t="s">
        <v>5843</v>
      </c>
      <c r="AP457">
        <v>58000</v>
      </c>
      <c r="AQ457" t="s">
        <v>5890</v>
      </c>
      <c r="AV457">
        <v>0</v>
      </c>
      <c r="AX457" t="s">
        <v>158</v>
      </c>
    </row>
    <row r="458" spans="1:50">
      <c r="A458" s="1">
        <f>HYPERLINK("https://lsnyc.legalserver.org/matter/dynamic-profile/view/1906897","19-1906897")</f>
        <v>0</v>
      </c>
      <c r="B458" t="s">
        <v>121</v>
      </c>
      <c r="C458" t="s">
        <v>192</v>
      </c>
      <c r="D458" t="s">
        <v>226</v>
      </c>
      <c r="E458" t="s">
        <v>198</v>
      </c>
      <c r="F458" t="s">
        <v>774</v>
      </c>
      <c r="G458" t="s">
        <v>1526</v>
      </c>
      <c r="H458" t="s">
        <v>2270</v>
      </c>
      <c r="I458" t="s">
        <v>2901</v>
      </c>
      <c r="J458" t="s">
        <v>3146</v>
      </c>
      <c r="K458">
        <v>10002</v>
      </c>
      <c r="L458" t="s">
        <v>3185</v>
      </c>
      <c r="M458" t="s">
        <v>3189</v>
      </c>
      <c r="N458" t="s">
        <v>3186</v>
      </c>
      <c r="P458" t="s">
        <v>3257</v>
      </c>
      <c r="Q458" t="s">
        <v>3634</v>
      </c>
      <c r="R458" t="s">
        <v>3642</v>
      </c>
      <c r="S458" t="s">
        <v>226</v>
      </c>
      <c r="T458" t="s">
        <v>3660</v>
      </c>
      <c r="U458" t="s">
        <v>3184</v>
      </c>
      <c r="W458" t="s">
        <v>3670</v>
      </c>
      <c r="Y458">
        <v>947</v>
      </c>
      <c r="Z458" t="s">
        <v>3689</v>
      </c>
      <c r="AA458" t="s">
        <v>3704</v>
      </c>
      <c r="AB458" t="s">
        <v>3712</v>
      </c>
      <c r="AC458" t="s">
        <v>4123</v>
      </c>
      <c r="AE458" t="s">
        <v>5239</v>
      </c>
      <c r="AF458">
        <v>0</v>
      </c>
      <c r="AG458" t="s">
        <v>5813</v>
      </c>
      <c r="AH458" t="s">
        <v>5829</v>
      </c>
      <c r="AI458">
        <v>1</v>
      </c>
      <c r="AJ458">
        <v>1</v>
      </c>
      <c r="AK458">
        <v>0</v>
      </c>
      <c r="AL458">
        <v>89.93000000000001</v>
      </c>
      <c r="AO458" t="s">
        <v>5856</v>
      </c>
      <c r="AP458">
        <v>11232</v>
      </c>
      <c r="AV458">
        <v>2.4</v>
      </c>
      <c r="AW458" t="s">
        <v>251</v>
      </c>
      <c r="AX458" t="s">
        <v>6041</v>
      </c>
    </row>
    <row r="459" spans="1:50">
      <c r="A459" s="1">
        <f>HYPERLINK("https://lsnyc.legalserver.org/matter/dynamic-profile/view/0831293","17-0831293")</f>
        <v>0</v>
      </c>
      <c r="B459" t="s">
        <v>122</v>
      </c>
      <c r="C459" t="s">
        <v>192</v>
      </c>
      <c r="D459" t="s">
        <v>313</v>
      </c>
      <c r="E459" t="s">
        <v>226</v>
      </c>
      <c r="F459" t="s">
        <v>775</v>
      </c>
      <c r="G459" t="s">
        <v>1527</v>
      </c>
      <c r="H459" t="s">
        <v>2271</v>
      </c>
      <c r="I459">
        <v>14</v>
      </c>
      <c r="J459" t="s">
        <v>3148</v>
      </c>
      <c r="K459">
        <v>11219</v>
      </c>
      <c r="L459" t="s">
        <v>3185</v>
      </c>
      <c r="M459" t="s">
        <v>3189</v>
      </c>
      <c r="N459" t="s">
        <v>3186</v>
      </c>
      <c r="O459" t="s">
        <v>3365</v>
      </c>
      <c r="P459" t="s">
        <v>3610</v>
      </c>
      <c r="Q459" t="s">
        <v>3638</v>
      </c>
      <c r="R459" t="s">
        <v>3642</v>
      </c>
      <c r="S459" t="s">
        <v>285</v>
      </c>
      <c r="T459" t="s">
        <v>3660</v>
      </c>
      <c r="U459" t="s">
        <v>3184</v>
      </c>
      <c r="V459" t="s">
        <v>3664</v>
      </c>
      <c r="W459" t="s">
        <v>3670</v>
      </c>
      <c r="X459" t="s">
        <v>3682</v>
      </c>
      <c r="Y459">
        <v>1065</v>
      </c>
      <c r="Z459" t="s">
        <v>3691</v>
      </c>
      <c r="AA459" t="s">
        <v>3701</v>
      </c>
      <c r="AB459" t="s">
        <v>3714</v>
      </c>
      <c r="AC459" t="s">
        <v>4124</v>
      </c>
      <c r="AE459" t="s">
        <v>5240</v>
      </c>
      <c r="AF459">
        <v>14</v>
      </c>
      <c r="AG459" t="s">
        <v>5813</v>
      </c>
      <c r="AH459" t="s">
        <v>3188</v>
      </c>
      <c r="AI459">
        <v>12</v>
      </c>
      <c r="AJ459">
        <v>3</v>
      </c>
      <c r="AK459">
        <v>0</v>
      </c>
      <c r="AL459">
        <v>32.32</v>
      </c>
      <c r="AO459" t="s">
        <v>5857</v>
      </c>
      <c r="AP459">
        <v>6600</v>
      </c>
      <c r="AT459" t="s">
        <v>5946</v>
      </c>
      <c r="AU459" t="s">
        <v>5964</v>
      </c>
      <c r="AV459">
        <v>95.65000000000001</v>
      </c>
      <c r="AW459" t="s">
        <v>226</v>
      </c>
      <c r="AX459" t="s">
        <v>6043</v>
      </c>
    </row>
    <row r="460" spans="1:50">
      <c r="A460" s="1">
        <f>HYPERLINK("https://lsnyc.legalserver.org/matter/dynamic-profile/view/1903853","19-1903853")</f>
        <v>0</v>
      </c>
      <c r="B460" t="s">
        <v>122</v>
      </c>
      <c r="C460" t="s">
        <v>192</v>
      </c>
      <c r="D460" t="s">
        <v>194</v>
      </c>
      <c r="E460" t="s">
        <v>290</v>
      </c>
      <c r="F460" t="s">
        <v>609</v>
      </c>
      <c r="G460" t="s">
        <v>1528</v>
      </c>
      <c r="H460" t="s">
        <v>2272</v>
      </c>
      <c r="I460">
        <v>1</v>
      </c>
      <c r="J460" t="s">
        <v>3148</v>
      </c>
      <c r="K460">
        <v>11233</v>
      </c>
      <c r="L460" t="s">
        <v>3185</v>
      </c>
      <c r="M460" t="s">
        <v>3189</v>
      </c>
      <c r="N460" t="s">
        <v>3186</v>
      </c>
      <c r="O460" t="s">
        <v>3366</v>
      </c>
      <c r="P460" t="s">
        <v>3613</v>
      </c>
      <c r="Q460" t="s">
        <v>3636</v>
      </c>
      <c r="R460" t="s">
        <v>3643</v>
      </c>
      <c r="S460" t="s">
        <v>232</v>
      </c>
      <c r="T460" t="s">
        <v>3660</v>
      </c>
      <c r="U460" t="s">
        <v>3184</v>
      </c>
      <c r="W460" t="s">
        <v>3671</v>
      </c>
      <c r="X460" t="s">
        <v>3683</v>
      </c>
      <c r="Y460">
        <v>650</v>
      </c>
      <c r="Z460" t="s">
        <v>3691</v>
      </c>
      <c r="AA460" t="s">
        <v>3696</v>
      </c>
      <c r="AB460" t="s">
        <v>3716</v>
      </c>
      <c r="AC460" t="s">
        <v>4125</v>
      </c>
      <c r="AE460" t="s">
        <v>5241</v>
      </c>
      <c r="AF460">
        <v>3</v>
      </c>
      <c r="AG460" t="s">
        <v>5814</v>
      </c>
      <c r="AH460" t="s">
        <v>3188</v>
      </c>
      <c r="AI460">
        <v>4</v>
      </c>
      <c r="AJ460">
        <v>2</v>
      </c>
      <c r="AK460">
        <v>0</v>
      </c>
      <c r="AL460">
        <v>59.04</v>
      </c>
      <c r="AO460" t="s">
        <v>5843</v>
      </c>
      <c r="AP460">
        <v>9984</v>
      </c>
      <c r="AS460" t="s">
        <v>3632</v>
      </c>
      <c r="AT460" t="s">
        <v>5947</v>
      </c>
      <c r="AU460" t="s">
        <v>5958</v>
      </c>
      <c r="AV460">
        <v>1.2</v>
      </c>
      <c r="AW460" t="s">
        <v>290</v>
      </c>
      <c r="AX460" t="s">
        <v>6013</v>
      </c>
    </row>
    <row r="461" spans="1:50">
      <c r="A461" s="1">
        <f>HYPERLINK("https://lsnyc.legalserver.org/matter/dynamic-profile/view/1905330","19-1905330")</f>
        <v>0</v>
      </c>
      <c r="B461" t="s">
        <v>123</v>
      </c>
      <c r="C461" t="s">
        <v>192</v>
      </c>
      <c r="D461" t="s">
        <v>210</v>
      </c>
      <c r="E461" t="s">
        <v>216</v>
      </c>
      <c r="F461" t="s">
        <v>452</v>
      </c>
      <c r="G461" t="s">
        <v>1186</v>
      </c>
      <c r="H461" t="s">
        <v>2273</v>
      </c>
      <c r="I461">
        <v>307</v>
      </c>
      <c r="J461" t="s">
        <v>3146</v>
      </c>
      <c r="K461">
        <v>10029</v>
      </c>
      <c r="L461" t="s">
        <v>3185</v>
      </c>
      <c r="M461" t="s">
        <v>3189</v>
      </c>
      <c r="N461" t="s">
        <v>3186</v>
      </c>
      <c r="P461" t="s">
        <v>3257</v>
      </c>
      <c r="Q461" t="s">
        <v>3634</v>
      </c>
      <c r="R461" t="s">
        <v>3642</v>
      </c>
      <c r="S461" t="s">
        <v>210</v>
      </c>
      <c r="T461" t="s">
        <v>3660</v>
      </c>
      <c r="U461" t="s">
        <v>3184</v>
      </c>
      <c r="W461" t="s">
        <v>3670</v>
      </c>
      <c r="X461" t="s">
        <v>3681</v>
      </c>
      <c r="Y461">
        <v>3682</v>
      </c>
      <c r="Z461" t="s">
        <v>3689</v>
      </c>
      <c r="AA461" t="s">
        <v>3697</v>
      </c>
      <c r="AB461" t="s">
        <v>3712</v>
      </c>
      <c r="AC461" t="s">
        <v>4126</v>
      </c>
      <c r="AE461" t="s">
        <v>5242</v>
      </c>
      <c r="AF461">
        <v>78</v>
      </c>
      <c r="AG461" t="s">
        <v>5813</v>
      </c>
      <c r="AH461" t="s">
        <v>5827</v>
      </c>
      <c r="AI461">
        <v>24</v>
      </c>
      <c r="AJ461">
        <v>3</v>
      </c>
      <c r="AK461">
        <v>0</v>
      </c>
      <c r="AL461">
        <v>177.67</v>
      </c>
      <c r="AO461" t="s">
        <v>5843</v>
      </c>
      <c r="AP461">
        <v>37896</v>
      </c>
      <c r="AV461">
        <v>0.3</v>
      </c>
      <c r="AW461" t="s">
        <v>210</v>
      </c>
      <c r="AX461" t="s">
        <v>6007</v>
      </c>
    </row>
    <row r="462" spans="1:50">
      <c r="A462" s="1">
        <f>HYPERLINK("https://lsnyc.legalserver.org/matter/dynamic-profile/view/1904190","19-1904190")</f>
        <v>0</v>
      </c>
      <c r="B462" t="s">
        <v>123</v>
      </c>
      <c r="C462" t="s">
        <v>191</v>
      </c>
      <c r="D462" t="s">
        <v>213</v>
      </c>
      <c r="F462" t="s">
        <v>776</v>
      </c>
      <c r="G462" t="s">
        <v>1515</v>
      </c>
      <c r="H462" t="s">
        <v>2274</v>
      </c>
      <c r="I462">
        <v>309</v>
      </c>
      <c r="J462" t="s">
        <v>3146</v>
      </c>
      <c r="K462">
        <v>10029</v>
      </c>
      <c r="L462" t="s">
        <v>3185</v>
      </c>
      <c r="M462" t="s">
        <v>3189</v>
      </c>
      <c r="N462" t="s">
        <v>3186</v>
      </c>
      <c r="P462" t="s">
        <v>3612</v>
      </c>
      <c r="Q462" t="s">
        <v>3637</v>
      </c>
      <c r="S462" t="s">
        <v>223</v>
      </c>
      <c r="T462" t="s">
        <v>3660</v>
      </c>
      <c r="U462" t="s">
        <v>3185</v>
      </c>
      <c r="W462" t="s">
        <v>3670</v>
      </c>
      <c r="X462" t="s">
        <v>3681</v>
      </c>
      <c r="Y462">
        <v>274</v>
      </c>
      <c r="Z462" t="s">
        <v>3689</v>
      </c>
      <c r="AA462" t="s">
        <v>3704</v>
      </c>
      <c r="AC462" t="s">
        <v>4127</v>
      </c>
      <c r="AE462" t="s">
        <v>5243</v>
      </c>
      <c r="AF462">
        <v>108</v>
      </c>
      <c r="AG462" t="s">
        <v>5812</v>
      </c>
      <c r="AH462" t="s">
        <v>3188</v>
      </c>
      <c r="AI462">
        <v>29</v>
      </c>
      <c r="AJ462">
        <v>2</v>
      </c>
      <c r="AK462">
        <v>0</v>
      </c>
      <c r="AL462">
        <v>79.91</v>
      </c>
      <c r="AO462" t="s">
        <v>5843</v>
      </c>
      <c r="AP462">
        <v>13512</v>
      </c>
      <c r="AV462">
        <v>0</v>
      </c>
      <c r="AX462" t="s">
        <v>6007</v>
      </c>
    </row>
    <row r="463" spans="1:50">
      <c r="A463" s="1">
        <f>HYPERLINK("https://lsnyc.legalserver.org/matter/dynamic-profile/view/1904206","19-1904206")</f>
        <v>0</v>
      </c>
      <c r="B463" t="s">
        <v>123</v>
      </c>
      <c r="C463" t="s">
        <v>191</v>
      </c>
      <c r="D463" t="s">
        <v>213</v>
      </c>
      <c r="F463" t="s">
        <v>777</v>
      </c>
      <c r="G463" t="s">
        <v>1486</v>
      </c>
      <c r="H463" t="s">
        <v>2275</v>
      </c>
      <c r="I463" t="s">
        <v>2860</v>
      </c>
      <c r="J463" t="s">
        <v>3146</v>
      </c>
      <c r="K463">
        <v>10024</v>
      </c>
      <c r="L463" t="s">
        <v>3185</v>
      </c>
      <c r="M463" t="s">
        <v>3189</v>
      </c>
      <c r="N463" t="s">
        <v>3186</v>
      </c>
      <c r="P463" t="s">
        <v>3257</v>
      </c>
      <c r="Q463" t="s">
        <v>3636</v>
      </c>
      <c r="S463" t="s">
        <v>213</v>
      </c>
      <c r="T463" t="s">
        <v>3660</v>
      </c>
      <c r="U463" t="s">
        <v>3184</v>
      </c>
      <c r="W463" t="s">
        <v>3670</v>
      </c>
      <c r="X463" t="s">
        <v>3681</v>
      </c>
      <c r="Y463">
        <v>1300</v>
      </c>
      <c r="Z463" t="s">
        <v>3689</v>
      </c>
      <c r="AA463" t="s">
        <v>3705</v>
      </c>
      <c r="AC463" t="s">
        <v>4128</v>
      </c>
      <c r="AE463" t="s">
        <v>5244</v>
      </c>
      <c r="AF463">
        <v>10</v>
      </c>
      <c r="AG463" t="s">
        <v>5813</v>
      </c>
      <c r="AH463" t="s">
        <v>3188</v>
      </c>
      <c r="AI463">
        <v>30</v>
      </c>
      <c r="AJ463">
        <v>2</v>
      </c>
      <c r="AK463">
        <v>0</v>
      </c>
      <c r="AL463">
        <v>532.23</v>
      </c>
      <c r="AO463" t="s">
        <v>5843</v>
      </c>
      <c r="AP463">
        <v>90000</v>
      </c>
      <c r="AV463">
        <v>45.25</v>
      </c>
      <c r="AW463" t="s">
        <v>275</v>
      </c>
      <c r="AX463" t="s">
        <v>6007</v>
      </c>
    </row>
    <row r="464" spans="1:50">
      <c r="A464" s="1">
        <f>HYPERLINK("https://lsnyc.legalserver.org/matter/dynamic-profile/view/1905196","19-1905196")</f>
        <v>0</v>
      </c>
      <c r="B464" t="s">
        <v>123</v>
      </c>
      <c r="C464" t="s">
        <v>191</v>
      </c>
      <c r="D464" t="s">
        <v>254</v>
      </c>
      <c r="F464" t="s">
        <v>778</v>
      </c>
      <c r="G464" t="s">
        <v>1529</v>
      </c>
      <c r="H464" t="s">
        <v>2275</v>
      </c>
      <c r="I464" t="s">
        <v>2897</v>
      </c>
      <c r="J464" t="s">
        <v>3146</v>
      </c>
      <c r="K464">
        <v>10024</v>
      </c>
      <c r="L464" t="s">
        <v>3185</v>
      </c>
      <c r="M464" t="s">
        <v>3189</v>
      </c>
      <c r="N464" t="s">
        <v>3186</v>
      </c>
      <c r="P464" t="s">
        <v>3616</v>
      </c>
      <c r="Q464" t="s">
        <v>3637</v>
      </c>
      <c r="S464" t="s">
        <v>249</v>
      </c>
      <c r="T464" t="s">
        <v>3660</v>
      </c>
      <c r="U464" t="s">
        <v>3185</v>
      </c>
      <c r="W464" t="s">
        <v>3670</v>
      </c>
      <c r="X464" t="s">
        <v>3681</v>
      </c>
      <c r="Y464">
        <v>875</v>
      </c>
      <c r="Z464" t="s">
        <v>3689</v>
      </c>
      <c r="AA464" t="s">
        <v>3705</v>
      </c>
      <c r="AC464" t="s">
        <v>4129</v>
      </c>
      <c r="AE464" t="s">
        <v>5245</v>
      </c>
      <c r="AF464">
        <v>10</v>
      </c>
      <c r="AG464" t="s">
        <v>5813</v>
      </c>
      <c r="AH464" t="s">
        <v>5826</v>
      </c>
      <c r="AI464">
        <v>48</v>
      </c>
      <c r="AJ464">
        <v>2</v>
      </c>
      <c r="AK464">
        <v>0</v>
      </c>
      <c r="AL464">
        <v>15.97</v>
      </c>
      <c r="AO464" t="s">
        <v>5843</v>
      </c>
      <c r="AP464">
        <v>2700</v>
      </c>
      <c r="AV464">
        <v>0</v>
      </c>
      <c r="AX464" t="s">
        <v>6007</v>
      </c>
    </row>
    <row r="465" spans="1:50">
      <c r="A465" s="1">
        <f>HYPERLINK("https://lsnyc.legalserver.org/matter/dynamic-profile/view/1905248","19-1905248")</f>
        <v>0</v>
      </c>
      <c r="B465" t="s">
        <v>123</v>
      </c>
      <c r="C465" t="s">
        <v>191</v>
      </c>
      <c r="D465" t="s">
        <v>254</v>
      </c>
      <c r="F465" t="s">
        <v>779</v>
      </c>
      <c r="G465" t="s">
        <v>1530</v>
      </c>
      <c r="H465" t="s">
        <v>2275</v>
      </c>
      <c r="I465" t="s">
        <v>2819</v>
      </c>
      <c r="J465" t="s">
        <v>3146</v>
      </c>
      <c r="K465">
        <v>10024</v>
      </c>
      <c r="L465" t="s">
        <v>3185</v>
      </c>
      <c r="M465" t="s">
        <v>3189</v>
      </c>
      <c r="N465" t="s">
        <v>3186</v>
      </c>
      <c r="P465" t="s">
        <v>3616</v>
      </c>
      <c r="Q465" t="s">
        <v>3639</v>
      </c>
      <c r="S465" t="s">
        <v>254</v>
      </c>
      <c r="T465" t="s">
        <v>3660</v>
      </c>
      <c r="U465" t="s">
        <v>3185</v>
      </c>
      <c r="W465" t="s">
        <v>3670</v>
      </c>
      <c r="X465" t="s">
        <v>3681</v>
      </c>
      <c r="Y465">
        <v>792.7</v>
      </c>
      <c r="Z465" t="s">
        <v>3689</v>
      </c>
      <c r="AA465" t="s">
        <v>3705</v>
      </c>
      <c r="AC465" t="s">
        <v>4130</v>
      </c>
      <c r="AE465" t="s">
        <v>5246</v>
      </c>
      <c r="AF465">
        <v>10</v>
      </c>
      <c r="AG465" t="s">
        <v>5813</v>
      </c>
      <c r="AH465" t="s">
        <v>5826</v>
      </c>
      <c r="AI465">
        <v>39</v>
      </c>
      <c r="AJ465">
        <v>1</v>
      </c>
      <c r="AK465">
        <v>0</v>
      </c>
      <c r="AL465">
        <v>144.12</v>
      </c>
      <c r="AO465" t="s">
        <v>5843</v>
      </c>
      <c r="AP465">
        <v>18000</v>
      </c>
      <c r="AV465">
        <v>0</v>
      </c>
      <c r="AX465" t="s">
        <v>6007</v>
      </c>
    </row>
    <row r="466" spans="1:50">
      <c r="A466" s="1">
        <f>HYPERLINK("https://lsnyc.legalserver.org/matter/dynamic-profile/view/1905257","19-1905257")</f>
        <v>0</v>
      </c>
      <c r="B466" t="s">
        <v>123</v>
      </c>
      <c r="C466" t="s">
        <v>191</v>
      </c>
      <c r="D466" t="s">
        <v>254</v>
      </c>
      <c r="F466" t="s">
        <v>780</v>
      </c>
      <c r="G466" t="s">
        <v>1531</v>
      </c>
      <c r="H466" t="s">
        <v>2275</v>
      </c>
      <c r="I466" t="s">
        <v>2894</v>
      </c>
      <c r="J466" t="s">
        <v>3146</v>
      </c>
      <c r="K466">
        <v>10024</v>
      </c>
      <c r="L466" t="s">
        <v>3185</v>
      </c>
      <c r="M466" t="s">
        <v>3189</v>
      </c>
      <c r="N466" t="s">
        <v>3186</v>
      </c>
      <c r="P466" t="s">
        <v>3616</v>
      </c>
      <c r="Q466" t="s">
        <v>3639</v>
      </c>
      <c r="S466" t="s">
        <v>254</v>
      </c>
      <c r="T466" t="s">
        <v>3660</v>
      </c>
      <c r="U466" t="s">
        <v>3185</v>
      </c>
      <c r="W466" t="s">
        <v>3670</v>
      </c>
      <c r="X466" t="s">
        <v>3681</v>
      </c>
      <c r="Y466">
        <v>1009</v>
      </c>
      <c r="Z466" t="s">
        <v>3689</v>
      </c>
      <c r="AA466" t="s">
        <v>3705</v>
      </c>
      <c r="AC466" t="s">
        <v>4131</v>
      </c>
      <c r="AE466" t="s">
        <v>5247</v>
      </c>
      <c r="AF466">
        <v>10</v>
      </c>
      <c r="AG466" t="s">
        <v>5813</v>
      </c>
      <c r="AH466" t="s">
        <v>3188</v>
      </c>
      <c r="AI466">
        <v>42</v>
      </c>
      <c r="AJ466">
        <v>1</v>
      </c>
      <c r="AK466">
        <v>0</v>
      </c>
      <c r="AL466">
        <v>424.34</v>
      </c>
      <c r="AO466" t="s">
        <v>5843</v>
      </c>
      <c r="AP466">
        <v>53000</v>
      </c>
      <c r="AV466">
        <v>0</v>
      </c>
      <c r="AX466" t="s">
        <v>6007</v>
      </c>
    </row>
    <row r="467" spans="1:50">
      <c r="A467" s="1">
        <f>HYPERLINK("https://lsnyc.legalserver.org/matter/dynamic-profile/view/1907450","19-1907450")</f>
        <v>0</v>
      </c>
      <c r="B467" t="s">
        <v>123</v>
      </c>
      <c r="C467" t="s">
        <v>191</v>
      </c>
      <c r="D467" t="s">
        <v>234</v>
      </c>
      <c r="F467" t="s">
        <v>463</v>
      </c>
      <c r="G467" t="s">
        <v>1532</v>
      </c>
      <c r="H467" t="s">
        <v>2276</v>
      </c>
      <c r="I467" t="s">
        <v>2888</v>
      </c>
      <c r="J467" t="s">
        <v>3146</v>
      </c>
      <c r="K467">
        <v>10034</v>
      </c>
      <c r="L467" t="s">
        <v>3185</v>
      </c>
      <c r="M467" t="s">
        <v>3189</v>
      </c>
      <c r="N467" t="s">
        <v>3186</v>
      </c>
      <c r="P467" t="s">
        <v>3257</v>
      </c>
      <c r="Q467" t="s">
        <v>3637</v>
      </c>
      <c r="S467" t="s">
        <v>253</v>
      </c>
      <c r="T467" t="s">
        <v>3660</v>
      </c>
      <c r="U467" t="s">
        <v>3184</v>
      </c>
      <c r="W467" t="s">
        <v>3670</v>
      </c>
      <c r="X467" t="s">
        <v>3681</v>
      </c>
      <c r="Y467">
        <v>1448.89</v>
      </c>
      <c r="Z467" t="s">
        <v>3689</v>
      </c>
      <c r="AA467" t="s">
        <v>3697</v>
      </c>
      <c r="AC467" t="s">
        <v>4132</v>
      </c>
      <c r="AE467" t="s">
        <v>5248</v>
      </c>
      <c r="AF467">
        <v>32</v>
      </c>
      <c r="AG467" t="s">
        <v>5813</v>
      </c>
      <c r="AH467" t="s">
        <v>3188</v>
      </c>
      <c r="AI467">
        <v>18</v>
      </c>
      <c r="AJ467">
        <v>1</v>
      </c>
      <c r="AK467">
        <v>0</v>
      </c>
      <c r="AL467">
        <v>240.19</v>
      </c>
      <c r="AO467" t="s">
        <v>5843</v>
      </c>
      <c r="AP467">
        <v>30000</v>
      </c>
      <c r="AV467">
        <v>5.9</v>
      </c>
      <c r="AW467" t="s">
        <v>291</v>
      </c>
      <c r="AX467" t="s">
        <v>6007</v>
      </c>
    </row>
    <row r="468" spans="1:50">
      <c r="A468" s="1">
        <f>HYPERLINK("https://lsnyc.legalserver.org/matter/dynamic-profile/view/1908890","19-1908890")</f>
        <v>0</v>
      </c>
      <c r="B468" t="s">
        <v>123</v>
      </c>
      <c r="C468" t="s">
        <v>191</v>
      </c>
      <c r="D468" t="s">
        <v>211</v>
      </c>
      <c r="F468" t="s">
        <v>574</v>
      </c>
      <c r="G468" t="s">
        <v>1369</v>
      </c>
      <c r="H468" t="s">
        <v>2121</v>
      </c>
      <c r="I468" t="s">
        <v>2838</v>
      </c>
      <c r="J468" t="s">
        <v>3146</v>
      </c>
      <c r="K468">
        <v>10035</v>
      </c>
      <c r="L468" t="s">
        <v>3185</v>
      </c>
      <c r="M468" t="s">
        <v>3189</v>
      </c>
      <c r="N468" t="s">
        <v>3186</v>
      </c>
      <c r="P468" t="s">
        <v>3257</v>
      </c>
      <c r="Q468" t="s">
        <v>3636</v>
      </c>
      <c r="S468" t="s">
        <v>211</v>
      </c>
      <c r="T468" t="s">
        <v>3660</v>
      </c>
      <c r="U468" t="s">
        <v>3185</v>
      </c>
      <c r="W468" t="s">
        <v>3670</v>
      </c>
      <c r="X468" t="s">
        <v>3681</v>
      </c>
      <c r="Y468">
        <v>1025.77</v>
      </c>
      <c r="Z468" t="s">
        <v>3689</v>
      </c>
      <c r="AA468" t="s">
        <v>3704</v>
      </c>
      <c r="AC468" t="s">
        <v>4133</v>
      </c>
      <c r="AE468" t="s">
        <v>5249</v>
      </c>
      <c r="AF468">
        <v>60</v>
      </c>
      <c r="AG468" t="s">
        <v>5813</v>
      </c>
      <c r="AH468" t="s">
        <v>5827</v>
      </c>
      <c r="AI468">
        <v>10</v>
      </c>
      <c r="AJ468">
        <v>2</v>
      </c>
      <c r="AK468">
        <v>0</v>
      </c>
      <c r="AL468">
        <v>118.23</v>
      </c>
      <c r="AO468" t="s">
        <v>5843</v>
      </c>
      <c r="AP468">
        <v>19992</v>
      </c>
      <c r="AV468">
        <v>0</v>
      </c>
      <c r="AX468" t="s">
        <v>6007</v>
      </c>
    </row>
    <row r="469" spans="1:50">
      <c r="A469" s="1">
        <f>HYPERLINK("https://lsnyc.legalserver.org/matter/dynamic-profile/view/1909603","19-1909603")</f>
        <v>0</v>
      </c>
      <c r="B469" t="s">
        <v>123</v>
      </c>
      <c r="C469" t="s">
        <v>191</v>
      </c>
      <c r="D469" t="s">
        <v>269</v>
      </c>
      <c r="F469" t="s">
        <v>780</v>
      </c>
      <c r="G469" t="s">
        <v>1533</v>
      </c>
      <c r="H469" t="s">
        <v>2277</v>
      </c>
      <c r="I469" t="s">
        <v>2984</v>
      </c>
      <c r="J469" t="s">
        <v>3146</v>
      </c>
      <c r="K469">
        <v>10039</v>
      </c>
      <c r="L469" t="s">
        <v>3185</v>
      </c>
      <c r="M469" t="s">
        <v>3189</v>
      </c>
      <c r="N469" t="s">
        <v>3186</v>
      </c>
      <c r="O469" t="s">
        <v>3367</v>
      </c>
      <c r="P469" t="s">
        <v>3625</v>
      </c>
      <c r="Q469" t="s">
        <v>3638</v>
      </c>
      <c r="S469" t="s">
        <v>269</v>
      </c>
      <c r="T469" t="s">
        <v>3661</v>
      </c>
      <c r="U469" t="s">
        <v>3184</v>
      </c>
      <c r="W469" t="s">
        <v>3678</v>
      </c>
      <c r="X469" t="s">
        <v>3681</v>
      </c>
      <c r="Y469">
        <v>844</v>
      </c>
      <c r="Z469" t="s">
        <v>3689</v>
      </c>
      <c r="AA469" t="s">
        <v>3704</v>
      </c>
      <c r="AC469" t="s">
        <v>4134</v>
      </c>
      <c r="AE469" t="s">
        <v>5250</v>
      </c>
      <c r="AF469">
        <v>360</v>
      </c>
      <c r="AG469" t="s">
        <v>5822</v>
      </c>
      <c r="AH469" t="s">
        <v>3188</v>
      </c>
      <c r="AI469">
        <v>12</v>
      </c>
      <c r="AJ469">
        <v>1</v>
      </c>
      <c r="AK469">
        <v>3</v>
      </c>
      <c r="AL469">
        <v>71.86</v>
      </c>
      <c r="AO469" t="s">
        <v>5843</v>
      </c>
      <c r="AP469">
        <v>18504</v>
      </c>
      <c r="AV469">
        <v>0</v>
      </c>
      <c r="AX469" t="s">
        <v>6007</v>
      </c>
    </row>
    <row r="470" spans="1:50">
      <c r="A470" s="1">
        <f>HYPERLINK("https://lsnyc.legalserver.org/matter/dynamic-profile/view/1878389","18-1878389")</f>
        <v>0</v>
      </c>
      <c r="B470" t="s">
        <v>120</v>
      </c>
      <c r="C470" t="s">
        <v>191</v>
      </c>
      <c r="D470" t="s">
        <v>314</v>
      </c>
      <c r="F470" t="s">
        <v>781</v>
      </c>
      <c r="G470" t="s">
        <v>1534</v>
      </c>
      <c r="H470" t="s">
        <v>2278</v>
      </c>
      <c r="I470">
        <v>1</v>
      </c>
      <c r="J470" t="s">
        <v>3148</v>
      </c>
      <c r="K470">
        <v>11233</v>
      </c>
      <c r="L470" t="s">
        <v>3186</v>
      </c>
      <c r="N470" t="s">
        <v>3186</v>
      </c>
      <c r="T470" t="s">
        <v>3660</v>
      </c>
      <c r="W470" t="s">
        <v>3670</v>
      </c>
      <c r="Y470">
        <v>0</v>
      </c>
      <c r="Z470" t="s">
        <v>3691</v>
      </c>
      <c r="AC470" t="s">
        <v>4135</v>
      </c>
      <c r="AE470" t="s">
        <v>5251</v>
      </c>
      <c r="AF470">
        <v>0</v>
      </c>
      <c r="AI470">
        <v>0</v>
      </c>
      <c r="AJ470">
        <v>1</v>
      </c>
      <c r="AK470">
        <v>0</v>
      </c>
      <c r="AL470">
        <v>28.37</v>
      </c>
      <c r="AO470" t="s">
        <v>5843</v>
      </c>
      <c r="AP470">
        <v>3444</v>
      </c>
      <c r="AV470">
        <v>17.95</v>
      </c>
      <c r="AW470" t="s">
        <v>258</v>
      </c>
      <c r="AX470" t="s">
        <v>6039</v>
      </c>
    </row>
    <row r="471" spans="1:50">
      <c r="A471" s="1">
        <f>HYPERLINK("https://lsnyc.legalserver.org/matter/dynamic-profile/view/1910486","19-1910486")</f>
        <v>0</v>
      </c>
      <c r="B471" t="s">
        <v>124</v>
      </c>
      <c r="C471" t="s">
        <v>192</v>
      </c>
      <c r="D471" t="s">
        <v>199</v>
      </c>
      <c r="E471" t="s">
        <v>199</v>
      </c>
      <c r="F471" t="s">
        <v>732</v>
      </c>
      <c r="G471" t="s">
        <v>1535</v>
      </c>
      <c r="H471" t="s">
        <v>2279</v>
      </c>
      <c r="I471" t="s">
        <v>2985</v>
      </c>
      <c r="J471" t="s">
        <v>3146</v>
      </c>
      <c r="K471">
        <v>10032</v>
      </c>
      <c r="L471" t="s">
        <v>3185</v>
      </c>
      <c r="M471" t="s">
        <v>3189</v>
      </c>
      <c r="N471" t="s">
        <v>3186</v>
      </c>
      <c r="P471" t="s">
        <v>3257</v>
      </c>
      <c r="Q471" t="s">
        <v>3636</v>
      </c>
      <c r="R471" t="s">
        <v>3643</v>
      </c>
      <c r="S471" t="s">
        <v>199</v>
      </c>
      <c r="T471" t="s">
        <v>3660</v>
      </c>
      <c r="U471" t="s">
        <v>3184</v>
      </c>
      <c r="W471" t="s">
        <v>3670</v>
      </c>
      <c r="Y471">
        <v>1132</v>
      </c>
      <c r="Z471" t="s">
        <v>3689</v>
      </c>
      <c r="AA471" t="s">
        <v>3696</v>
      </c>
      <c r="AB471" t="s">
        <v>3713</v>
      </c>
      <c r="AC471" t="s">
        <v>4136</v>
      </c>
      <c r="AE471" t="s">
        <v>5252</v>
      </c>
      <c r="AF471">
        <v>14</v>
      </c>
      <c r="AG471" t="s">
        <v>5813</v>
      </c>
      <c r="AH471" t="s">
        <v>5826</v>
      </c>
      <c r="AI471">
        <v>16</v>
      </c>
      <c r="AJ471">
        <v>1</v>
      </c>
      <c r="AK471">
        <v>0</v>
      </c>
      <c r="AL471">
        <v>82.43000000000001</v>
      </c>
      <c r="AO471" t="s">
        <v>5843</v>
      </c>
      <c r="AP471">
        <v>10296</v>
      </c>
      <c r="AV471">
        <v>0.1</v>
      </c>
      <c r="AW471" t="s">
        <v>199</v>
      </c>
      <c r="AX471" t="s">
        <v>108</v>
      </c>
    </row>
    <row r="472" spans="1:50">
      <c r="A472" s="1">
        <f>HYPERLINK("https://lsnyc.legalserver.org/matter/dynamic-profile/view/1905547","19-1905547")</f>
        <v>0</v>
      </c>
      <c r="B472" t="s">
        <v>124</v>
      </c>
      <c r="C472" t="s">
        <v>192</v>
      </c>
      <c r="D472" t="s">
        <v>202</v>
      </c>
      <c r="E472" t="s">
        <v>202</v>
      </c>
      <c r="F472" t="s">
        <v>782</v>
      </c>
      <c r="G472" t="s">
        <v>1285</v>
      </c>
      <c r="H472" t="s">
        <v>2280</v>
      </c>
      <c r="I472" t="s">
        <v>2838</v>
      </c>
      <c r="J472" t="s">
        <v>3146</v>
      </c>
      <c r="K472">
        <v>10035</v>
      </c>
      <c r="L472" t="s">
        <v>3185</v>
      </c>
      <c r="M472" t="s">
        <v>3189</v>
      </c>
      <c r="N472" t="s">
        <v>3186</v>
      </c>
      <c r="O472" t="s">
        <v>3368</v>
      </c>
      <c r="P472" t="s">
        <v>3616</v>
      </c>
      <c r="Q472" t="s">
        <v>3639</v>
      </c>
      <c r="R472" t="s">
        <v>3645</v>
      </c>
      <c r="S472" t="s">
        <v>202</v>
      </c>
      <c r="T472" t="s">
        <v>3660</v>
      </c>
      <c r="U472" t="s">
        <v>3184</v>
      </c>
      <c r="W472" t="s">
        <v>3670</v>
      </c>
      <c r="Y472">
        <v>1575</v>
      </c>
      <c r="Z472" t="s">
        <v>3689</v>
      </c>
      <c r="AA472" t="s">
        <v>3696</v>
      </c>
      <c r="AB472" t="s">
        <v>3716</v>
      </c>
      <c r="AC472" t="s">
        <v>4137</v>
      </c>
      <c r="AE472" t="s">
        <v>5253</v>
      </c>
      <c r="AF472">
        <v>10</v>
      </c>
      <c r="AG472" t="s">
        <v>5813</v>
      </c>
      <c r="AH472" t="s">
        <v>3188</v>
      </c>
      <c r="AI472">
        <v>0</v>
      </c>
      <c r="AJ472">
        <v>3</v>
      </c>
      <c r="AK472">
        <v>1</v>
      </c>
      <c r="AL472">
        <v>166.99</v>
      </c>
      <c r="AO472" t="s">
        <v>5843</v>
      </c>
      <c r="AP472">
        <v>43000</v>
      </c>
      <c r="AV472">
        <v>0.1</v>
      </c>
      <c r="AW472" t="s">
        <v>202</v>
      </c>
      <c r="AX472" t="s">
        <v>108</v>
      </c>
    </row>
    <row r="473" spans="1:50">
      <c r="A473" s="1">
        <f>HYPERLINK("https://lsnyc.legalserver.org/matter/dynamic-profile/view/1905437","19-1905437")</f>
        <v>0</v>
      </c>
      <c r="B473" t="s">
        <v>124</v>
      </c>
      <c r="C473" t="s">
        <v>191</v>
      </c>
      <c r="D473" t="s">
        <v>217</v>
      </c>
      <c r="F473" t="s">
        <v>546</v>
      </c>
      <c r="G473" t="s">
        <v>1536</v>
      </c>
      <c r="H473" t="s">
        <v>2281</v>
      </c>
      <c r="I473">
        <v>16</v>
      </c>
      <c r="J473" t="s">
        <v>3146</v>
      </c>
      <c r="K473">
        <v>10032</v>
      </c>
      <c r="L473" t="s">
        <v>3185</v>
      </c>
      <c r="M473" t="s">
        <v>3189</v>
      </c>
      <c r="N473" t="s">
        <v>3186</v>
      </c>
      <c r="O473" t="s">
        <v>3369</v>
      </c>
      <c r="P473" t="s">
        <v>3616</v>
      </c>
      <c r="Q473" t="s">
        <v>3639</v>
      </c>
      <c r="S473" t="s">
        <v>217</v>
      </c>
      <c r="T473" t="s">
        <v>3660</v>
      </c>
      <c r="U473" t="s">
        <v>3184</v>
      </c>
      <c r="W473" t="s">
        <v>3670</v>
      </c>
      <c r="Y473">
        <v>1142.3</v>
      </c>
      <c r="Z473" t="s">
        <v>3689</v>
      </c>
      <c r="AA473" t="s">
        <v>3696</v>
      </c>
      <c r="AC473" t="s">
        <v>4138</v>
      </c>
      <c r="AE473" t="s">
        <v>5254</v>
      </c>
      <c r="AF473">
        <v>20</v>
      </c>
      <c r="AG473" t="s">
        <v>5813</v>
      </c>
      <c r="AH473" t="s">
        <v>3188</v>
      </c>
      <c r="AI473">
        <v>25</v>
      </c>
      <c r="AJ473">
        <v>3</v>
      </c>
      <c r="AK473">
        <v>2</v>
      </c>
      <c r="AL473">
        <v>77.56</v>
      </c>
      <c r="AO473" t="s">
        <v>5844</v>
      </c>
      <c r="AP473">
        <v>23400</v>
      </c>
      <c r="AV473">
        <v>0.1</v>
      </c>
      <c r="AW473" t="s">
        <v>217</v>
      </c>
      <c r="AX473" t="s">
        <v>108</v>
      </c>
    </row>
    <row r="474" spans="1:50">
      <c r="A474" s="1">
        <f>HYPERLINK("https://lsnyc.legalserver.org/matter/dynamic-profile/view/1905550","19-1905550")</f>
        <v>0</v>
      </c>
      <c r="B474" t="s">
        <v>124</v>
      </c>
      <c r="C474" t="s">
        <v>191</v>
      </c>
      <c r="D474" t="s">
        <v>202</v>
      </c>
      <c r="F474" t="s">
        <v>782</v>
      </c>
      <c r="G474" t="s">
        <v>1285</v>
      </c>
      <c r="H474" t="s">
        <v>2280</v>
      </c>
      <c r="I474" t="s">
        <v>2838</v>
      </c>
      <c r="J474" t="s">
        <v>3146</v>
      </c>
      <c r="K474">
        <v>10035</v>
      </c>
      <c r="L474" t="s">
        <v>3185</v>
      </c>
      <c r="M474" t="s">
        <v>3189</v>
      </c>
      <c r="N474" t="s">
        <v>3186</v>
      </c>
      <c r="O474" t="s">
        <v>3370</v>
      </c>
      <c r="P474" t="s">
        <v>3626</v>
      </c>
      <c r="Q474" t="s">
        <v>3638</v>
      </c>
      <c r="S474" t="s">
        <v>202</v>
      </c>
      <c r="T474" t="s">
        <v>3660</v>
      </c>
      <c r="U474" t="s">
        <v>3184</v>
      </c>
      <c r="W474" t="s">
        <v>3670</v>
      </c>
      <c r="Y474">
        <v>1575</v>
      </c>
      <c r="Z474" t="s">
        <v>3689</v>
      </c>
      <c r="AA474" t="s">
        <v>3696</v>
      </c>
      <c r="AC474" t="s">
        <v>4137</v>
      </c>
      <c r="AE474" t="s">
        <v>5253</v>
      </c>
      <c r="AF474">
        <v>10</v>
      </c>
      <c r="AG474" t="s">
        <v>5813</v>
      </c>
      <c r="AH474" t="s">
        <v>3188</v>
      </c>
      <c r="AI474">
        <v>0</v>
      </c>
      <c r="AJ474">
        <v>3</v>
      </c>
      <c r="AK474">
        <v>1</v>
      </c>
      <c r="AL474">
        <v>166.99</v>
      </c>
      <c r="AO474" t="s">
        <v>5843</v>
      </c>
      <c r="AP474">
        <v>43000</v>
      </c>
      <c r="AV474">
        <v>0</v>
      </c>
      <c r="AX474" t="s">
        <v>108</v>
      </c>
    </row>
    <row r="475" spans="1:50">
      <c r="A475" s="1">
        <f>HYPERLINK("https://lsnyc.legalserver.org/matter/dynamic-profile/view/1906762","19-1906762")</f>
        <v>0</v>
      </c>
      <c r="B475" t="s">
        <v>124</v>
      </c>
      <c r="C475" t="s">
        <v>191</v>
      </c>
      <c r="D475" t="s">
        <v>290</v>
      </c>
      <c r="F475" t="s">
        <v>486</v>
      </c>
      <c r="G475" t="s">
        <v>1537</v>
      </c>
      <c r="H475" t="s">
        <v>2282</v>
      </c>
      <c r="I475">
        <v>12</v>
      </c>
      <c r="J475" t="s">
        <v>3146</v>
      </c>
      <c r="K475">
        <v>10034</v>
      </c>
      <c r="L475" t="s">
        <v>3185</v>
      </c>
      <c r="M475" t="s">
        <v>3189</v>
      </c>
      <c r="N475" t="s">
        <v>3186</v>
      </c>
      <c r="O475" t="s">
        <v>3371</v>
      </c>
      <c r="P475" t="s">
        <v>3610</v>
      </c>
      <c r="Q475" t="s">
        <v>3638</v>
      </c>
      <c r="S475" t="s">
        <v>290</v>
      </c>
      <c r="T475" t="s">
        <v>3660</v>
      </c>
      <c r="U475" t="s">
        <v>3184</v>
      </c>
      <c r="W475" t="s">
        <v>3670</v>
      </c>
      <c r="X475" t="s">
        <v>3681</v>
      </c>
      <c r="Y475">
        <v>889</v>
      </c>
      <c r="Z475" t="s">
        <v>3689</v>
      </c>
      <c r="AA475" t="s">
        <v>3696</v>
      </c>
      <c r="AC475" t="s">
        <v>4139</v>
      </c>
      <c r="AE475" t="s">
        <v>5255</v>
      </c>
      <c r="AF475">
        <v>22</v>
      </c>
      <c r="AG475" t="s">
        <v>5813</v>
      </c>
      <c r="AH475" t="s">
        <v>5827</v>
      </c>
      <c r="AI475">
        <v>27</v>
      </c>
      <c r="AJ475">
        <v>3</v>
      </c>
      <c r="AK475">
        <v>0</v>
      </c>
      <c r="AL475">
        <v>164.41</v>
      </c>
      <c r="AO475" t="s">
        <v>5844</v>
      </c>
      <c r="AP475">
        <v>35068.8</v>
      </c>
      <c r="AV475">
        <v>1.6</v>
      </c>
      <c r="AW475" t="s">
        <v>269</v>
      </c>
      <c r="AX475" t="s">
        <v>108</v>
      </c>
    </row>
    <row r="476" spans="1:50">
      <c r="A476" s="1">
        <f>HYPERLINK("https://lsnyc.legalserver.org/matter/dynamic-profile/view/1907955","19-1907955")</f>
        <v>0</v>
      </c>
      <c r="B476" t="s">
        <v>124</v>
      </c>
      <c r="C476" t="s">
        <v>191</v>
      </c>
      <c r="D476" t="s">
        <v>222</v>
      </c>
      <c r="F476" t="s">
        <v>783</v>
      </c>
      <c r="G476" t="s">
        <v>1186</v>
      </c>
      <c r="H476" t="s">
        <v>2283</v>
      </c>
      <c r="I476" t="s">
        <v>2986</v>
      </c>
      <c r="J476" t="s">
        <v>3146</v>
      </c>
      <c r="K476">
        <v>10040</v>
      </c>
      <c r="L476" t="s">
        <v>3185</v>
      </c>
      <c r="M476" t="s">
        <v>3189</v>
      </c>
      <c r="N476" t="s">
        <v>3186</v>
      </c>
      <c r="O476" t="s">
        <v>3372</v>
      </c>
      <c r="P476" t="s">
        <v>3610</v>
      </c>
      <c r="Q476" t="s">
        <v>3638</v>
      </c>
      <c r="S476" t="s">
        <v>222</v>
      </c>
      <c r="T476" t="s">
        <v>3660</v>
      </c>
      <c r="U476" t="s">
        <v>3184</v>
      </c>
      <c r="W476" t="s">
        <v>3670</v>
      </c>
      <c r="X476" t="s">
        <v>3681</v>
      </c>
      <c r="Y476">
        <v>995.92</v>
      </c>
      <c r="Z476" t="s">
        <v>3689</v>
      </c>
      <c r="AA476" t="s">
        <v>3694</v>
      </c>
      <c r="AC476" t="s">
        <v>4140</v>
      </c>
      <c r="AD476" t="s">
        <v>4801</v>
      </c>
      <c r="AE476" t="s">
        <v>5256</v>
      </c>
      <c r="AF476">
        <v>44</v>
      </c>
      <c r="AG476" t="s">
        <v>5813</v>
      </c>
      <c r="AH476" t="s">
        <v>3188</v>
      </c>
      <c r="AI476">
        <v>15</v>
      </c>
      <c r="AJ476">
        <v>2</v>
      </c>
      <c r="AK476">
        <v>2</v>
      </c>
      <c r="AL476">
        <v>50.49</v>
      </c>
      <c r="AO476" t="s">
        <v>5844</v>
      </c>
      <c r="AP476">
        <v>13000</v>
      </c>
      <c r="AV476">
        <v>7.5</v>
      </c>
      <c r="AW476" t="s">
        <v>222</v>
      </c>
      <c r="AX476" t="s">
        <v>6044</v>
      </c>
    </row>
    <row r="477" spans="1:50">
      <c r="A477" s="1">
        <f>HYPERLINK("https://lsnyc.legalserver.org/matter/dynamic-profile/view/1909513","19-1909513")</f>
        <v>0</v>
      </c>
      <c r="B477" t="s">
        <v>124</v>
      </c>
      <c r="C477" t="s">
        <v>191</v>
      </c>
      <c r="D477" t="s">
        <v>197</v>
      </c>
      <c r="F477" t="s">
        <v>525</v>
      </c>
      <c r="G477" t="s">
        <v>1199</v>
      </c>
      <c r="H477" t="s">
        <v>2284</v>
      </c>
      <c r="I477" t="s">
        <v>2820</v>
      </c>
      <c r="J477" t="s">
        <v>3146</v>
      </c>
      <c r="K477">
        <v>10034</v>
      </c>
      <c r="L477" t="s">
        <v>3185</v>
      </c>
      <c r="M477" t="s">
        <v>3189</v>
      </c>
      <c r="N477" t="s">
        <v>3186</v>
      </c>
      <c r="P477" t="s">
        <v>3615</v>
      </c>
      <c r="Q477" t="s">
        <v>3637</v>
      </c>
      <c r="S477" t="s">
        <v>197</v>
      </c>
      <c r="T477" t="s">
        <v>3660</v>
      </c>
      <c r="U477" t="s">
        <v>3184</v>
      </c>
      <c r="W477" t="s">
        <v>3670</v>
      </c>
      <c r="Y477">
        <v>1525</v>
      </c>
      <c r="Z477" t="s">
        <v>3689</v>
      </c>
      <c r="AA477" t="s">
        <v>3696</v>
      </c>
      <c r="AC477" t="s">
        <v>4141</v>
      </c>
      <c r="AE477" t="s">
        <v>5257</v>
      </c>
      <c r="AF477">
        <v>25</v>
      </c>
      <c r="AG477" t="s">
        <v>5813</v>
      </c>
      <c r="AH477" t="s">
        <v>3188</v>
      </c>
      <c r="AI477">
        <v>8</v>
      </c>
      <c r="AJ477">
        <v>4</v>
      </c>
      <c r="AK477">
        <v>0</v>
      </c>
      <c r="AL477">
        <v>171.25</v>
      </c>
      <c r="AO477" t="s">
        <v>5844</v>
      </c>
      <c r="AP477">
        <v>44096</v>
      </c>
      <c r="AV477">
        <v>0.4</v>
      </c>
      <c r="AW477" t="s">
        <v>291</v>
      </c>
      <c r="AX477" t="s">
        <v>108</v>
      </c>
    </row>
    <row r="478" spans="1:50">
      <c r="A478" s="1">
        <f>HYPERLINK("https://lsnyc.legalserver.org/matter/dynamic-profile/view/1910445","19-1910445")</f>
        <v>0</v>
      </c>
      <c r="B478" t="s">
        <v>124</v>
      </c>
      <c r="C478" t="s">
        <v>191</v>
      </c>
      <c r="D478" t="s">
        <v>199</v>
      </c>
      <c r="F478" t="s">
        <v>784</v>
      </c>
      <c r="G478" t="s">
        <v>1538</v>
      </c>
      <c r="H478" t="s">
        <v>2285</v>
      </c>
      <c r="I478" t="s">
        <v>2897</v>
      </c>
      <c r="J478" t="s">
        <v>3146</v>
      </c>
      <c r="K478">
        <v>10032</v>
      </c>
      <c r="L478" t="s">
        <v>3185</v>
      </c>
      <c r="M478" t="s">
        <v>3189</v>
      </c>
      <c r="N478" t="s">
        <v>3186</v>
      </c>
      <c r="Q478" t="s">
        <v>3637</v>
      </c>
      <c r="S478" t="s">
        <v>199</v>
      </c>
      <c r="T478" t="s">
        <v>3660</v>
      </c>
      <c r="U478" t="s">
        <v>3184</v>
      </c>
      <c r="W478" t="s">
        <v>3670</v>
      </c>
      <c r="Y478">
        <v>2195</v>
      </c>
      <c r="Z478" t="s">
        <v>3689</v>
      </c>
      <c r="AA478" t="s">
        <v>3697</v>
      </c>
      <c r="AC478" t="s">
        <v>4142</v>
      </c>
      <c r="AD478" t="s">
        <v>4802</v>
      </c>
      <c r="AE478" t="s">
        <v>5258</v>
      </c>
      <c r="AF478">
        <v>0</v>
      </c>
      <c r="AG478" t="s">
        <v>5813</v>
      </c>
      <c r="AH478" t="s">
        <v>3188</v>
      </c>
      <c r="AI478">
        <v>1</v>
      </c>
      <c r="AJ478">
        <v>1</v>
      </c>
      <c r="AK478">
        <v>0</v>
      </c>
      <c r="AL478">
        <v>39.97</v>
      </c>
      <c r="AO478" t="s">
        <v>5843</v>
      </c>
      <c r="AP478">
        <v>4992</v>
      </c>
      <c r="AV478">
        <v>0.5</v>
      </c>
      <c r="AW478" t="s">
        <v>199</v>
      </c>
      <c r="AX478" t="s">
        <v>108</v>
      </c>
    </row>
    <row r="479" spans="1:50">
      <c r="A479" s="1">
        <f>HYPERLINK("https://lsnyc.legalserver.org/matter/dynamic-profile/view/1882910","18-1882910")</f>
        <v>0</v>
      </c>
      <c r="B479" t="s">
        <v>120</v>
      </c>
      <c r="C479" t="s">
        <v>191</v>
      </c>
      <c r="D479" t="s">
        <v>315</v>
      </c>
      <c r="F479" t="s">
        <v>674</v>
      </c>
      <c r="G479" t="s">
        <v>1346</v>
      </c>
      <c r="H479" t="s">
        <v>2286</v>
      </c>
      <c r="I479">
        <v>1</v>
      </c>
      <c r="J479" t="s">
        <v>3148</v>
      </c>
      <c r="K479">
        <v>11233</v>
      </c>
      <c r="L479" t="s">
        <v>3186</v>
      </c>
      <c r="N479" t="s">
        <v>3186</v>
      </c>
      <c r="T479" t="s">
        <v>3660</v>
      </c>
      <c r="W479" t="s">
        <v>3670</v>
      </c>
      <c r="Y479">
        <v>0</v>
      </c>
      <c r="Z479" t="s">
        <v>3691</v>
      </c>
      <c r="AC479" t="s">
        <v>4143</v>
      </c>
      <c r="AE479" t="s">
        <v>5259</v>
      </c>
      <c r="AF479">
        <v>0</v>
      </c>
      <c r="AI479">
        <v>0</v>
      </c>
      <c r="AJ479">
        <v>1</v>
      </c>
      <c r="AK479">
        <v>0</v>
      </c>
      <c r="AL479">
        <v>222.41</v>
      </c>
      <c r="AO479" t="s">
        <v>5843</v>
      </c>
      <c r="AP479">
        <v>27000</v>
      </c>
      <c r="AV479">
        <v>1.1</v>
      </c>
      <c r="AW479" t="s">
        <v>5983</v>
      </c>
      <c r="AX479" t="s">
        <v>6039</v>
      </c>
    </row>
    <row r="480" spans="1:50">
      <c r="A480" s="1">
        <f>HYPERLINK("https://lsnyc.legalserver.org/matter/dynamic-profile/view/1898611","19-1898611")</f>
        <v>0</v>
      </c>
      <c r="B480" t="s">
        <v>120</v>
      </c>
      <c r="C480" t="s">
        <v>191</v>
      </c>
      <c r="D480" t="s">
        <v>242</v>
      </c>
      <c r="F480" t="s">
        <v>785</v>
      </c>
      <c r="G480" t="s">
        <v>1539</v>
      </c>
      <c r="H480" t="s">
        <v>2287</v>
      </c>
      <c r="I480" t="s">
        <v>2987</v>
      </c>
      <c r="J480" t="s">
        <v>3148</v>
      </c>
      <c r="K480">
        <v>11233</v>
      </c>
      <c r="L480" t="s">
        <v>3186</v>
      </c>
      <c r="N480" t="s">
        <v>3186</v>
      </c>
      <c r="Q480" t="s">
        <v>3638</v>
      </c>
      <c r="T480" t="s">
        <v>3660</v>
      </c>
      <c r="W480" t="s">
        <v>3670</v>
      </c>
      <c r="Y480">
        <v>1900</v>
      </c>
      <c r="Z480" t="s">
        <v>3691</v>
      </c>
      <c r="AA480" t="s">
        <v>3632</v>
      </c>
      <c r="AC480" t="s">
        <v>4144</v>
      </c>
      <c r="AE480" t="s">
        <v>5260</v>
      </c>
      <c r="AF480">
        <v>0</v>
      </c>
      <c r="AG480" t="s">
        <v>3263</v>
      </c>
      <c r="AH480" t="s">
        <v>5831</v>
      </c>
      <c r="AI480">
        <v>0</v>
      </c>
      <c r="AJ480">
        <v>2</v>
      </c>
      <c r="AK480">
        <v>0</v>
      </c>
      <c r="AL480">
        <v>57.34</v>
      </c>
      <c r="AO480" t="s">
        <v>5843</v>
      </c>
      <c r="AP480">
        <v>9696</v>
      </c>
      <c r="AV480">
        <v>7.6</v>
      </c>
      <c r="AW480" t="s">
        <v>233</v>
      </c>
      <c r="AX480" t="s">
        <v>6039</v>
      </c>
    </row>
    <row r="481" spans="1:50">
      <c r="A481" s="1">
        <f>HYPERLINK("https://lsnyc.legalserver.org/matter/dynamic-profile/view/1905128","19-1905128")</f>
        <v>0</v>
      </c>
      <c r="B481" t="s">
        <v>125</v>
      </c>
      <c r="C481" t="s">
        <v>192</v>
      </c>
      <c r="D481" t="s">
        <v>249</v>
      </c>
      <c r="E481" t="s">
        <v>219</v>
      </c>
      <c r="F481" t="s">
        <v>786</v>
      </c>
      <c r="G481" t="s">
        <v>1540</v>
      </c>
      <c r="H481" t="s">
        <v>2288</v>
      </c>
      <c r="J481" t="s">
        <v>3159</v>
      </c>
      <c r="K481">
        <v>10304</v>
      </c>
      <c r="L481" t="s">
        <v>3185</v>
      </c>
      <c r="M481" t="s">
        <v>3189</v>
      </c>
      <c r="N481" t="s">
        <v>3186</v>
      </c>
      <c r="P481" t="s">
        <v>3257</v>
      </c>
      <c r="Q481" t="s">
        <v>3634</v>
      </c>
      <c r="R481" t="s">
        <v>3642</v>
      </c>
      <c r="S481" t="s">
        <v>249</v>
      </c>
      <c r="T481" t="s">
        <v>3661</v>
      </c>
      <c r="U481" t="s">
        <v>3184</v>
      </c>
      <c r="W481" t="s">
        <v>3670</v>
      </c>
      <c r="X481" t="s">
        <v>3681</v>
      </c>
      <c r="Y481">
        <v>1831</v>
      </c>
      <c r="Z481" t="s">
        <v>3692</v>
      </c>
      <c r="AA481" t="s">
        <v>3703</v>
      </c>
      <c r="AB481" t="s">
        <v>3712</v>
      </c>
      <c r="AC481" t="s">
        <v>4145</v>
      </c>
      <c r="AE481" t="s">
        <v>5261</v>
      </c>
      <c r="AF481">
        <v>2</v>
      </c>
      <c r="AG481" t="s">
        <v>5814</v>
      </c>
      <c r="AI481">
        <v>1</v>
      </c>
      <c r="AJ481">
        <v>1</v>
      </c>
      <c r="AK481">
        <v>0</v>
      </c>
      <c r="AL481">
        <v>105.68</v>
      </c>
      <c r="AM481" t="s">
        <v>5835</v>
      </c>
      <c r="AN481" t="s">
        <v>5840</v>
      </c>
      <c r="AO481" t="s">
        <v>5843</v>
      </c>
      <c r="AP481">
        <v>13200</v>
      </c>
      <c r="AV481">
        <v>1.5</v>
      </c>
      <c r="AW481" t="s">
        <v>249</v>
      </c>
      <c r="AX481" t="s">
        <v>125</v>
      </c>
    </row>
    <row r="482" spans="1:50">
      <c r="A482" s="1">
        <f>HYPERLINK("https://lsnyc.legalserver.org/matter/dynamic-profile/view/1906859","19-1906859")</f>
        <v>0</v>
      </c>
      <c r="B482" t="s">
        <v>125</v>
      </c>
      <c r="C482" t="s">
        <v>192</v>
      </c>
      <c r="D482" t="s">
        <v>282</v>
      </c>
      <c r="E482" t="s">
        <v>226</v>
      </c>
      <c r="F482" t="s">
        <v>787</v>
      </c>
      <c r="G482" t="s">
        <v>1541</v>
      </c>
      <c r="H482" t="s">
        <v>2289</v>
      </c>
      <c r="I482">
        <v>2</v>
      </c>
      <c r="J482" t="s">
        <v>3159</v>
      </c>
      <c r="K482">
        <v>10306</v>
      </c>
      <c r="L482" t="s">
        <v>3185</v>
      </c>
      <c r="M482" t="s">
        <v>3189</v>
      </c>
      <c r="N482" t="s">
        <v>3186</v>
      </c>
      <c r="P482" t="s">
        <v>3257</v>
      </c>
      <c r="Q482" t="s">
        <v>3634</v>
      </c>
      <c r="R482" t="s">
        <v>3642</v>
      </c>
      <c r="S482" t="s">
        <v>282</v>
      </c>
      <c r="T482" t="s">
        <v>3661</v>
      </c>
      <c r="U482" t="s">
        <v>3184</v>
      </c>
      <c r="W482" t="s">
        <v>3670</v>
      </c>
      <c r="X482" t="s">
        <v>3681</v>
      </c>
      <c r="Y482">
        <v>1200</v>
      </c>
      <c r="Z482" t="s">
        <v>3692</v>
      </c>
      <c r="AA482" t="s">
        <v>3703</v>
      </c>
      <c r="AB482" t="s">
        <v>3712</v>
      </c>
      <c r="AC482" t="s">
        <v>4146</v>
      </c>
      <c r="AE482" t="s">
        <v>5262</v>
      </c>
      <c r="AF482">
        <v>2</v>
      </c>
      <c r="AI482">
        <v>0</v>
      </c>
      <c r="AJ482">
        <v>3</v>
      </c>
      <c r="AK482">
        <v>0</v>
      </c>
      <c r="AL482">
        <v>67.51000000000001</v>
      </c>
      <c r="AM482" t="s">
        <v>5835</v>
      </c>
      <c r="AN482" t="s">
        <v>5840</v>
      </c>
      <c r="AO482" t="s">
        <v>5843</v>
      </c>
      <c r="AP482">
        <v>14400</v>
      </c>
      <c r="AV482">
        <v>1.5</v>
      </c>
      <c r="AW482" t="s">
        <v>282</v>
      </c>
      <c r="AX482" t="s">
        <v>125</v>
      </c>
    </row>
    <row r="483" spans="1:50">
      <c r="A483" s="1">
        <f>HYPERLINK("https://lsnyc.legalserver.org/matter/dynamic-profile/view/1902334","19-1902334")</f>
        <v>0</v>
      </c>
      <c r="B483" t="s">
        <v>125</v>
      </c>
      <c r="C483" t="s">
        <v>192</v>
      </c>
      <c r="D483" t="s">
        <v>272</v>
      </c>
      <c r="E483" t="s">
        <v>219</v>
      </c>
      <c r="F483" t="s">
        <v>454</v>
      </c>
      <c r="G483" t="s">
        <v>1542</v>
      </c>
      <c r="H483" t="s">
        <v>2290</v>
      </c>
      <c r="J483" t="s">
        <v>3159</v>
      </c>
      <c r="K483">
        <v>10301</v>
      </c>
      <c r="L483" t="s">
        <v>3185</v>
      </c>
      <c r="M483" t="s">
        <v>3189</v>
      </c>
      <c r="N483" t="s">
        <v>3186</v>
      </c>
      <c r="O483" t="s">
        <v>3257</v>
      </c>
      <c r="P483" t="s">
        <v>3257</v>
      </c>
      <c r="Q483" t="s">
        <v>3634</v>
      </c>
      <c r="R483" t="s">
        <v>3642</v>
      </c>
      <c r="T483" t="s">
        <v>3660</v>
      </c>
      <c r="U483" t="s">
        <v>3184</v>
      </c>
      <c r="W483" t="s">
        <v>3670</v>
      </c>
      <c r="Y483">
        <v>200</v>
      </c>
      <c r="Z483" t="s">
        <v>3692</v>
      </c>
      <c r="AA483" t="s">
        <v>3707</v>
      </c>
      <c r="AB483" t="s">
        <v>3712</v>
      </c>
      <c r="AC483" t="s">
        <v>4147</v>
      </c>
      <c r="AE483" t="s">
        <v>5263</v>
      </c>
      <c r="AF483">
        <v>0</v>
      </c>
      <c r="AH483" t="s">
        <v>3188</v>
      </c>
      <c r="AI483">
        <v>10</v>
      </c>
      <c r="AJ483">
        <v>1</v>
      </c>
      <c r="AK483">
        <v>0</v>
      </c>
      <c r="AL483">
        <v>80.7</v>
      </c>
      <c r="AO483" t="s">
        <v>5858</v>
      </c>
      <c r="AP483">
        <v>10080</v>
      </c>
      <c r="AS483" t="s">
        <v>3632</v>
      </c>
      <c r="AV483">
        <v>2.1</v>
      </c>
      <c r="AW483" t="s">
        <v>202</v>
      </c>
      <c r="AX483" t="s">
        <v>6017</v>
      </c>
    </row>
    <row r="484" spans="1:50">
      <c r="A484" s="1">
        <f>HYPERLINK("https://lsnyc.legalserver.org/matter/dynamic-profile/view/1884067","18-1884067")</f>
        <v>0</v>
      </c>
      <c r="B484" t="s">
        <v>103</v>
      </c>
      <c r="C484" t="s">
        <v>192</v>
      </c>
      <c r="D484" t="s">
        <v>316</v>
      </c>
      <c r="E484" t="s">
        <v>243</v>
      </c>
      <c r="F484" t="s">
        <v>624</v>
      </c>
      <c r="G484" t="s">
        <v>1543</v>
      </c>
      <c r="H484" t="s">
        <v>2291</v>
      </c>
      <c r="I484" t="s">
        <v>2988</v>
      </c>
      <c r="J484" t="s">
        <v>3148</v>
      </c>
      <c r="K484">
        <v>11226</v>
      </c>
      <c r="L484" t="s">
        <v>3186</v>
      </c>
      <c r="N484" t="s">
        <v>3186</v>
      </c>
      <c r="R484" t="s">
        <v>3642</v>
      </c>
      <c r="T484" t="s">
        <v>3660</v>
      </c>
      <c r="W484" t="s">
        <v>3670</v>
      </c>
      <c r="Y484">
        <v>1850</v>
      </c>
      <c r="Z484" t="s">
        <v>3691</v>
      </c>
      <c r="AB484" t="s">
        <v>3721</v>
      </c>
      <c r="AC484" t="s">
        <v>4148</v>
      </c>
      <c r="AE484" t="s">
        <v>5264</v>
      </c>
      <c r="AF484">
        <v>27</v>
      </c>
      <c r="AI484">
        <v>3</v>
      </c>
      <c r="AJ484">
        <v>1</v>
      </c>
      <c r="AK484">
        <v>0</v>
      </c>
      <c r="AL484">
        <v>0</v>
      </c>
      <c r="AO484" t="s">
        <v>5843</v>
      </c>
      <c r="AP484">
        <v>0</v>
      </c>
      <c r="AV484">
        <v>0.5</v>
      </c>
      <c r="AW484" t="s">
        <v>316</v>
      </c>
      <c r="AX484" t="s">
        <v>6006</v>
      </c>
    </row>
    <row r="485" spans="1:50">
      <c r="A485" s="1">
        <f>HYPERLINK("https://lsnyc.legalserver.org/matter/dynamic-profile/view/1896853","19-1896853")</f>
        <v>0</v>
      </c>
      <c r="B485" t="s">
        <v>125</v>
      </c>
      <c r="C485" t="s">
        <v>191</v>
      </c>
      <c r="D485" t="s">
        <v>236</v>
      </c>
      <c r="F485" t="s">
        <v>788</v>
      </c>
      <c r="G485" t="s">
        <v>818</v>
      </c>
      <c r="H485" t="s">
        <v>2292</v>
      </c>
      <c r="I485">
        <v>1</v>
      </c>
      <c r="J485" t="s">
        <v>3159</v>
      </c>
      <c r="K485">
        <v>10304</v>
      </c>
      <c r="L485" t="s">
        <v>3185</v>
      </c>
      <c r="N485" t="s">
        <v>3186</v>
      </c>
      <c r="O485" t="s">
        <v>3373</v>
      </c>
      <c r="P485" t="s">
        <v>3613</v>
      </c>
      <c r="T485" t="s">
        <v>3660</v>
      </c>
      <c r="U485" t="s">
        <v>3184</v>
      </c>
      <c r="W485" t="s">
        <v>3670</v>
      </c>
      <c r="X485" t="s">
        <v>3681</v>
      </c>
      <c r="Y485">
        <v>1900</v>
      </c>
      <c r="Z485" t="s">
        <v>3692</v>
      </c>
      <c r="AA485" t="s">
        <v>3706</v>
      </c>
      <c r="AC485" t="s">
        <v>4075</v>
      </c>
      <c r="AE485" t="s">
        <v>5265</v>
      </c>
      <c r="AF485">
        <v>0</v>
      </c>
      <c r="AG485" t="s">
        <v>5814</v>
      </c>
      <c r="AH485" t="s">
        <v>5827</v>
      </c>
      <c r="AI485">
        <v>5</v>
      </c>
      <c r="AJ485">
        <v>1</v>
      </c>
      <c r="AK485">
        <v>1</v>
      </c>
      <c r="AL485">
        <v>96.87</v>
      </c>
      <c r="AO485" t="s">
        <v>5843</v>
      </c>
      <c r="AP485">
        <v>16380</v>
      </c>
      <c r="AV485">
        <v>4</v>
      </c>
      <c r="AW485" t="s">
        <v>207</v>
      </c>
      <c r="AX485" t="s">
        <v>6017</v>
      </c>
    </row>
    <row r="486" spans="1:50">
      <c r="A486" s="1">
        <f>HYPERLINK("https://lsnyc.legalserver.org/matter/dynamic-profile/view/1903468","19-1903468")</f>
        <v>0</v>
      </c>
      <c r="B486" t="s">
        <v>125</v>
      </c>
      <c r="C486" t="s">
        <v>191</v>
      </c>
      <c r="D486" t="s">
        <v>203</v>
      </c>
      <c r="F486" t="s">
        <v>481</v>
      </c>
      <c r="G486" t="s">
        <v>1544</v>
      </c>
      <c r="H486" t="s">
        <v>2293</v>
      </c>
      <c r="I486" t="s">
        <v>2865</v>
      </c>
      <c r="J486" t="s">
        <v>3159</v>
      </c>
      <c r="K486">
        <v>10304</v>
      </c>
      <c r="L486" t="s">
        <v>3185</v>
      </c>
      <c r="M486" t="s">
        <v>3189</v>
      </c>
      <c r="N486" t="s">
        <v>3186</v>
      </c>
      <c r="O486" t="s">
        <v>3374</v>
      </c>
      <c r="P486" t="s">
        <v>3613</v>
      </c>
      <c r="Q486" t="s">
        <v>3638</v>
      </c>
      <c r="S486" t="s">
        <v>203</v>
      </c>
      <c r="T486" t="s">
        <v>3660</v>
      </c>
      <c r="U486" t="s">
        <v>3184</v>
      </c>
      <c r="W486" t="s">
        <v>3670</v>
      </c>
      <c r="X486" t="s">
        <v>3681</v>
      </c>
      <c r="Y486">
        <v>1200</v>
      </c>
      <c r="Z486" t="s">
        <v>3692</v>
      </c>
      <c r="AA486" t="s">
        <v>3697</v>
      </c>
      <c r="AC486" t="s">
        <v>4149</v>
      </c>
      <c r="AE486" t="s">
        <v>5266</v>
      </c>
      <c r="AF486">
        <v>2</v>
      </c>
      <c r="AG486" t="s">
        <v>5814</v>
      </c>
      <c r="AH486" t="s">
        <v>3188</v>
      </c>
      <c r="AI486">
        <v>2</v>
      </c>
      <c r="AJ486">
        <v>1</v>
      </c>
      <c r="AK486">
        <v>0</v>
      </c>
      <c r="AL486">
        <v>160.13</v>
      </c>
      <c r="AO486" t="s">
        <v>5843</v>
      </c>
      <c r="AP486">
        <v>20000</v>
      </c>
      <c r="AV486">
        <v>2.8</v>
      </c>
      <c r="AW486" t="s">
        <v>195</v>
      </c>
      <c r="AX486" t="s">
        <v>6017</v>
      </c>
    </row>
    <row r="487" spans="1:50">
      <c r="A487" s="1">
        <f>HYPERLINK("https://lsnyc.legalserver.org/matter/dynamic-profile/view/1905739","19-1905739")</f>
        <v>0</v>
      </c>
      <c r="B487" t="s">
        <v>125</v>
      </c>
      <c r="C487" t="s">
        <v>191</v>
      </c>
      <c r="D487" t="s">
        <v>208</v>
      </c>
      <c r="F487" t="s">
        <v>789</v>
      </c>
      <c r="G487" t="s">
        <v>1545</v>
      </c>
      <c r="H487" t="s">
        <v>2035</v>
      </c>
      <c r="I487">
        <v>305</v>
      </c>
      <c r="J487" t="s">
        <v>3159</v>
      </c>
      <c r="K487">
        <v>10304</v>
      </c>
      <c r="L487" t="s">
        <v>3185</v>
      </c>
      <c r="M487" t="s">
        <v>3190</v>
      </c>
      <c r="N487" t="s">
        <v>3186</v>
      </c>
      <c r="O487" t="s">
        <v>3375</v>
      </c>
      <c r="P487" t="s">
        <v>3613</v>
      </c>
      <c r="Q487" t="s">
        <v>3638</v>
      </c>
      <c r="S487" t="s">
        <v>208</v>
      </c>
      <c r="T487" t="s">
        <v>3660</v>
      </c>
      <c r="U487" t="s">
        <v>3184</v>
      </c>
      <c r="W487" t="s">
        <v>3670</v>
      </c>
      <c r="X487" t="s">
        <v>3681</v>
      </c>
      <c r="Y487">
        <v>1245</v>
      </c>
      <c r="Z487" t="s">
        <v>3692</v>
      </c>
      <c r="AA487" t="s">
        <v>3696</v>
      </c>
      <c r="AC487" t="s">
        <v>4150</v>
      </c>
      <c r="AD487" t="s">
        <v>4803</v>
      </c>
      <c r="AE487" t="s">
        <v>5267</v>
      </c>
      <c r="AF487">
        <v>105</v>
      </c>
      <c r="AG487" t="s">
        <v>5813</v>
      </c>
      <c r="AH487" t="s">
        <v>5825</v>
      </c>
      <c r="AI487">
        <v>2</v>
      </c>
      <c r="AJ487">
        <v>1</v>
      </c>
      <c r="AK487">
        <v>2</v>
      </c>
      <c r="AL487">
        <v>56.43</v>
      </c>
      <c r="AO487" t="s">
        <v>5843</v>
      </c>
      <c r="AP487">
        <v>12036</v>
      </c>
      <c r="AV487">
        <v>12.1</v>
      </c>
      <c r="AW487" t="s">
        <v>199</v>
      </c>
      <c r="AX487" t="s">
        <v>6017</v>
      </c>
    </row>
    <row r="488" spans="1:50">
      <c r="A488" s="1">
        <f>HYPERLINK("https://lsnyc.legalserver.org/matter/dynamic-profile/view/1904900","19-1904900")</f>
        <v>0</v>
      </c>
      <c r="B488" t="s">
        <v>125</v>
      </c>
      <c r="C488" t="s">
        <v>191</v>
      </c>
      <c r="D488" t="s">
        <v>260</v>
      </c>
      <c r="F488" t="s">
        <v>548</v>
      </c>
      <c r="G488" t="s">
        <v>1289</v>
      </c>
      <c r="H488" t="s">
        <v>2294</v>
      </c>
      <c r="I488">
        <v>1</v>
      </c>
      <c r="J488" t="s">
        <v>3159</v>
      </c>
      <c r="K488">
        <v>10301</v>
      </c>
      <c r="L488" t="s">
        <v>3185</v>
      </c>
      <c r="M488" t="s">
        <v>3189</v>
      </c>
      <c r="N488" t="s">
        <v>3186</v>
      </c>
      <c r="O488" t="s">
        <v>3376</v>
      </c>
      <c r="P488" t="s">
        <v>3610</v>
      </c>
      <c r="Q488" t="s">
        <v>3638</v>
      </c>
      <c r="S488" t="s">
        <v>260</v>
      </c>
      <c r="T488" t="s">
        <v>3660</v>
      </c>
      <c r="U488" t="s">
        <v>3184</v>
      </c>
      <c r="W488" t="s">
        <v>3670</v>
      </c>
      <c r="X488" t="s">
        <v>3681</v>
      </c>
      <c r="Y488">
        <v>355</v>
      </c>
      <c r="Z488" t="s">
        <v>3692</v>
      </c>
      <c r="AA488" t="s">
        <v>3706</v>
      </c>
      <c r="AC488" t="s">
        <v>4151</v>
      </c>
      <c r="AE488" t="s">
        <v>5268</v>
      </c>
      <c r="AF488">
        <v>10</v>
      </c>
      <c r="AG488" t="s">
        <v>5814</v>
      </c>
      <c r="AH488" t="s">
        <v>5828</v>
      </c>
      <c r="AI488">
        <v>2</v>
      </c>
      <c r="AJ488">
        <v>1</v>
      </c>
      <c r="AK488">
        <v>0</v>
      </c>
      <c r="AL488">
        <v>116.83</v>
      </c>
      <c r="AO488" t="s">
        <v>5843</v>
      </c>
      <c r="AP488">
        <v>14592</v>
      </c>
      <c r="AV488">
        <v>6.3</v>
      </c>
      <c r="AW488" t="s">
        <v>243</v>
      </c>
      <c r="AX488" t="s">
        <v>6017</v>
      </c>
    </row>
    <row r="489" spans="1:50">
      <c r="A489" s="1">
        <f>HYPERLINK("https://lsnyc.legalserver.org/matter/dynamic-profile/view/1905662","19-1905662")</f>
        <v>0</v>
      </c>
      <c r="B489" t="s">
        <v>125</v>
      </c>
      <c r="C489" t="s">
        <v>191</v>
      </c>
      <c r="D489" t="s">
        <v>225</v>
      </c>
      <c r="F489" t="s">
        <v>790</v>
      </c>
      <c r="G489" t="s">
        <v>1546</v>
      </c>
      <c r="H489" t="s">
        <v>2168</v>
      </c>
      <c r="I489" t="s">
        <v>2989</v>
      </c>
      <c r="J489" t="s">
        <v>3159</v>
      </c>
      <c r="K489">
        <v>10304</v>
      </c>
      <c r="L489" t="s">
        <v>3185</v>
      </c>
      <c r="M489" t="s">
        <v>3189</v>
      </c>
      <c r="N489" t="s">
        <v>3186</v>
      </c>
      <c r="O489" t="s">
        <v>3377</v>
      </c>
      <c r="P489" t="s">
        <v>3610</v>
      </c>
      <c r="Q489" t="s">
        <v>3638</v>
      </c>
      <c r="S489" t="s">
        <v>277</v>
      </c>
      <c r="T489" t="s">
        <v>3660</v>
      </c>
      <c r="U489" t="s">
        <v>3184</v>
      </c>
      <c r="W489" t="s">
        <v>3670</v>
      </c>
      <c r="X489" t="s">
        <v>3681</v>
      </c>
      <c r="Y489">
        <v>583</v>
      </c>
      <c r="Z489" t="s">
        <v>3692</v>
      </c>
      <c r="AA489" t="s">
        <v>3706</v>
      </c>
      <c r="AC489" t="s">
        <v>4152</v>
      </c>
      <c r="AE489" t="s">
        <v>5269</v>
      </c>
      <c r="AF489">
        <v>134</v>
      </c>
      <c r="AI489">
        <v>4</v>
      </c>
      <c r="AJ489">
        <v>1</v>
      </c>
      <c r="AK489">
        <v>0</v>
      </c>
      <c r="AL489">
        <v>200.16</v>
      </c>
      <c r="AO489" t="s">
        <v>5843</v>
      </c>
      <c r="AP489">
        <v>25000</v>
      </c>
      <c r="AV489">
        <v>5.75</v>
      </c>
      <c r="AW489" t="s">
        <v>199</v>
      </c>
      <c r="AX489" t="s">
        <v>6026</v>
      </c>
    </row>
    <row r="490" spans="1:50">
      <c r="A490" s="1">
        <f>HYPERLINK("https://lsnyc.legalserver.org/matter/dynamic-profile/view/1906862","19-1906862")</f>
        <v>0</v>
      </c>
      <c r="B490" t="s">
        <v>125</v>
      </c>
      <c r="C490" t="s">
        <v>191</v>
      </c>
      <c r="D490" t="s">
        <v>282</v>
      </c>
      <c r="F490" t="s">
        <v>628</v>
      </c>
      <c r="G490" t="s">
        <v>1547</v>
      </c>
      <c r="H490" t="s">
        <v>2162</v>
      </c>
      <c r="I490" t="s">
        <v>2990</v>
      </c>
      <c r="J490" t="s">
        <v>3159</v>
      </c>
      <c r="K490">
        <v>10301</v>
      </c>
      <c r="L490" t="s">
        <v>3185</v>
      </c>
      <c r="M490" t="s">
        <v>3189</v>
      </c>
      <c r="N490" t="s">
        <v>3186</v>
      </c>
      <c r="O490" t="s">
        <v>3378</v>
      </c>
      <c r="P490" t="s">
        <v>3610</v>
      </c>
      <c r="Q490" t="s">
        <v>3638</v>
      </c>
      <c r="S490" t="s">
        <v>282</v>
      </c>
      <c r="T490" t="s">
        <v>3660</v>
      </c>
      <c r="U490" t="s">
        <v>3184</v>
      </c>
      <c r="W490" t="s">
        <v>3670</v>
      </c>
      <c r="X490" t="s">
        <v>3681</v>
      </c>
      <c r="Y490">
        <v>0</v>
      </c>
      <c r="Z490" t="s">
        <v>3692</v>
      </c>
      <c r="AA490" t="s">
        <v>3696</v>
      </c>
      <c r="AC490" t="s">
        <v>4153</v>
      </c>
      <c r="AE490" t="s">
        <v>5270</v>
      </c>
      <c r="AF490">
        <v>454</v>
      </c>
      <c r="AH490" t="s">
        <v>3188</v>
      </c>
      <c r="AI490">
        <v>-1</v>
      </c>
      <c r="AJ490">
        <v>1</v>
      </c>
      <c r="AK490">
        <v>2</v>
      </c>
      <c r="AL490">
        <v>85.33</v>
      </c>
      <c r="AO490" t="s">
        <v>5850</v>
      </c>
      <c r="AP490">
        <v>18200</v>
      </c>
      <c r="AV490">
        <v>10.55</v>
      </c>
      <c r="AW490" t="s">
        <v>199</v>
      </c>
      <c r="AX490" t="s">
        <v>6017</v>
      </c>
    </row>
    <row r="491" spans="1:50">
      <c r="A491" s="1">
        <f>HYPERLINK("https://lsnyc.legalserver.org/matter/dynamic-profile/view/1908665","19-1908665")</f>
        <v>0</v>
      </c>
      <c r="B491" t="s">
        <v>126</v>
      </c>
      <c r="C491" t="s">
        <v>192</v>
      </c>
      <c r="D491" t="s">
        <v>244</v>
      </c>
      <c r="E491" t="s">
        <v>269</v>
      </c>
      <c r="F491" t="s">
        <v>791</v>
      </c>
      <c r="G491" t="s">
        <v>1548</v>
      </c>
      <c r="H491" t="s">
        <v>2295</v>
      </c>
      <c r="I491">
        <v>2</v>
      </c>
      <c r="J491" t="s">
        <v>3166</v>
      </c>
      <c r="K491">
        <v>11693</v>
      </c>
      <c r="L491" t="s">
        <v>3185</v>
      </c>
      <c r="M491" t="s">
        <v>3189</v>
      </c>
      <c r="N491" t="s">
        <v>3186</v>
      </c>
      <c r="O491" t="s">
        <v>3379</v>
      </c>
      <c r="P491" t="s">
        <v>3613</v>
      </c>
      <c r="Q491" t="s">
        <v>3634</v>
      </c>
      <c r="R491" t="s">
        <v>3642</v>
      </c>
      <c r="S491" t="s">
        <v>269</v>
      </c>
      <c r="T491" t="s">
        <v>3661</v>
      </c>
      <c r="U491" t="s">
        <v>3184</v>
      </c>
      <c r="W491" t="s">
        <v>3670</v>
      </c>
      <c r="X491" t="s">
        <v>3686</v>
      </c>
      <c r="Y491">
        <v>240</v>
      </c>
      <c r="Z491" t="s">
        <v>3688</v>
      </c>
      <c r="AA491" t="s">
        <v>3703</v>
      </c>
      <c r="AB491" t="s">
        <v>3712</v>
      </c>
      <c r="AC491" t="s">
        <v>4154</v>
      </c>
      <c r="AD491" t="s">
        <v>4804</v>
      </c>
      <c r="AF491">
        <v>2</v>
      </c>
      <c r="AG491" t="s">
        <v>5814</v>
      </c>
      <c r="AH491" t="s">
        <v>5827</v>
      </c>
      <c r="AI491">
        <v>6</v>
      </c>
      <c r="AJ491">
        <v>1</v>
      </c>
      <c r="AK491">
        <v>4</v>
      </c>
      <c r="AL491">
        <v>62.63</v>
      </c>
      <c r="AM491" t="s">
        <v>5835</v>
      </c>
      <c r="AN491" t="s">
        <v>5840</v>
      </c>
      <c r="AO491" t="s">
        <v>5843</v>
      </c>
      <c r="AP491">
        <v>18896.54</v>
      </c>
      <c r="AV491">
        <v>1.4</v>
      </c>
      <c r="AW491" t="s">
        <v>269</v>
      </c>
      <c r="AX491" t="s">
        <v>126</v>
      </c>
    </row>
    <row r="492" spans="1:50">
      <c r="A492" s="1">
        <f>HYPERLINK("https://lsnyc.legalserver.org/matter/dynamic-profile/view/1904907","19-1904907")</f>
        <v>0</v>
      </c>
      <c r="B492" t="s">
        <v>126</v>
      </c>
      <c r="C492" t="s">
        <v>192</v>
      </c>
      <c r="D492" t="s">
        <v>218</v>
      </c>
      <c r="E492" t="s">
        <v>269</v>
      </c>
      <c r="F492" t="s">
        <v>791</v>
      </c>
      <c r="G492" t="s">
        <v>1548</v>
      </c>
      <c r="H492" t="s">
        <v>2295</v>
      </c>
      <c r="I492">
        <v>2</v>
      </c>
      <c r="J492" t="s">
        <v>3166</v>
      </c>
      <c r="K492">
        <v>11693</v>
      </c>
      <c r="L492" t="s">
        <v>3185</v>
      </c>
      <c r="M492" t="s">
        <v>3189</v>
      </c>
      <c r="N492" t="s">
        <v>3186</v>
      </c>
      <c r="O492" t="s">
        <v>3379</v>
      </c>
      <c r="P492" t="s">
        <v>3613</v>
      </c>
      <c r="Q492" t="s">
        <v>3634</v>
      </c>
      <c r="R492" t="s">
        <v>3642</v>
      </c>
      <c r="S492" t="s">
        <v>269</v>
      </c>
      <c r="T492" t="s">
        <v>3660</v>
      </c>
      <c r="U492" t="s">
        <v>3184</v>
      </c>
      <c r="W492" t="s">
        <v>3670</v>
      </c>
      <c r="X492" t="s">
        <v>3681</v>
      </c>
      <c r="Y492">
        <v>2022</v>
      </c>
      <c r="Z492" t="s">
        <v>3688</v>
      </c>
      <c r="AA492" t="s">
        <v>3698</v>
      </c>
      <c r="AB492" t="s">
        <v>3712</v>
      </c>
      <c r="AC492" t="s">
        <v>4154</v>
      </c>
      <c r="AD492" t="s">
        <v>4805</v>
      </c>
      <c r="AE492" t="s">
        <v>5271</v>
      </c>
      <c r="AF492">
        <v>2</v>
      </c>
      <c r="AG492" t="s">
        <v>5814</v>
      </c>
      <c r="AH492" t="s">
        <v>5827</v>
      </c>
      <c r="AI492">
        <v>5</v>
      </c>
      <c r="AJ492">
        <v>2</v>
      </c>
      <c r="AK492">
        <v>6</v>
      </c>
      <c r="AL492">
        <v>93.98999999999999</v>
      </c>
      <c r="AO492" t="s">
        <v>5843</v>
      </c>
      <c r="AP492">
        <v>40821.98</v>
      </c>
      <c r="AV492">
        <v>2</v>
      </c>
      <c r="AW492" t="s">
        <v>269</v>
      </c>
      <c r="AX492" t="s">
        <v>62</v>
      </c>
    </row>
    <row r="493" spans="1:50">
      <c r="A493" s="1">
        <f>HYPERLINK("https://lsnyc.legalserver.org/matter/dynamic-profile/view/1907285","19-1907285")</f>
        <v>0</v>
      </c>
      <c r="B493" t="s">
        <v>126</v>
      </c>
      <c r="C493" t="s">
        <v>191</v>
      </c>
      <c r="D493" t="s">
        <v>227</v>
      </c>
      <c r="F493" t="s">
        <v>499</v>
      </c>
      <c r="G493" t="s">
        <v>1549</v>
      </c>
      <c r="H493" t="s">
        <v>2296</v>
      </c>
      <c r="I493" t="s">
        <v>2816</v>
      </c>
      <c r="J493" t="s">
        <v>3154</v>
      </c>
      <c r="K493">
        <v>11106</v>
      </c>
      <c r="L493" t="s">
        <v>3185</v>
      </c>
      <c r="N493" t="s">
        <v>3186</v>
      </c>
      <c r="O493" t="s">
        <v>3380</v>
      </c>
      <c r="P493" t="s">
        <v>3610</v>
      </c>
      <c r="Q493" t="s">
        <v>3638</v>
      </c>
      <c r="S493" t="s">
        <v>227</v>
      </c>
      <c r="T493" t="s">
        <v>3661</v>
      </c>
      <c r="U493" t="s">
        <v>3184</v>
      </c>
      <c r="W493" t="s">
        <v>3670</v>
      </c>
      <c r="X493" t="s">
        <v>3681</v>
      </c>
      <c r="Y493">
        <v>950</v>
      </c>
      <c r="Z493" t="s">
        <v>3688</v>
      </c>
      <c r="AA493" t="s">
        <v>3703</v>
      </c>
      <c r="AC493" t="s">
        <v>4155</v>
      </c>
      <c r="AD493" t="s">
        <v>4806</v>
      </c>
      <c r="AE493" t="s">
        <v>5272</v>
      </c>
      <c r="AF493">
        <v>6</v>
      </c>
      <c r="AG493" t="s">
        <v>5813</v>
      </c>
      <c r="AH493" t="s">
        <v>3188</v>
      </c>
      <c r="AI493">
        <v>1</v>
      </c>
      <c r="AJ493">
        <v>1</v>
      </c>
      <c r="AK493">
        <v>1</v>
      </c>
      <c r="AL493">
        <v>0</v>
      </c>
      <c r="AM493" t="s">
        <v>5835</v>
      </c>
      <c r="AN493" t="s">
        <v>5840</v>
      </c>
      <c r="AO493" t="s">
        <v>5843</v>
      </c>
      <c r="AP493">
        <v>0</v>
      </c>
      <c r="AV493">
        <v>3.15</v>
      </c>
      <c r="AW493" t="s">
        <v>216</v>
      </c>
      <c r="AX493" t="s">
        <v>126</v>
      </c>
    </row>
    <row r="494" spans="1:50">
      <c r="A494" s="1">
        <f>HYPERLINK("https://lsnyc.legalserver.org/matter/dynamic-profile/view/1875807","18-1875807")</f>
        <v>0</v>
      </c>
      <c r="B494" t="s">
        <v>103</v>
      </c>
      <c r="C494" t="s">
        <v>192</v>
      </c>
      <c r="D494" t="s">
        <v>288</v>
      </c>
      <c r="E494" t="s">
        <v>275</v>
      </c>
      <c r="F494" t="s">
        <v>792</v>
      </c>
      <c r="G494" t="s">
        <v>1550</v>
      </c>
      <c r="H494" t="s">
        <v>2297</v>
      </c>
      <c r="J494" t="s">
        <v>3148</v>
      </c>
      <c r="K494">
        <v>11203</v>
      </c>
      <c r="L494" t="s">
        <v>3186</v>
      </c>
      <c r="N494" t="s">
        <v>3186</v>
      </c>
      <c r="P494" t="s">
        <v>3257</v>
      </c>
      <c r="R494" t="s">
        <v>3642</v>
      </c>
      <c r="T494" t="s">
        <v>3660</v>
      </c>
      <c r="U494" t="s">
        <v>3184</v>
      </c>
      <c r="W494" t="s">
        <v>3670</v>
      </c>
      <c r="Y494">
        <v>400</v>
      </c>
      <c r="Z494" t="s">
        <v>3691</v>
      </c>
      <c r="AB494" t="s">
        <v>3721</v>
      </c>
      <c r="AC494" t="s">
        <v>4156</v>
      </c>
      <c r="AE494" t="s">
        <v>5273</v>
      </c>
      <c r="AF494">
        <v>2</v>
      </c>
      <c r="AG494" t="s">
        <v>5814</v>
      </c>
      <c r="AH494" t="s">
        <v>3188</v>
      </c>
      <c r="AI494">
        <v>20</v>
      </c>
      <c r="AJ494">
        <v>1</v>
      </c>
      <c r="AK494">
        <v>2</v>
      </c>
      <c r="AL494">
        <v>39.08</v>
      </c>
      <c r="AO494" t="s">
        <v>5843</v>
      </c>
      <c r="AP494">
        <v>8120</v>
      </c>
      <c r="AV494">
        <v>1</v>
      </c>
      <c r="AW494" t="s">
        <v>288</v>
      </c>
      <c r="AX494" t="s">
        <v>6015</v>
      </c>
    </row>
    <row r="495" spans="1:50">
      <c r="A495" s="1">
        <f>HYPERLINK("https://lsnyc.legalserver.org/matter/dynamic-profile/view/1883232","18-1883232")</f>
        <v>0</v>
      </c>
      <c r="B495" t="s">
        <v>103</v>
      </c>
      <c r="C495" t="s">
        <v>192</v>
      </c>
      <c r="D495" t="s">
        <v>317</v>
      </c>
      <c r="E495" t="s">
        <v>243</v>
      </c>
      <c r="F495" t="s">
        <v>793</v>
      </c>
      <c r="G495" t="s">
        <v>1196</v>
      </c>
      <c r="H495" t="s">
        <v>2298</v>
      </c>
      <c r="I495">
        <v>2</v>
      </c>
      <c r="J495" t="s">
        <v>3148</v>
      </c>
      <c r="K495">
        <v>11207</v>
      </c>
      <c r="L495" t="s">
        <v>3186</v>
      </c>
      <c r="N495" t="s">
        <v>3186</v>
      </c>
      <c r="R495" t="s">
        <v>3642</v>
      </c>
      <c r="T495" t="s">
        <v>3660</v>
      </c>
      <c r="W495" t="s">
        <v>3670</v>
      </c>
      <c r="Y495">
        <v>2020</v>
      </c>
      <c r="Z495" t="s">
        <v>3691</v>
      </c>
      <c r="AB495" t="s">
        <v>3721</v>
      </c>
      <c r="AC495" t="s">
        <v>4157</v>
      </c>
      <c r="AE495" t="s">
        <v>5274</v>
      </c>
      <c r="AF495">
        <v>2</v>
      </c>
      <c r="AH495" t="s">
        <v>5825</v>
      </c>
      <c r="AI495">
        <v>1</v>
      </c>
      <c r="AJ495">
        <v>2</v>
      </c>
      <c r="AK495">
        <v>4</v>
      </c>
      <c r="AL495">
        <v>39.15</v>
      </c>
      <c r="AO495" t="s">
        <v>5843</v>
      </c>
      <c r="AP495">
        <v>13208</v>
      </c>
      <c r="AV495">
        <v>1</v>
      </c>
      <c r="AW495" t="s">
        <v>317</v>
      </c>
      <c r="AX495" t="s">
        <v>6012</v>
      </c>
    </row>
    <row r="496" spans="1:50">
      <c r="A496" s="1">
        <f>HYPERLINK("https://lsnyc.legalserver.org/matter/dynamic-profile/view/1904151","19-1904151")</f>
        <v>0</v>
      </c>
      <c r="B496" t="s">
        <v>126</v>
      </c>
      <c r="C496" t="s">
        <v>191</v>
      </c>
      <c r="D496" t="s">
        <v>213</v>
      </c>
      <c r="F496" t="s">
        <v>794</v>
      </c>
      <c r="G496" t="s">
        <v>1551</v>
      </c>
      <c r="H496" t="s">
        <v>2299</v>
      </c>
      <c r="I496" t="s">
        <v>2819</v>
      </c>
      <c r="J496" t="s">
        <v>3152</v>
      </c>
      <c r="K496">
        <v>11365</v>
      </c>
      <c r="L496" t="s">
        <v>3185</v>
      </c>
      <c r="M496" t="s">
        <v>3190</v>
      </c>
      <c r="N496" t="s">
        <v>3186</v>
      </c>
      <c r="O496" t="s">
        <v>3381</v>
      </c>
      <c r="P496" t="s">
        <v>3613</v>
      </c>
      <c r="Q496" t="s">
        <v>3638</v>
      </c>
      <c r="S496" t="s">
        <v>213</v>
      </c>
      <c r="T496" t="s">
        <v>3661</v>
      </c>
      <c r="U496" t="s">
        <v>3184</v>
      </c>
      <c r="W496" t="s">
        <v>3678</v>
      </c>
      <c r="X496" t="s">
        <v>3681</v>
      </c>
      <c r="Y496">
        <v>532</v>
      </c>
      <c r="Z496" t="s">
        <v>3688</v>
      </c>
      <c r="AA496" t="s">
        <v>3696</v>
      </c>
      <c r="AC496" t="s">
        <v>4158</v>
      </c>
      <c r="AD496" t="s">
        <v>4807</v>
      </c>
      <c r="AE496" t="s">
        <v>5275</v>
      </c>
      <c r="AF496">
        <v>701</v>
      </c>
      <c r="AG496" t="s">
        <v>5823</v>
      </c>
      <c r="AH496" t="s">
        <v>3188</v>
      </c>
      <c r="AI496">
        <v>13</v>
      </c>
      <c r="AJ496">
        <v>1</v>
      </c>
      <c r="AK496">
        <v>2</v>
      </c>
      <c r="AL496">
        <v>36.4</v>
      </c>
      <c r="AM496" t="s">
        <v>5835</v>
      </c>
      <c r="AN496" t="s">
        <v>5840</v>
      </c>
      <c r="AO496" t="s">
        <v>5843</v>
      </c>
      <c r="AP496">
        <v>7764</v>
      </c>
      <c r="AV496">
        <v>31.07</v>
      </c>
      <c r="AW496" t="s">
        <v>243</v>
      </c>
      <c r="AX496" t="s">
        <v>126</v>
      </c>
    </row>
    <row r="497" spans="1:50">
      <c r="A497" s="1">
        <f>HYPERLINK("https://lsnyc.legalserver.org/matter/dynamic-profile/view/1905357","19-1905357")</f>
        <v>0</v>
      </c>
      <c r="B497" t="s">
        <v>126</v>
      </c>
      <c r="C497" t="s">
        <v>191</v>
      </c>
      <c r="D497" t="s">
        <v>210</v>
      </c>
      <c r="F497" t="s">
        <v>795</v>
      </c>
      <c r="G497" t="s">
        <v>1552</v>
      </c>
      <c r="H497" t="s">
        <v>2300</v>
      </c>
      <c r="I497" t="s">
        <v>2897</v>
      </c>
      <c r="J497" t="s">
        <v>3162</v>
      </c>
      <c r="K497">
        <v>11372</v>
      </c>
      <c r="L497" t="s">
        <v>3185</v>
      </c>
      <c r="M497" t="s">
        <v>3189</v>
      </c>
      <c r="N497" t="s">
        <v>3186</v>
      </c>
      <c r="O497" t="s">
        <v>3382</v>
      </c>
      <c r="P497" t="s">
        <v>3613</v>
      </c>
      <c r="Q497" t="s">
        <v>3638</v>
      </c>
      <c r="T497" t="s">
        <v>3660</v>
      </c>
      <c r="U497" t="s">
        <v>3185</v>
      </c>
      <c r="W497" t="s">
        <v>3670</v>
      </c>
      <c r="X497" t="s">
        <v>3682</v>
      </c>
      <c r="Y497">
        <v>890.4</v>
      </c>
      <c r="Z497" t="s">
        <v>3688</v>
      </c>
      <c r="AA497" t="s">
        <v>3698</v>
      </c>
      <c r="AC497" t="s">
        <v>4159</v>
      </c>
      <c r="AE497" t="s">
        <v>5276</v>
      </c>
      <c r="AF497">
        <v>6</v>
      </c>
      <c r="AG497" t="s">
        <v>5813</v>
      </c>
      <c r="AH497" t="s">
        <v>5826</v>
      </c>
      <c r="AI497">
        <v>33</v>
      </c>
      <c r="AJ497">
        <v>1</v>
      </c>
      <c r="AK497">
        <v>0</v>
      </c>
      <c r="AL497">
        <v>140.91</v>
      </c>
      <c r="AO497" t="s">
        <v>5843</v>
      </c>
      <c r="AP497">
        <v>17600</v>
      </c>
      <c r="AV497">
        <v>21.6</v>
      </c>
      <c r="AW497" t="s">
        <v>198</v>
      </c>
      <c r="AX497" t="s">
        <v>6028</v>
      </c>
    </row>
    <row r="498" spans="1:50">
      <c r="A498" s="1">
        <f>HYPERLINK("https://lsnyc.legalserver.org/matter/dynamic-profile/view/1907939","19-1907939")</f>
        <v>0</v>
      </c>
      <c r="B498" t="s">
        <v>126</v>
      </c>
      <c r="C498" t="s">
        <v>191</v>
      </c>
      <c r="D498" t="s">
        <v>251</v>
      </c>
      <c r="F498" t="s">
        <v>741</v>
      </c>
      <c r="G498" t="s">
        <v>1553</v>
      </c>
      <c r="H498" t="s">
        <v>2301</v>
      </c>
      <c r="I498" t="s">
        <v>2887</v>
      </c>
      <c r="J498" t="s">
        <v>3155</v>
      </c>
      <c r="K498">
        <v>11432</v>
      </c>
      <c r="L498" t="s">
        <v>3185</v>
      </c>
      <c r="M498" t="s">
        <v>3189</v>
      </c>
      <c r="N498" t="s">
        <v>3186</v>
      </c>
      <c r="O498" t="s">
        <v>3383</v>
      </c>
      <c r="P498" t="s">
        <v>3610</v>
      </c>
      <c r="Q498" t="s">
        <v>3637</v>
      </c>
      <c r="S498" t="s">
        <v>251</v>
      </c>
      <c r="T498" t="s">
        <v>3660</v>
      </c>
      <c r="U498" t="s">
        <v>3184</v>
      </c>
      <c r="W498" t="s">
        <v>3670</v>
      </c>
      <c r="X498" t="s">
        <v>3682</v>
      </c>
      <c r="Y498">
        <v>1425</v>
      </c>
      <c r="Z498" t="s">
        <v>3688</v>
      </c>
      <c r="AA498" t="s">
        <v>3698</v>
      </c>
      <c r="AC498" t="s">
        <v>4160</v>
      </c>
      <c r="AE498" t="s">
        <v>5277</v>
      </c>
      <c r="AF498">
        <v>102</v>
      </c>
      <c r="AG498" t="s">
        <v>5813</v>
      </c>
      <c r="AH498" t="s">
        <v>3188</v>
      </c>
      <c r="AI498">
        <v>3</v>
      </c>
      <c r="AJ498">
        <v>2</v>
      </c>
      <c r="AK498">
        <v>1</v>
      </c>
      <c r="AL498">
        <v>117.21</v>
      </c>
      <c r="AO498" t="s">
        <v>5854</v>
      </c>
      <c r="AP498">
        <v>25000</v>
      </c>
      <c r="AV498">
        <v>1.75</v>
      </c>
      <c r="AW498" t="s">
        <v>261</v>
      </c>
      <c r="AX498" t="s">
        <v>62</v>
      </c>
    </row>
    <row r="499" spans="1:50">
      <c r="A499" s="1">
        <f>HYPERLINK("https://lsnyc.legalserver.org/matter/dynamic-profile/view/1909431","19-1909431")</f>
        <v>0</v>
      </c>
      <c r="B499" t="s">
        <v>126</v>
      </c>
      <c r="C499" t="s">
        <v>191</v>
      </c>
      <c r="D499" t="s">
        <v>196</v>
      </c>
      <c r="F499" t="s">
        <v>796</v>
      </c>
      <c r="G499" t="s">
        <v>1191</v>
      </c>
      <c r="H499" t="s">
        <v>2302</v>
      </c>
      <c r="I499" t="s">
        <v>2819</v>
      </c>
      <c r="J499" t="s">
        <v>3150</v>
      </c>
      <c r="K499">
        <v>11101</v>
      </c>
      <c r="L499" t="s">
        <v>3185</v>
      </c>
      <c r="M499" t="s">
        <v>3189</v>
      </c>
      <c r="N499" t="s">
        <v>3186</v>
      </c>
      <c r="O499" t="s">
        <v>3384</v>
      </c>
      <c r="P499" t="s">
        <v>3616</v>
      </c>
      <c r="Q499" t="s">
        <v>3636</v>
      </c>
      <c r="S499" t="s">
        <v>196</v>
      </c>
      <c r="T499" t="s">
        <v>3660</v>
      </c>
      <c r="U499" t="s">
        <v>3184</v>
      </c>
      <c r="W499" t="s">
        <v>3670</v>
      </c>
      <c r="Y499">
        <v>0</v>
      </c>
      <c r="Z499" t="s">
        <v>3688</v>
      </c>
      <c r="AC499" t="s">
        <v>4161</v>
      </c>
      <c r="AE499" t="s">
        <v>5278</v>
      </c>
      <c r="AF499">
        <v>45</v>
      </c>
      <c r="AI499">
        <v>0</v>
      </c>
      <c r="AJ499">
        <v>2</v>
      </c>
      <c r="AK499">
        <v>0</v>
      </c>
      <c r="AL499">
        <v>88.7</v>
      </c>
      <c r="AO499" t="s">
        <v>5843</v>
      </c>
      <c r="AP499">
        <v>15000</v>
      </c>
      <c r="AV499">
        <v>0.9</v>
      </c>
      <c r="AW499" t="s">
        <v>196</v>
      </c>
      <c r="AX499" t="s">
        <v>62</v>
      </c>
    </row>
    <row r="500" spans="1:50">
      <c r="A500" s="1">
        <f>HYPERLINK("https://lsnyc.legalserver.org/matter/dynamic-profile/view/1906517","19-1906517")</f>
        <v>0</v>
      </c>
      <c r="B500" t="s">
        <v>126</v>
      </c>
      <c r="C500" t="s">
        <v>191</v>
      </c>
      <c r="D500" t="s">
        <v>270</v>
      </c>
      <c r="F500" t="s">
        <v>797</v>
      </c>
      <c r="G500" t="s">
        <v>1554</v>
      </c>
      <c r="H500" t="s">
        <v>2061</v>
      </c>
      <c r="I500" t="s">
        <v>2991</v>
      </c>
      <c r="J500" t="s">
        <v>3150</v>
      </c>
      <c r="K500">
        <v>11101</v>
      </c>
      <c r="L500" t="s">
        <v>3185</v>
      </c>
      <c r="M500" t="s">
        <v>3189</v>
      </c>
      <c r="N500" t="s">
        <v>3186</v>
      </c>
      <c r="O500" t="s">
        <v>3385</v>
      </c>
      <c r="P500" t="s">
        <v>3610</v>
      </c>
      <c r="Q500" t="s">
        <v>3638</v>
      </c>
      <c r="T500" t="s">
        <v>3660</v>
      </c>
      <c r="U500" t="s">
        <v>3185</v>
      </c>
      <c r="W500" t="s">
        <v>3670</v>
      </c>
      <c r="Y500">
        <v>1558</v>
      </c>
      <c r="Z500" t="s">
        <v>3688</v>
      </c>
      <c r="AA500" t="s">
        <v>3698</v>
      </c>
      <c r="AC500" t="s">
        <v>4162</v>
      </c>
      <c r="AE500" t="s">
        <v>5279</v>
      </c>
      <c r="AF500">
        <v>900</v>
      </c>
      <c r="AG500" t="s">
        <v>3263</v>
      </c>
      <c r="AH500" t="s">
        <v>3188</v>
      </c>
      <c r="AI500">
        <v>1</v>
      </c>
      <c r="AJ500">
        <v>1</v>
      </c>
      <c r="AK500">
        <v>0</v>
      </c>
      <c r="AL500">
        <v>182.55</v>
      </c>
      <c r="AO500" t="s">
        <v>5843</v>
      </c>
      <c r="AP500">
        <v>22800</v>
      </c>
      <c r="AV500">
        <v>6.82</v>
      </c>
      <c r="AW500" t="s">
        <v>280</v>
      </c>
      <c r="AX500" t="s">
        <v>6028</v>
      </c>
    </row>
    <row r="501" spans="1:50">
      <c r="A501" s="1">
        <f>HYPERLINK("https://lsnyc.legalserver.org/matter/dynamic-profile/view/1908679","19-1908679")</f>
        <v>0</v>
      </c>
      <c r="B501" t="s">
        <v>126</v>
      </c>
      <c r="C501" t="s">
        <v>191</v>
      </c>
      <c r="D501" t="s">
        <v>244</v>
      </c>
      <c r="F501" t="s">
        <v>522</v>
      </c>
      <c r="G501" t="s">
        <v>1555</v>
      </c>
      <c r="H501" t="s">
        <v>2303</v>
      </c>
      <c r="J501" t="s">
        <v>3158</v>
      </c>
      <c r="K501">
        <v>11416</v>
      </c>
      <c r="L501" t="s">
        <v>3185</v>
      </c>
      <c r="N501" t="s">
        <v>3186</v>
      </c>
      <c r="P501" t="s">
        <v>3257</v>
      </c>
      <c r="Q501" t="s">
        <v>3634</v>
      </c>
      <c r="S501" t="s">
        <v>212</v>
      </c>
      <c r="T501" t="s">
        <v>3661</v>
      </c>
      <c r="U501" t="s">
        <v>3184</v>
      </c>
      <c r="W501" t="s">
        <v>3670</v>
      </c>
      <c r="X501" t="s">
        <v>3681</v>
      </c>
      <c r="Y501">
        <v>880</v>
      </c>
      <c r="Z501" t="s">
        <v>3688</v>
      </c>
      <c r="AA501" t="s">
        <v>3703</v>
      </c>
      <c r="AC501" t="s">
        <v>4163</v>
      </c>
      <c r="AE501" t="s">
        <v>5280</v>
      </c>
      <c r="AF501">
        <v>1</v>
      </c>
      <c r="AG501" t="s">
        <v>5814</v>
      </c>
      <c r="AH501" t="s">
        <v>3188</v>
      </c>
      <c r="AI501">
        <v>20</v>
      </c>
      <c r="AJ501">
        <v>3</v>
      </c>
      <c r="AK501">
        <v>0</v>
      </c>
      <c r="AL501">
        <v>82.36</v>
      </c>
      <c r="AM501" t="s">
        <v>5835</v>
      </c>
      <c r="AN501" t="s">
        <v>5840</v>
      </c>
      <c r="AO501" t="s">
        <v>5843</v>
      </c>
      <c r="AP501">
        <v>17568</v>
      </c>
      <c r="AV501">
        <v>1.25</v>
      </c>
      <c r="AW501" t="s">
        <v>231</v>
      </c>
      <c r="AX501" t="s">
        <v>126</v>
      </c>
    </row>
    <row r="502" spans="1:50">
      <c r="A502" s="1">
        <f>HYPERLINK("https://lsnyc.legalserver.org/matter/dynamic-profile/view/1905345","19-1905345")</f>
        <v>0</v>
      </c>
      <c r="B502" t="s">
        <v>126</v>
      </c>
      <c r="C502" t="s">
        <v>191</v>
      </c>
      <c r="D502" t="s">
        <v>210</v>
      </c>
      <c r="F502" t="s">
        <v>798</v>
      </c>
      <c r="G502" t="s">
        <v>1556</v>
      </c>
      <c r="H502" t="s">
        <v>2304</v>
      </c>
      <c r="I502" t="s">
        <v>2844</v>
      </c>
      <c r="J502" t="s">
        <v>3167</v>
      </c>
      <c r="K502">
        <v>11374</v>
      </c>
      <c r="L502" t="s">
        <v>3185</v>
      </c>
      <c r="M502" t="s">
        <v>3189</v>
      </c>
      <c r="N502" t="s">
        <v>3186</v>
      </c>
      <c r="O502" t="s">
        <v>3386</v>
      </c>
      <c r="P502" t="s">
        <v>3610</v>
      </c>
      <c r="Q502" t="s">
        <v>3637</v>
      </c>
      <c r="T502" t="s">
        <v>3660</v>
      </c>
      <c r="U502" t="s">
        <v>3185</v>
      </c>
      <c r="W502" t="s">
        <v>3670</v>
      </c>
      <c r="X502" t="s">
        <v>3681</v>
      </c>
      <c r="Y502">
        <v>0</v>
      </c>
      <c r="Z502" t="s">
        <v>3688</v>
      </c>
      <c r="AA502" t="s">
        <v>3698</v>
      </c>
      <c r="AC502" t="s">
        <v>4164</v>
      </c>
      <c r="AE502" t="s">
        <v>5281</v>
      </c>
      <c r="AF502">
        <v>47</v>
      </c>
      <c r="AG502" t="s">
        <v>5810</v>
      </c>
      <c r="AH502" t="s">
        <v>3188</v>
      </c>
      <c r="AI502">
        <v>16</v>
      </c>
      <c r="AJ502">
        <v>4</v>
      </c>
      <c r="AK502">
        <v>1</v>
      </c>
      <c r="AL502">
        <v>34.47</v>
      </c>
      <c r="AO502" t="s">
        <v>5843</v>
      </c>
      <c r="AP502">
        <v>10400</v>
      </c>
      <c r="AV502">
        <v>2.05</v>
      </c>
      <c r="AW502" t="s">
        <v>206</v>
      </c>
      <c r="AX502" t="s">
        <v>6028</v>
      </c>
    </row>
    <row r="503" spans="1:50">
      <c r="A503" s="1">
        <f>HYPERLINK("https://lsnyc.legalserver.org/matter/dynamic-profile/view/1905149","19-1905149")</f>
        <v>0</v>
      </c>
      <c r="B503" t="s">
        <v>126</v>
      </c>
      <c r="C503" t="s">
        <v>191</v>
      </c>
      <c r="D503" t="s">
        <v>249</v>
      </c>
      <c r="F503" t="s">
        <v>799</v>
      </c>
      <c r="G503" t="s">
        <v>1341</v>
      </c>
      <c r="H503" t="s">
        <v>2305</v>
      </c>
      <c r="I503" t="s">
        <v>2944</v>
      </c>
      <c r="J503" t="s">
        <v>3168</v>
      </c>
      <c r="K503">
        <v>11385</v>
      </c>
      <c r="L503" t="s">
        <v>3185</v>
      </c>
      <c r="M503" t="s">
        <v>3189</v>
      </c>
      <c r="N503" t="s">
        <v>3186</v>
      </c>
      <c r="O503" t="s">
        <v>3387</v>
      </c>
      <c r="P503" t="s">
        <v>3610</v>
      </c>
      <c r="Q503" t="s">
        <v>3638</v>
      </c>
      <c r="S503" t="s">
        <v>249</v>
      </c>
      <c r="T503" t="s">
        <v>3660</v>
      </c>
      <c r="U503" t="s">
        <v>3184</v>
      </c>
      <c r="W503" t="s">
        <v>3670</v>
      </c>
      <c r="X503" t="s">
        <v>3681</v>
      </c>
      <c r="Y503">
        <v>1050</v>
      </c>
      <c r="Z503" t="s">
        <v>3688</v>
      </c>
      <c r="AA503" t="s">
        <v>3700</v>
      </c>
      <c r="AC503" t="s">
        <v>4165</v>
      </c>
      <c r="AE503" t="s">
        <v>5282</v>
      </c>
      <c r="AF503">
        <v>6</v>
      </c>
      <c r="AG503" t="s">
        <v>5813</v>
      </c>
      <c r="AH503" t="s">
        <v>3188</v>
      </c>
      <c r="AI503">
        <v>14</v>
      </c>
      <c r="AJ503">
        <v>1</v>
      </c>
      <c r="AK503">
        <v>2</v>
      </c>
      <c r="AL503">
        <v>327.79</v>
      </c>
      <c r="AM503" t="s">
        <v>228</v>
      </c>
      <c r="AN503" t="s">
        <v>5839</v>
      </c>
      <c r="AO503" t="s">
        <v>5843</v>
      </c>
      <c r="AP503">
        <v>69918</v>
      </c>
      <c r="AV503">
        <v>9.41</v>
      </c>
      <c r="AW503" t="s">
        <v>231</v>
      </c>
      <c r="AX503" t="s">
        <v>126</v>
      </c>
    </row>
    <row r="504" spans="1:50">
      <c r="A504" s="1">
        <f>HYPERLINK("https://lsnyc.legalserver.org/matter/dynamic-profile/view/1907318","19-1907318")</f>
        <v>0</v>
      </c>
      <c r="B504" t="s">
        <v>126</v>
      </c>
      <c r="C504" t="s">
        <v>191</v>
      </c>
      <c r="D504" t="s">
        <v>227</v>
      </c>
      <c r="F504" t="s">
        <v>478</v>
      </c>
      <c r="G504" t="s">
        <v>1369</v>
      </c>
      <c r="H504" t="s">
        <v>2306</v>
      </c>
      <c r="I504" t="s">
        <v>2992</v>
      </c>
      <c r="J504" t="s">
        <v>3168</v>
      </c>
      <c r="K504">
        <v>11385</v>
      </c>
      <c r="L504" t="s">
        <v>3185</v>
      </c>
      <c r="M504" t="s">
        <v>3189</v>
      </c>
      <c r="N504" t="s">
        <v>3186</v>
      </c>
      <c r="O504" t="s">
        <v>3388</v>
      </c>
      <c r="P504" t="s">
        <v>3619</v>
      </c>
      <c r="Q504" t="s">
        <v>3636</v>
      </c>
      <c r="S504" t="s">
        <v>227</v>
      </c>
      <c r="T504" t="s">
        <v>3661</v>
      </c>
      <c r="U504" t="s">
        <v>3184</v>
      </c>
      <c r="W504" t="s">
        <v>3670</v>
      </c>
      <c r="X504" t="s">
        <v>3684</v>
      </c>
      <c r="Y504">
        <v>1734</v>
      </c>
      <c r="Z504" t="s">
        <v>3688</v>
      </c>
      <c r="AA504" t="s">
        <v>3703</v>
      </c>
      <c r="AC504" t="s">
        <v>4166</v>
      </c>
      <c r="AE504" t="s">
        <v>4764</v>
      </c>
      <c r="AF504">
        <v>6</v>
      </c>
      <c r="AG504" t="s">
        <v>5813</v>
      </c>
      <c r="AH504" t="s">
        <v>3188</v>
      </c>
      <c r="AI504">
        <v>4</v>
      </c>
      <c r="AJ504">
        <v>1</v>
      </c>
      <c r="AK504">
        <v>3</v>
      </c>
      <c r="AL504">
        <v>96.93000000000001</v>
      </c>
      <c r="AM504" t="s">
        <v>5835</v>
      </c>
      <c r="AN504" t="s">
        <v>5840</v>
      </c>
      <c r="AO504" t="s">
        <v>5844</v>
      </c>
      <c r="AP504">
        <v>24960</v>
      </c>
      <c r="AV504">
        <v>1.7</v>
      </c>
      <c r="AW504" t="s">
        <v>216</v>
      </c>
      <c r="AX504" t="s">
        <v>126</v>
      </c>
    </row>
    <row r="505" spans="1:50">
      <c r="A505" s="1">
        <f>HYPERLINK("https://lsnyc.legalserver.org/matter/dynamic-profile/view/1869399","18-1869399")</f>
        <v>0</v>
      </c>
      <c r="B505" t="s">
        <v>103</v>
      </c>
      <c r="C505" t="s">
        <v>192</v>
      </c>
      <c r="D505" t="s">
        <v>318</v>
      </c>
      <c r="E505" t="s">
        <v>275</v>
      </c>
      <c r="F505" t="s">
        <v>675</v>
      </c>
      <c r="G505" t="s">
        <v>1470</v>
      </c>
      <c r="H505" t="s">
        <v>2307</v>
      </c>
      <c r="I505" t="s">
        <v>2838</v>
      </c>
      <c r="J505" t="s">
        <v>3148</v>
      </c>
      <c r="K505">
        <v>11233</v>
      </c>
      <c r="L505" t="s">
        <v>3186</v>
      </c>
      <c r="N505" t="s">
        <v>3186</v>
      </c>
      <c r="R505" t="s">
        <v>3642</v>
      </c>
      <c r="T505" t="s">
        <v>3660</v>
      </c>
      <c r="W505" t="s">
        <v>3670</v>
      </c>
      <c r="Y505">
        <v>0</v>
      </c>
      <c r="Z505" t="s">
        <v>3691</v>
      </c>
      <c r="AA505" t="s">
        <v>3632</v>
      </c>
      <c r="AB505" t="s">
        <v>3721</v>
      </c>
      <c r="AC505" t="s">
        <v>4167</v>
      </c>
      <c r="AE505" t="s">
        <v>5283</v>
      </c>
      <c r="AF505">
        <v>0</v>
      </c>
      <c r="AI505">
        <v>0</v>
      </c>
      <c r="AJ505">
        <v>2</v>
      </c>
      <c r="AK505">
        <v>0</v>
      </c>
      <c r="AL505">
        <v>54.68</v>
      </c>
      <c r="AO505" t="s">
        <v>5843</v>
      </c>
      <c r="AP505">
        <v>9000</v>
      </c>
      <c r="AV505">
        <v>1.8</v>
      </c>
      <c r="AW505" t="s">
        <v>5984</v>
      </c>
      <c r="AX505" t="s">
        <v>6012</v>
      </c>
    </row>
    <row r="506" spans="1:50">
      <c r="A506" s="1">
        <f>HYPERLINK("https://lsnyc.legalserver.org/matter/dynamic-profile/view/1904898","19-1904898")</f>
        <v>0</v>
      </c>
      <c r="B506" t="s">
        <v>126</v>
      </c>
      <c r="C506" t="s">
        <v>191</v>
      </c>
      <c r="D506" t="s">
        <v>218</v>
      </c>
      <c r="F506" t="s">
        <v>800</v>
      </c>
      <c r="G506" t="s">
        <v>1443</v>
      </c>
      <c r="H506" t="s">
        <v>2308</v>
      </c>
      <c r="I506" t="s">
        <v>2993</v>
      </c>
      <c r="J506" t="s">
        <v>3157</v>
      </c>
      <c r="K506">
        <v>11412</v>
      </c>
      <c r="L506" t="s">
        <v>3185</v>
      </c>
      <c r="M506" t="s">
        <v>3189</v>
      </c>
      <c r="N506" t="s">
        <v>3186</v>
      </c>
      <c r="O506" t="s">
        <v>3389</v>
      </c>
      <c r="P506" t="s">
        <v>3613</v>
      </c>
      <c r="Q506" t="s">
        <v>3638</v>
      </c>
      <c r="S506" t="s">
        <v>218</v>
      </c>
      <c r="T506" t="s">
        <v>3661</v>
      </c>
      <c r="U506" t="s">
        <v>3184</v>
      </c>
      <c r="W506" t="s">
        <v>3670</v>
      </c>
      <c r="X506" t="s">
        <v>3683</v>
      </c>
      <c r="Y506">
        <v>1488.5</v>
      </c>
      <c r="Z506" t="s">
        <v>3688</v>
      </c>
      <c r="AA506" t="s">
        <v>3703</v>
      </c>
      <c r="AC506" t="s">
        <v>4168</v>
      </c>
      <c r="AD506" t="s">
        <v>4808</v>
      </c>
      <c r="AF506">
        <v>3</v>
      </c>
      <c r="AG506" t="s">
        <v>5821</v>
      </c>
      <c r="AH506" t="s">
        <v>5825</v>
      </c>
      <c r="AI506">
        <v>2</v>
      </c>
      <c r="AJ506">
        <v>1</v>
      </c>
      <c r="AK506">
        <v>2</v>
      </c>
      <c r="AL506">
        <v>43.38</v>
      </c>
      <c r="AM506" t="s">
        <v>5835</v>
      </c>
      <c r="AN506" t="s">
        <v>5840</v>
      </c>
      <c r="AO506" t="s">
        <v>5843</v>
      </c>
      <c r="AP506">
        <v>9252</v>
      </c>
      <c r="AV506">
        <v>14.06</v>
      </c>
      <c r="AW506" t="s">
        <v>243</v>
      </c>
      <c r="AX506" t="s">
        <v>126</v>
      </c>
    </row>
    <row r="507" spans="1:50">
      <c r="A507" s="1">
        <f>HYPERLINK("https://lsnyc.legalserver.org/matter/dynamic-profile/view/1906143","19-1906143")</f>
        <v>0</v>
      </c>
      <c r="B507" t="s">
        <v>126</v>
      </c>
      <c r="C507" t="s">
        <v>191</v>
      </c>
      <c r="D507" t="s">
        <v>200</v>
      </c>
      <c r="F507" t="s">
        <v>801</v>
      </c>
      <c r="G507" t="s">
        <v>1557</v>
      </c>
      <c r="H507" t="s">
        <v>2309</v>
      </c>
      <c r="I507" t="s">
        <v>2994</v>
      </c>
      <c r="J507" t="s">
        <v>3151</v>
      </c>
      <c r="K507">
        <v>11420</v>
      </c>
      <c r="L507" t="s">
        <v>3185</v>
      </c>
      <c r="N507" t="s">
        <v>3186</v>
      </c>
      <c r="O507" t="s">
        <v>3390</v>
      </c>
      <c r="P507" t="s">
        <v>3613</v>
      </c>
      <c r="Q507" t="s">
        <v>3637</v>
      </c>
      <c r="S507" t="s">
        <v>200</v>
      </c>
      <c r="T507" t="s">
        <v>3661</v>
      </c>
      <c r="U507" t="s">
        <v>3184</v>
      </c>
      <c r="W507" t="s">
        <v>3670</v>
      </c>
      <c r="X507" t="s">
        <v>3681</v>
      </c>
      <c r="Y507">
        <v>0.01</v>
      </c>
      <c r="Z507" t="s">
        <v>3688</v>
      </c>
      <c r="AA507" t="s">
        <v>3703</v>
      </c>
      <c r="AC507" t="s">
        <v>4169</v>
      </c>
      <c r="AE507" t="s">
        <v>5284</v>
      </c>
      <c r="AF507">
        <v>2</v>
      </c>
      <c r="AG507" t="s">
        <v>5814</v>
      </c>
      <c r="AH507" t="s">
        <v>3188</v>
      </c>
      <c r="AI507">
        <v>2</v>
      </c>
      <c r="AJ507">
        <v>2</v>
      </c>
      <c r="AK507">
        <v>0</v>
      </c>
      <c r="AL507">
        <v>98.40000000000001</v>
      </c>
      <c r="AM507" t="s">
        <v>5835</v>
      </c>
      <c r="AN507" t="s">
        <v>5840</v>
      </c>
      <c r="AO507" t="s">
        <v>5844</v>
      </c>
      <c r="AP507">
        <v>16640</v>
      </c>
      <c r="AV507">
        <v>3.56</v>
      </c>
      <c r="AW507" t="s">
        <v>246</v>
      </c>
      <c r="AX507" t="s">
        <v>126</v>
      </c>
    </row>
    <row r="508" spans="1:50">
      <c r="A508" s="1">
        <f>HYPERLINK("https://lsnyc.legalserver.org/matter/dynamic-profile/view/1906436","19-1906436")</f>
        <v>0</v>
      </c>
      <c r="B508" t="s">
        <v>126</v>
      </c>
      <c r="C508" t="s">
        <v>191</v>
      </c>
      <c r="D508" t="s">
        <v>219</v>
      </c>
      <c r="F508" t="s">
        <v>802</v>
      </c>
      <c r="G508" t="s">
        <v>1558</v>
      </c>
      <c r="H508" t="s">
        <v>2310</v>
      </c>
      <c r="J508" t="s">
        <v>3151</v>
      </c>
      <c r="K508">
        <v>11420</v>
      </c>
      <c r="L508" t="s">
        <v>3185</v>
      </c>
      <c r="M508" t="s">
        <v>3189</v>
      </c>
      <c r="N508" t="s">
        <v>3186</v>
      </c>
      <c r="P508" t="s">
        <v>3257</v>
      </c>
      <c r="Q508" t="s">
        <v>3637</v>
      </c>
      <c r="S508" t="s">
        <v>219</v>
      </c>
      <c r="T508" t="s">
        <v>3661</v>
      </c>
      <c r="U508" t="s">
        <v>3184</v>
      </c>
      <c r="W508" t="s">
        <v>3670</v>
      </c>
      <c r="Y508">
        <v>0.01</v>
      </c>
      <c r="Z508" t="s">
        <v>3688</v>
      </c>
      <c r="AA508" t="s">
        <v>3703</v>
      </c>
      <c r="AC508" t="s">
        <v>4170</v>
      </c>
      <c r="AE508" t="s">
        <v>5285</v>
      </c>
      <c r="AF508">
        <v>3</v>
      </c>
      <c r="AG508" t="s">
        <v>5814</v>
      </c>
      <c r="AH508" t="s">
        <v>3188</v>
      </c>
      <c r="AI508">
        <v>9</v>
      </c>
      <c r="AJ508">
        <v>1</v>
      </c>
      <c r="AK508">
        <v>2</v>
      </c>
      <c r="AL508">
        <v>0</v>
      </c>
      <c r="AM508" t="s">
        <v>5835</v>
      </c>
      <c r="AN508" t="s">
        <v>5840</v>
      </c>
      <c r="AO508" t="s">
        <v>5844</v>
      </c>
      <c r="AP508">
        <v>0</v>
      </c>
      <c r="AV508">
        <v>3.61</v>
      </c>
      <c r="AW508" t="s">
        <v>234</v>
      </c>
      <c r="AX508" t="s">
        <v>126</v>
      </c>
    </row>
    <row r="509" spans="1:50">
      <c r="A509" s="1">
        <f>HYPERLINK("https://lsnyc.legalserver.org/matter/dynamic-profile/view/1908743","19-1908743")</f>
        <v>0</v>
      </c>
      <c r="B509" t="s">
        <v>126</v>
      </c>
      <c r="C509" t="s">
        <v>191</v>
      </c>
      <c r="D509" t="s">
        <v>244</v>
      </c>
      <c r="F509" t="s">
        <v>780</v>
      </c>
      <c r="G509" t="s">
        <v>1559</v>
      </c>
      <c r="H509" t="s">
        <v>2311</v>
      </c>
      <c r="I509" t="s">
        <v>2914</v>
      </c>
      <c r="J509" t="s">
        <v>3164</v>
      </c>
      <c r="K509">
        <v>11104</v>
      </c>
      <c r="L509" t="s">
        <v>3185</v>
      </c>
      <c r="N509" t="s">
        <v>3186</v>
      </c>
      <c r="P509" t="s">
        <v>3257</v>
      </c>
      <c r="Q509" t="s">
        <v>3637</v>
      </c>
      <c r="S509" t="s">
        <v>244</v>
      </c>
      <c r="T509" t="s">
        <v>3661</v>
      </c>
      <c r="U509" t="s">
        <v>3184</v>
      </c>
      <c r="W509" t="s">
        <v>3670</v>
      </c>
      <c r="Y509">
        <v>2015</v>
      </c>
      <c r="Z509" t="s">
        <v>3688</v>
      </c>
      <c r="AA509" t="s">
        <v>3703</v>
      </c>
      <c r="AC509" t="s">
        <v>4171</v>
      </c>
      <c r="AE509" t="s">
        <v>5286</v>
      </c>
      <c r="AF509">
        <v>95</v>
      </c>
      <c r="AG509" t="s">
        <v>5813</v>
      </c>
      <c r="AI509">
        <v>-1</v>
      </c>
      <c r="AJ509">
        <v>1</v>
      </c>
      <c r="AK509">
        <v>0</v>
      </c>
      <c r="AL509">
        <v>560.45</v>
      </c>
      <c r="AM509" t="s">
        <v>5835</v>
      </c>
      <c r="AN509" t="s">
        <v>5840</v>
      </c>
      <c r="AO509" t="s">
        <v>5843</v>
      </c>
      <c r="AP509">
        <v>70000</v>
      </c>
      <c r="AV509">
        <v>1</v>
      </c>
      <c r="AW509" t="s">
        <v>244</v>
      </c>
      <c r="AX509" t="s">
        <v>126</v>
      </c>
    </row>
    <row r="510" spans="1:50">
      <c r="A510" s="1">
        <f>HYPERLINK("https://lsnyc.legalserver.org/matter/dynamic-profile/view/1904943","19-1904943")</f>
        <v>0</v>
      </c>
      <c r="B510" t="s">
        <v>126</v>
      </c>
      <c r="C510" t="s">
        <v>191</v>
      </c>
      <c r="D510" t="s">
        <v>218</v>
      </c>
      <c r="F510" t="s">
        <v>803</v>
      </c>
      <c r="G510" t="s">
        <v>1560</v>
      </c>
      <c r="H510" t="s">
        <v>2312</v>
      </c>
      <c r="I510" t="s">
        <v>2908</v>
      </c>
      <c r="J510" t="s">
        <v>3165</v>
      </c>
      <c r="K510">
        <v>11377</v>
      </c>
      <c r="L510" t="s">
        <v>3185</v>
      </c>
      <c r="M510" t="s">
        <v>3189</v>
      </c>
      <c r="N510" t="s">
        <v>3186</v>
      </c>
      <c r="P510" t="s">
        <v>3257</v>
      </c>
      <c r="Q510" t="s">
        <v>3636</v>
      </c>
      <c r="S510" t="s">
        <v>218</v>
      </c>
      <c r="T510" t="s">
        <v>3661</v>
      </c>
      <c r="U510" t="s">
        <v>3184</v>
      </c>
      <c r="W510" t="s">
        <v>3678</v>
      </c>
      <c r="X510" t="s">
        <v>3681</v>
      </c>
      <c r="Y510">
        <v>400</v>
      </c>
      <c r="Z510" t="s">
        <v>3688</v>
      </c>
      <c r="AA510" t="s">
        <v>3703</v>
      </c>
      <c r="AC510" t="s">
        <v>4172</v>
      </c>
      <c r="AE510" t="s">
        <v>5287</v>
      </c>
      <c r="AF510">
        <v>72</v>
      </c>
      <c r="AG510" t="s">
        <v>5823</v>
      </c>
      <c r="AH510" t="s">
        <v>3188</v>
      </c>
      <c r="AI510">
        <v>-1</v>
      </c>
      <c r="AJ510">
        <v>1</v>
      </c>
      <c r="AK510">
        <v>2</v>
      </c>
      <c r="AL510">
        <v>124.67</v>
      </c>
      <c r="AM510" t="s">
        <v>5835</v>
      </c>
      <c r="AN510" t="s">
        <v>5840</v>
      </c>
      <c r="AO510" t="s">
        <v>5843</v>
      </c>
      <c r="AP510">
        <v>26592</v>
      </c>
      <c r="AV510">
        <v>5.25</v>
      </c>
      <c r="AW510" t="s">
        <v>280</v>
      </c>
      <c r="AX510" t="s">
        <v>126</v>
      </c>
    </row>
    <row r="511" spans="1:50">
      <c r="A511" s="1">
        <f>HYPERLINK("https://lsnyc.legalserver.org/matter/dynamic-profile/view/1908713","19-1908713")</f>
        <v>0</v>
      </c>
      <c r="B511" t="s">
        <v>126</v>
      </c>
      <c r="C511" t="s">
        <v>191</v>
      </c>
      <c r="D511" t="s">
        <v>244</v>
      </c>
      <c r="F511" t="s">
        <v>804</v>
      </c>
      <c r="G511" t="s">
        <v>1365</v>
      </c>
      <c r="H511" t="s">
        <v>2313</v>
      </c>
      <c r="I511" t="s">
        <v>2829</v>
      </c>
      <c r="J511" t="s">
        <v>3165</v>
      </c>
      <c r="K511">
        <v>11377</v>
      </c>
      <c r="L511" t="s">
        <v>3185</v>
      </c>
      <c r="N511" t="s">
        <v>3186</v>
      </c>
      <c r="P511" t="s">
        <v>3613</v>
      </c>
      <c r="Q511" t="s">
        <v>3637</v>
      </c>
      <c r="S511" t="s">
        <v>3658</v>
      </c>
      <c r="T511" t="s">
        <v>3661</v>
      </c>
      <c r="U511" t="s">
        <v>3184</v>
      </c>
      <c r="W511" t="s">
        <v>3670</v>
      </c>
      <c r="Y511">
        <v>720</v>
      </c>
      <c r="Z511" t="s">
        <v>3688</v>
      </c>
      <c r="AA511" t="s">
        <v>3703</v>
      </c>
      <c r="AC511" t="s">
        <v>4173</v>
      </c>
      <c r="AD511" t="s">
        <v>4809</v>
      </c>
      <c r="AF511">
        <v>6</v>
      </c>
      <c r="AG511" t="s">
        <v>5813</v>
      </c>
      <c r="AI511">
        <v>9</v>
      </c>
      <c r="AJ511">
        <v>1</v>
      </c>
      <c r="AK511">
        <v>3</v>
      </c>
      <c r="AL511">
        <v>30.29</v>
      </c>
      <c r="AM511" t="s">
        <v>5835</v>
      </c>
      <c r="AN511" t="s">
        <v>5840</v>
      </c>
      <c r="AO511" t="s">
        <v>5844</v>
      </c>
      <c r="AP511">
        <v>7800</v>
      </c>
      <c r="AV511">
        <v>1</v>
      </c>
      <c r="AW511" t="s">
        <v>244</v>
      </c>
      <c r="AX511" t="s">
        <v>126</v>
      </c>
    </row>
    <row r="512" spans="1:50">
      <c r="A512" s="1">
        <f>HYPERLINK("https://lsnyc.legalserver.org/matter/dynamic-profile/view/1904281","19-1904281")</f>
        <v>0</v>
      </c>
      <c r="B512" t="s">
        <v>127</v>
      </c>
      <c r="C512" t="s">
        <v>191</v>
      </c>
      <c r="D512" t="s">
        <v>193</v>
      </c>
      <c r="F512" t="s">
        <v>548</v>
      </c>
      <c r="G512" t="s">
        <v>1561</v>
      </c>
      <c r="H512" t="s">
        <v>2314</v>
      </c>
      <c r="I512" t="s">
        <v>2822</v>
      </c>
      <c r="J512" t="s">
        <v>3148</v>
      </c>
      <c r="K512">
        <v>11212</v>
      </c>
      <c r="L512" t="s">
        <v>3185</v>
      </c>
      <c r="M512" t="s">
        <v>3190</v>
      </c>
      <c r="N512" t="s">
        <v>3186</v>
      </c>
      <c r="O512" t="s">
        <v>3391</v>
      </c>
      <c r="P512" t="s">
        <v>3613</v>
      </c>
      <c r="Q512" t="s">
        <v>3636</v>
      </c>
      <c r="S512" t="s">
        <v>265</v>
      </c>
      <c r="T512" t="s">
        <v>3660</v>
      </c>
      <c r="U512" t="s">
        <v>3184</v>
      </c>
      <c r="W512" t="s">
        <v>3670</v>
      </c>
      <c r="X512" t="s">
        <v>3681</v>
      </c>
      <c r="Y512">
        <v>1800</v>
      </c>
      <c r="Z512" t="s">
        <v>3691</v>
      </c>
      <c r="AA512" t="s">
        <v>3695</v>
      </c>
      <c r="AC512" t="s">
        <v>4174</v>
      </c>
      <c r="AD512" t="s">
        <v>4810</v>
      </c>
      <c r="AE512" t="s">
        <v>5288</v>
      </c>
      <c r="AF512">
        <v>4</v>
      </c>
      <c r="AG512" t="s">
        <v>5814</v>
      </c>
      <c r="AH512" t="s">
        <v>5831</v>
      </c>
      <c r="AI512">
        <v>4</v>
      </c>
      <c r="AJ512">
        <v>4</v>
      </c>
      <c r="AK512">
        <v>0</v>
      </c>
      <c r="AL512">
        <v>111.01</v>
      </c>
      <c r="AO512" t="s">
        <v>5843</v>
      </c>
      <c r="AP512">
        <v>28584</v>
      </c>
      <c r="AV512">
        <v>1</v>
      </c>
      <c r="AW512" t="s">
        <v>193</v>
      </c>
      <c r="AX512" t="s">
        <v>6012</v>
      </c>
    </row>
    <row r="513" spans="1:50">
      <c r="A513" s="1">
        <f>HYPERLINK("https://lsnyc.legalserver.org/matter/dynamic-profile/view/1884410","18-1884410")</f>
        <v>0</v>
      </c>
      <c r="B513" t="s">
        <v>103</v>
      </c>
      <c r="C513" t="s">
        <v>192</v>
      </c>
      <c r="D513" t="s">
        <v>319</v>
      </c>
      <c r="E513" t="s">
        <v>243</v>
      </c>
      <c r="F513" t="s">
        <v>805</v>
      </c>
      <c r="G513" t="s">
        <v>1562</v>
      </c>
      <c r="H513" t="s">
        <v>2315</v>
      </c>
      <c r="I513" t="s">
        <v>2908</v>
      </c>
      <c r="J513" t="s">
        <v>3148</v>
      </c>
      <c r="K513">
        <v>11249</v>
      </c>
      <c r="L513" t="s">
        <v>3186</v>
      </c>
      <c r="N513" t="s">
        <v>3186</v>
      </c>
      <c r="R513" t="s">
        <v>3642</v>
      </c>
      <c r="T513" t="s">
        <v>3660</v>
      </c>
      <c r="W513" t="s">
        <v>3670</v>
      </c>
      <c r="Y513">
        <v>4400</v>
      </c>
      <c r="Z513" t="s">
        <v>3691</v>
      </c>
      <c r="AA513" t="s">
        <v>3707</v>
      </c>
      <c r="AB513" t="s">
        <v>3721</v>
      </c>
      <c r="AC513" t="s">
        <v>4175</v>
      </c>
      <c r="AE513" t="s">
        <v>5289</v>
      </c>
      <c r="AF513">
        <v>89</v>
      </c>
      <c r="AH513" t="s">
        <v>3188</v>
      </c>
      <c r="AI513">
        <v>0</v>
      </c>
      <c r="AJ513">
        <v>2</v>
      </c>
      <c r="AK513">
        <v>1</v>
      </c>
      <c r="AL513">
        <v>134.74</v>
      </c>
      <c r="AO513" t="s">
        <v>5843</v>
      </c>
      <c r="AP513">
        <v>28000</v>
      </c>
      <c r="AV513">
        <v>1</v>
      </c>
      <c r="AW513" t="s">
        <v>319</v>
      </c>
      <c r="AX513" t="s">
        <v>6014</v>
      </c>
    </row>
    <row r="514" spans="1:50">
      <c r="A514" s="1">
        <f>HYPERLINK("https://lsnyc.legalserver.org/matter/dynamic-profile/view/1902338","19-1902338")</f>
        <v>0</v>
      </c>
      <c r="B514" t="s">
        <v>128</v>
      </c>
      <c r="C514" t="s">
        <v>191</v>
      </c>
      <c r="D514" t="s">
        <v>302</v>
      </c>
      <c r="F514" t="s">
        <v>445</v>
      </c>
      <c r="G514" t="s">
        <v>1392</v>
      </c>
      <c r="H514" t="s">
        <v>2316</v>
      </c>
      <c r="J514" t="s">
        <v>3153</v>
      </c>
      <c r="K514">
        <v>11691</v>
      </c>
      <c r="L514" t="s">
        <v>3185</v>
      </c>
      <c r="M514" t="s">
        <v>3189</v>
      </c>
      <c r="N514" t="s">
        <v>3186</v>
      </c>
      <c r="O514" t="s">
        <v>3392</v>
      </c>
      <c r="P514" t="s">
        <v>3610</v>
      </c>
      <c r="Q514" t="s">
        <v>3638</v>
      </c>
      <c r="S514" t="s">
        <v>272</v>
      </c>
      <c r="T514" t="s">
        <v>3660</v>
      </c>
      <c r="U514" t="s">
        <v>3184</v>
      </c>
      <c r="W514" t="s">
        <v>3670</v>
      </c>
      <c r="X514" t="s">
        <v>3681</v>
      </c>
      <c r="Y514">
        <v>1075</v>
      </c>
      <c r="Z514" t="s">
        <v>3688</v>
      </c>
      <c r="AA514" t="s">
        <v>3632</v>
      </c>
      <c r="AC514" t="s">
        <v>4176</v>
      </c>
      <c r="AE514" t="s">
        <v>5290</v>
      </c>
      <c r="AF514">
        <v>602</v>
      </c>
      <c r="AG514" t="s">
        <v>3263</v>
      </c>
      <c r="AH514" t="s">
        <v>3632</v>
      </c>
      <c r="AI514">
        <v>3</v>
      </c>
      <c r="AJ514">
        <v>1</v>
      </c>
      <c r="AK514">
        <v>0</v>
      </c>
      <c r="AL514">
        <v>0</v>
      </c>
      <c r="AO514" t="s">
        <v>5844</v>
      </c>
      <c r="AP514">
        <v>0</v>
      </c>
      <c r="AV514">
        <v>2.56</v>
      </c>
      <c r="AW514" t="s">
        <v>290</v>
      </c>
      <c r="AX514" t="s">
        <v>168</v>
      </c>
    </row>
    <row r="515" spans="1:50">
      <c r="A515" s="1">
        <f>HYPERLINK("https://lsnyc.legalserver.org/matter/dynamic-profile/view/1907249","19-1907249")</f>
        <v>0</v>
      </c>
      <c r="B515" t="s">
        <v>129</v>
      </c>
      <c r="C515" t="s">
        <v>192</v>
      </c>
      <c r="D515" t="s">
        <v>227</v>
      </c>
      <c r="E515" t="s">
        <v>225</v>
      </c>
      <c r="F515" t="s">
        <v>806</v>
      </c>
      <c r="G515" t="s">
        <v>1563</v>
      </c>
      <c r="H515" t="s">
        <v>2317</v>
      </c>
      <c r="I515" t="s">
        <v>2826</v>
      </c>
      <c r="J515" t="s">
        <v>3148</v>
      </c>
      <c r="K515">
        <v>11233</v>
      </c>
      <c r="L515" t="s">
        <v>3186</v>
      </c>
      <c r="N515" t="s">
        <v>3186</v>
      </c>
      <c r="O515" t="s">
        <v>3188</v>
      </c>
      <c r="P515" t="s">
        <v>3257</v>
      </c>
      <c r="Q515" t="s">
        <v>3634</v>
      </c>
      <c r="R515" t="s">
        <v>3642</v>
      </c>
      <c r="T515" t="s">
        <v>3660</v>
      </c>
      <c r="U515" t="s">
        <v>3184</v>
      </c>
      <c r="W515" t="s">
        <v>3670</v>
      </c>
      <c r="Y515">
        <v>2400</v>
      </c>
      <c r="Z515" t="s">
        <v>3691</v>
      </c>
      <c r="AA515" t="s">
        <v>3632</v>
      </c>
      <c r="AB515" t="s">
        <v>3712</v>
      </c>
      <c r="AC515" t="s">
        <v>4177</v>
      </c>
      <c r="AE515" t="s">
        <v>5291</v>
      </c>
      <c r="AF515">
        <v>0</v>
      </c>
      <c r="AG515" t="s">
        <v>3263</v>
      </c>
      <c r="AH515" t="s">
        <v>3188</v>
      </c>
      <c r="AI515">
        <v>1</v>
      </c>
      <c r="AJ515">
        <v>2</v>
      </c>
      <c r="AK515">
        <v>2</v>
      </c>
      <c r="AL515">
        <v>25.17</v>
      </c>
      <c r="AO515" t="s">
        <v>5843</v>
      </c>
      <c r="AP515">
        <v>6480</v>
      </c>
      <c r="AV515">
        <v>1.41</v>
      </c>
      <c r="AW515" t="s">
        <v>225</v>
      </c>
      <c r="AX515" t="s">
        <v>6018</v>
      </c>
    </row>
    <row r="516" spans="1:50">
      <c r="A516" s="1">
        <f>HYPERLINK("https://lsnyc.legalserver.org/matter/dynamic-profile/view/1901339","19-1901339")</f>
        <v>0</v>
      </c>
      <c r="B516" t="s">
        <v>128</v>
      </c>
      <c r="C516" t="s">
        <v>191</v>
      </c>
      <c r="D516" t="s">
        <v>320</v>
      </c>
      <c r="F516" t="s">
        <v>807</v>
      </c>
      <c r="G516" t="s">
        <v>1564</v>
      </c>
      <c r="H516" t="s">
        <v>2318</v>
      </c>
      <c r="J516" t="s">
        <v>3169</v>
      </c>
      <c r="K516">
        <v>11423</v>
      </c>
      <c r="L516" t="s">
        <v>3185</v>
      </c>
      <c r="M516" t="s">
        <v>3190</v>
      </c>
      <c r="N516" t="s">
        <v>3186</v>
      </c>
      <c r="O516" t="s">
        <v>3393</v>
      </c>
      <c r="P516" t="s">
        <v>3612</v>
      </c>
      <c r="Q516" t="s">
        <v>3634</v>
      </c>
      <c r="S516" t="s">
        <v>217</v>
      </c>
      <c r="T516" t="s">
        <v>3660</v>
      </c>
      <c r="U516" t="s">
        <v>3184</v>
      </c>
      <c r="W516" t="s">
        <v>3670</v>
      </c>
      <c r="X516" t="s">
        <v>3681</v>
      </c>
      <c r="Y516">
        <v>700</v>
      </c>
      <c r="Z516" t="s">
        <v>3688</v>
      </c>
      <c r="AA516" t="s">
        <v>3698</v>
      </c>
      <c r="AC516" t="s">
        <v>4178</v>
      </c>
      <c r="AD516" t="s">
        <v>4811</v>
      </c>
      <c r="AE516" t="s">
        <v>5292</v>
      </c>
      <c r="AF516">
        <v>2</v>
      </c>
      <c r="AG516" t="s">
        <v>5814</v>
      </c>
      <c r="AH516" t="s">
        <v>3188</v>
      </c>
      <c r="AI516">
        <v>53</v>
      </c>
      <c r="AJ516">
        <v>2</v>
      </c>
      <c r="AK516">
        <v>0</v>
      </c>
      <c r="AL516">
        <v>59.61</v>
      </c>
      <c r="AO516" t="s">
        <v>5843</v>
      </c>
      <c r="AP516">
        <v>10080</v>
      </c>
      <c r="AT516" t="s">
        <v>5946</v>
      </c>
      <c r="AU516" t="s">
        <v>5965</v>
      </c>
      <c r="AV516">
        <v>0.6</v>
      </c>
      <c r="AW516" t="s">
        <v>5985</v>
      </c>
      <c r="AX516" t="s">
        <v>128</v>
      </c>
    </row>
    <row r="517" spans="1:50">
      <c r="A517" s="1">
        <f>HYPERLINK("https://lsnyc.legalserver.org/matter/dynamic-profile/view/1906581","19-1906581")</f>
        <v>0</v>
      </c>
      <c r="B517" t="s">
        <v>128</v>
      </c>
      <c r="C517" t="s">
        <v>191</v>
      </c>
      <c r="D517" t="s">
        <v>277</v>
      </c>
      <c r="F517" t="s">
        <v>483</v>
      </c>
      <c r="G517" t="s">
        <v>1565</v>
      </c>
      <c r="H517" t="s">
        <v>2319</v>
      </c>
      <c r="I517" t="s">
        <v>2900</v>
      </c>
      <c r="J517" t="s">
        <v>3170</v>
      </c>
      <c r="K517">
        <v>11372</v>
      </c>
      <c r="L517" t="s">
        <v>3185</v>
      </c>
      <c r="M517" t="s">
        <v>3189</v>
      </c>
      <c r="N517" t="s">
        <v>3186</v>
      </c>
      <c r="O517" t="s">
        <v>3394</v>
      </c>
      <c r="P517" t="s">
        <v>3613</v>
      </c>
      <c r="Q517" t="s">
        <v>3638</v>
      </c>
      <c r="S517" t="s">
        <v>277</v>
      </c>
      <c r="T517" t="s">
        <v>3660</v>
      </c>
      <c r="U517" t="s">
        <v>3184</v>
      </c>
      <c r="W517" t="s">
        <v>3670</v>
      </c>
      <c r="X517" t="s">
        <v>3681</v>
      </c>
      <c r="Y517">
        <v>1150</v>
      </c>
      <c r="Z517" t="s">
        <v>3688</v>
      </c>
      <c r="AA517" t="s">
        <v>3698</v>
      </c>
      <c r="AC517" t="s">
        <v>4179</v>
      </c>
      <c r="AD517" t="s">
        <v>4812</v>
      </c>
      <c r="AE517" t="s">
        <v>5293</v>
      </c>
      <c r="AF517">
        <v>101</v>
      </c>
      <c r="AG517" t="s">
        <v>5813</v>
      </c>
      <c r="AH517" t="s">
        <v>3188</v>
      </c>
      <c r="AI517">
        <v>22</v>
      </c>
      <c r="AJ517">
        <v>3</v>
      </c>
      <c r="AK517">
        <v>0</v>
      </c>
      <c r="AL517">
        <v>127.52</v>
      </c>
      <c r="AO517" t="s">
        <v>5844</v>
      </c>
      <c r="AP517">
        <v>27200</v>
      </c>
      <c r="AV517">
        <v>10.15</v>
      </c>
      <c r="AW517" t="s">
        <v>243</v>
      </c>
      <c r="AX517" t="s">
        <v>62</v>
      </c>
    </row>
    <row r="518" spans="1:50">
      <c r="A518" s="1">
        <f>HYPERLINK("https://lsnyc.legalserver.org/matter/dynamic-profile/view/1907242","19-1907242")</f>
        <v>0</v>
      </c>
      <c r="B518" t="s">
        <v>128</v>
      </c>
      <c r="C518" t="s">
        <v>191</v>
      </c>
      <c r="D518" t="s">
        <v>227</v>
      </c>
      <c r="F518" t="s">
        <v>808</v>
      </c>
      <c r="G518" t="s">
        <v>1566</v>
      </c>
      <c r="H518" t="s">
        <v>2320</v>
      </c>
      <c r="J518" t="s">
        <v>3155</v>
      </c>
      <c r="K518">
        <v>11436</v>
      </c>
      <c r="L518" t="s">
        <v>3185</v>
      </c>
      <c r="M518" t="s">
        <v>3189</v>
      </c>
      <c r="N518" t="s">
        <v>3186</v>
      </c>
      <c r="O518" t="s">
        <v>3395</v>
      </c>
      <c r="P518" t="s">
        <v>3610</v>
      </c>
      <c r="Q518" t="s">
        <v>3638</v>
      </c>
      <c r="S518" t="s">
        <v>227</v>
      </c>
      <c r="T518" t="s">
        <v>3660</v>
      </c>
      <c r="U518" t="s">
        <v>3184</v>
      </c>
      <c r="W518" t="s">
        <v>3670</v>
      </c>
      <c r="X518" t="s">
        <v>3681</v>
      </c>
      <c r="Y518">
        <v>1554</v>
      </c>
      <c r="Z518" t="s">
        <v>3688</v>
      </c>
      <c r="AA518" t="s">
        <v>3698</v>
      </c>
      <c r="AC518" t="s">
        <v>4180</v>
      </c>
      <c r="AD518" t="s">
        <v>4813</v>
      </c>
      <c r="AE518" t="s">
        <v>5294</v>
      </c>
      <c r="AF518">
        <v>3</v>
      </c>
      <c r="AG518" t="s">
        <v>3263</v>
      </c>
      <c r="AH518" t="s">
        <v>5825</v>
      </c>
      <c r="AI518">
        <v>-1</v>
      </c>
      <c r="AJ518">
        <v>1</v>
      </c>
      <c r="AK518">
        <v>0</v>
      </c>
      <c r="AL518">
        <v>37.28</v>
      </c>
      <c r="AO518" t="s">
        <v>5843</v>
      </c>
      <c r="AP518">
        <v>4656</v>
      </c>
      <c r="AV518">
        <v>6.05</v>
      </c>
      <c r="AW518" t="s">
        <v>252</v>
      </c>
      <c r="AX518" t="s">
        <v>62</v>
      </c>
    </row>
    <row r="519" spans="1:50">
      <c r="A519" s="1">
        <f>HYPERLINK("https://lsnyc.legalserver.org/matter/dynamic-profile/view/1907457","19-1907457")</f>
        <v>0</v>
      </c>
      <c r="B519" t="s">
        <v>128</v>
      </c>
      <c r="C519" t="s">
        <v>191</v>
      </c>
      <c r="D519" t="s">
        <v>234</v>
      </c>
      <c r="F519" t="s">
        <v>622</v>
      </c>
      <c r="G519" t="s">
        <v>1078</v>
      </c>
      <c r="H519" t="s">
        <v>2321</v>
      </c>
      <c r="J519" t="s">
        <v>3155</v>
      </c>
      <c r="K519">
        <v>11435</v>
      </c>
      <c r="L519" t="s">
        <v>3185</v>
      </c>
      <c r="N519" t="s">
        <v>3186</v>
      </c>
      <c r="O519" t="s">
        <v>3396</v>
      </c>
      <c r="P519" t="s">
        <v>3610</v>
      </c>
      <c r="Q519" t="s">
        <v>3638</v>
      </c>
      <c r="S519" t="s">
        <v>234</v>
      </c>
      <c r="T519" t="s">
        <v>3660</v>
      </c>
      <c r="U519" t="s">
        <v>3184</v>
      </c>
      <c r="W519" t="s">
        <v>3670</v>
      </c>
      <c r="X519" t="s">
        <v>3681</v>
      </c>
      <c r="Y519">
        <v>1650</v>
      </c>
      <c r="Z519" t="s">
        <v>3688</v>
      </c>
      <c r="AA519" t="s">
        <v>3698</v>
      </c>
      <c r="AC519" t="s">
        <v>4181</v>
      </c>
      <c r="AE519" t="s">
        <v>5295</v>
      </c>
      <c r="AF519">
        <v>2</v>
      </c>
      <c r="AG519" t="s">
        <v>5814</v>
      </c>
      <c r="AH519" t="s">
        <v>3188</v>
      </c>
      <c r="AI519">
        <v>2</v>
      </c>
      <c r="AJ519">
        <v>1</v>
      </c>
      <c r="AK519">
        <v>3</v>
      </c>
      <c r="AL519">
        <v>0</v>
      </c>
      <c r="AO519" t="s">
        <v>5843</v>
      </c>
      <c r="AP519">
        <v>0</v>
      </c>
      <c r="AV519">
        <v>13.25</v>
      </c>
      <c r="AW519" t="s">
        <v>252</v>
      </c>
      <c r="AX519" t="s">
        <v>128</v>
      </c>
    </row>
    <row r="520" spans="1:50">
      <c r="A520" s="1">
        <f>HYPERLINK("https://lsnyc.legalserver.org/matter/dynamic-profile/view/1909542","19-1909542")</f>
        <v>0</v>
      </c>
      <c r="B520" t="s">
        <v>128</v>
      </c>
      <c r="C520" t="s">
        <v>191</v>
      </c>
      <c r="D520" t="s">
        <v>197</v>
      </c>
      <c r="F520" t="s">
        <v>622</v>
      </c>
      <c r="G520" t="s">
        <v>1078</v>
      </c>
      <c r="H520" t="s">
        <v>2322</v>
      </c>
      <c r="I520">
        <v>2</v>
      </c>
      <c r="J520" t="s">
        <v>3155</v>
      </c>
      <c r="K520">
        <v>11435</v>
      </c>
      <c r="L520" t="s">
        <v>3185</v>
      </c>
      <c r="M520" t="s">
        <v>3189</v>
      </c>
      <c r="N520" t="s">
        <v>3186</v>
      </c>
      <c r="O520" t="s">
        <v>3396</v>
      </c>
      <c r="P520" t="s">
        <v>3612</v>
      </c>
      <c r="Q520" t="s">
        <v>3638</v>
      </c>
      <c r="S520" t="s">
        <v>197</v>
      </c>
      <c r="T520" t="s">
        <v>3660</v>
      </c>
      <c r="U520" t="s">
        <v>3184</v>
      </c>
      <c r="W520" t="s">
        <v>3670</v>
      </c>
      <c r="Y520">
        <v>1650</v>
      </c>
      <c r="Z520" t="s">
        <v>3688</v>
      </c>
      <c r="AA520" t="s">
        <v>3698</v>
      </c>
      <c r="AC520" t="s">
        <v>4181</v>
      </c>
      <c r="AE520" t="s">
        <v>5295</v>
      </c>
      <c r="AF520">
        <v>2</v>
      </c>
      <c r="AG520" t="s">
        <v>5814</v>
      </c>
      <c r="AH520" t="s">
        <v>3188</v>
      </c>
      <c r="AI520">
        <v>2</v>
      </c>
      <c r="AJ520">
        <v>1</v>
      </c>
      <c r="AK520">
        <v>3</v>
      </c>
      <c r="AL520">
        <v>0</v>
      </c>
      <c r="AO520" t="s">
        <v>5843</v>
      </c>
      <c r="AP520">
        <v>0</v>
      </c>
      <c r="AV520">
        <v>0.6</v>
      </c>
      <c r="AW520" t="s">
        <v>197</v>
      </c>
      <c r="AX520" t="s">
        <v>62</v>
      </c>
    </row>
    <row r="521" spans="1:50">
      <c r="A521" s="1">
        <f>HYPERLINK("https://lsnyc.legalserver.org/matter/dynamic-profile/view/1895163","19-1895163")</f>
        <v>0</v>
      </c>
      <c r="B521" t="s">
        <v>128</v>
      </c>
      <c r="C521" t="s">
        <v>191</v>
      </c>
      <c r="D521" t="s">
        <v>248</v>
      </c>
      <c r="F521" t="s">
        <v>809</v>
      </c>
      <c r="G521" t="s">
        <v>1402</v>
      </c>
      <c r="H521" t="s">
        <v>2323</v>
      </c>
      <c r="I521">
        <v>41</v>
      </c>
      <c r="J521" t="s">
        <v>3155</v>
      </c>
      <c r="K521">
        <v>11432</v>
      </c>
      <c r="L521" t="s">
        <v>3185</v>
      </c>
      <c r="N521" t="s">
        <v>3185</v>
      </c>
      <c r="O521" t="s">
        <v>3397</v>
      </c>
      <c r="P521" t="s">
        <v>3610</v>
      </c>
      <c r="Q521" t="s">
        <v>3638</v>
      </c>
      <c r="T521" t="s">
        <v>3660</v>
      </c>
      <c r="U521" t="s">
        <v>3184</v>
      </c>
      <c r="W521" t="s">
        <v>3670</v>
      </c>
      <c r="X521" t="s">
        <v>3681</v>
      </c>
      <c r="Y521">
        <v>1421.57</v>
      </c>
      <c r="Z521" t="s">
        <v>3688</v>
      </c>
      <c r="AA521" t="s">
        <v>3696</v>
      </c>
      <c r="AC521" t="s">
        <v>4182</v>
      </c>
      <c r="AD521" t="s">
        <v>4764</v>
      </c>
      <c r="AE521" t="s">
        <v>5296</v>
      </c>
      <c r="AF521">
        <v>36</v>
      </c>
      <c r="AG521" t="s">
        <v>5813</v>
      </c>
      <c r="AH521" t="s">
        <v>3188</v>
      </c>
      <c r="AI521">
        <v>26</v>
      </c>
      <c r="AJ521">
        <v>2</v>
      </c>
      <c r="AK521">
        <v>0</v>
      </c>
      <c r="AL521">
        <v>0</v>
      </c>
      <c r="AO521" t="s">
        <v>5843</v>
      </c>
      <c r="AP521">
        <v>0</v>
      </c>
      <c r="AV521">
        <v>23.65</v>
      </c>
      <c r="AW521" t="s">
        <v>196</v>
      </c>
      <c r="AX521" t="s">
        <v>128</v>
      </c>
    </row>
    <row r="522" spans="1:50">
      <c r="A522" s="1">
        <f>HYPERLINK("https://lsnyc.legalserver.org/matter/dynamic-profile/view/1904455","19-1904455")</f>
        <v>0</v>
      </c>
      <c r="B522" t="s">
        <v>128</v>
      </c>
      <c r="C522" t="s">
        <v>191</v>
      </c>
      <c r="D522" t="s">
        <v>272</v>
      </c>
      <c r="F522" t="s">
        <v>810</v>
      </c>
      <c r="G522" t="s">
        <v>1567</v>
      </c>
      <c r="H522" t="s">
        <v>2324</v>
      </c>
      <c r="I522" t="s">
        <v>2896</v>
      </c>
      <c r="J522" t="s">
        <v>3171</v>
      </c>
      <c r="K522">
        <v>11415</v>
      </c>
      <c r="L522" t="s">
        <v>3185</v>
      </c>
      <c r="M522" t="s">
        <v>3189</v>
      </c>
      <c r="N522" t="s">
        <v>3186</v>
      </c>
      <c r="O522" t="s">
        <v>3398</v>
      </c>
      <c r="P522" t="s">
        <v>3610</v>
      </c>
      <c r="Q522" t="s">
        <v>3638</v>
      </c>
      <c r="S522" t="s">
        <v>272</v>
      </c>
      <c r="T522" t="s">
        <v>3660</v>
      </c>
      <c r="U522" t="s">
        <v>3184</v>
      </c>
      <c r="W522" t="s">
        <v>3670</v>
      </c>
      <c r="X522" t="s">
        <v>3683</v>
      </c>
      <c r="Y522">
        <v>1650</v>
      </c>
      <c r="Z522" t="s">
        <v>3688</v>
      </c>
      <c r="AA522" t="s">
        <v>3706</v>
      </c>
      <c r="AC522" t="s">
        <v>4183</v>
      </c>
      <c r="AE522" t="s">
        <v>5297</v>
      </c>
      <c r="AF522">
        <v>70</v>
      </c>
      <c r="AG522" t="s">
        <v>5813</v>
      </c>
      <c r="AH522" t="s">
        <v>3188</v>
      </c>
      <c r="AI522">
        <v>1</v>
      </c>
      <c r="AJ522">
        <v>1</v>
      </c>
      <c r="AK522">
        <v>0</v>
      </c>
      <c r="AL522">
        <v>134.03</v>
      </c>
      <c r="AO522" t="s">
        <v>5843</v>
      </c>
      <c r="AP522">
        <v>16740</v>
      </c>
      <c r="AV522">
        <v>13.91</v>
      </c>
      <c r="AW522" t="s">
        <v>261</v>
      </c>
      <c r="AX522" t="s">
        <v>56</v>
      </c>
    </row>
    <row r="523" spans="1:50">
      <c r="A523" s="1">
        <f>HYPERLINK("https://lsnyc.legalserver.org/matter/dynamic-profile/view/1904893","19-1904893")</f>
        <v>0</v>
      </c>
      <c r="B523" t="s">
        <v>128</v>
      </c>
      <c r="C523" t="s">
        <v>191</v>
      </c>
      <c r="D523" t="s">
        <v>218</v>
      </c>
      <c r="F523" t="s">
        <v>548</v>
      </c>
      <c r="G523" t="s">
        <v>1568</v>
      </c>
      <c r="H523" t="s">
        <v>2325</v>
      </c>
      <c r="I523" t="s">
        <v>2995</v>
      </c>
      <c r="J523" t="s">
        <v>3158</v>
      </c>
      <c r="K523">
        <v>11417</v>
      </c>
      <c r="L523" t="s">
        <v>3185</v>
      </c>
      <c r="M523" t="s">
        <v>3189</v>
      </c>
      <c r="N523" t="s">
        <v>3186</v>
      </c>
      <c r="O523" t="s">
        <v>3399</v>
      </c>
      <c r="P523" t="s">
        <v>3613</v>
      </c>
      <c r="Q523" t="s">
        <v>3638</v>
      </c>
      <c r="S523" t="s">
        <v>268</v>
      </c>
      <c r="T523" t="s">
        <v>3660</v>
      </c>
      <c r="U523" t="s">
        <v>3184</v>
      </c>
      <c r="W523" t="s">
        <v>3670</v>
      </c>
      <c r="X523" t="s">
        <v>3681</v>
      </c>
      <c r="Y523">
        <v>800</v>
      </c>
      <c r="Z523" t="s">
        <v>3688</v>
      </c>
      <c r="AA523" t="s">
        <v>3698</v>
      </c>
      <c r="AC523" t="s">
        <v>4184</v>
      </c>
      <c r="AE523" t="s">
        <v>5298</v>
      </c>
      <c r="AF523">
        <v>2</v>
      </c>
      <c r="AG523" t="s">
        <v>5814</v>
      </c>
      <c r="AH523" t="s">
        <v>3188</v>
      </c>
      <c r="AI523">
        <v>6</v>
      </c>
      <c r="AJ523">
        <v>1</v>
      </c>
      <c r="AK523">
        <v>2</v>
      </c>
      <c r="AL523">
        <v>39.38</v>
      </c>
      <c r="AO523" t="s">
        <v>5843</v>
      </c>
      <c r="AP523">
        <v>8400</v>
      </c>
      <c r="AV523">
        <v>18.51</v>
      </c>
      <c r="AW523" t="s">
        <v>275</v>
      </c>
      <c r="AX523" t="s">
        <v>6030</v>
      </c>
    </row>
    <row r="524" spans="1:50">
      <c r="A524" s="1">
        <f>HYPERLINK("https://lsnyc.legalserver.org/matter/dynamic-profile/view/1905014","19-1905014")</f>
        <v>0</v>
      </c>
      <c r="B524" t="s">
        <v>128</v>
      </c>
      <c r="C524" t="s">
        <v>191</v>
      </c>
      <c r="D524" t="s">
        <v>218</v>
      </c>
      <c r="F524" t="s">
        <v>811</v>
      </c>
      <c r="G524" t="s">
        <v>1569</v>
      </c>
      <c r="H524" t="s">
        <v>2326</v>
      </c>
      <c r="I524" t="s">
        <v>2973</v>
      </c>
      <c r="J524" t="s">
        <v>3172</v>
      </c>
      <c r="K524">
        <v>11418</v>
      </c>
      <c r="L524" t="s">
        <v>3185</v>
      </c>
      <c r="M524" t="s">
        <v>3189</v>
      </c>
      <c r="N524" t="s">
        <v>3186</v>
      </c>
      <c r="O524" t="s">
        <v>3400</v>
      </c>
      <c r="P524" t="s">
        <v>3613</v>
      </c>
      <c r="Q524" t="s">
        <v>3638</v>
      </c>
      <c r="S524" t="s">
        <v>218</v>
      </c>
      <c r="T524" t="s">
        <v>3660</v>
      </c>
      <c r="U524" t="s">
        <v>3185</v>
      </c>
      <c r="W524" t="s">
        <v>3670</v>
      </c>
      <c r="X524" t="s">
        <v>3681</v>
      </c>
      <c r="Y524">
        <v>850</v>
      </c>
      <c r="Z524" t="s">
        <v>3688</v>
      </c>
      <c r="AA524" t="s">
        <v>3698</v>
      </c>
      <c r="AC524" t="s">
        <v>4185</v>
      </c>
      <c r="AD524" t="s">
        <v>4814</v>
      </c>
      <c r="AE524" t="s">
        <v>5299</v>
      </c>
      <c r="AF524">
        <v>3</v>
      </c>
      <c r="AG524" t="s">
        <v>5811</v>
      </c>
      <c r="AH524" t="s">
        <v>3632</v>
      </c>
      <c r="AI524">
        <v>25</v>
      </c>
      <c r="AJ524">
        <v>2</v>
      </c>
      <c r="AK524">
        <v>0</v>
      </c>
      <c r="AL524">
        <v>143.06</v>
      </c>
      <c r="AO524" t="s">
        <v>5843</v>
      </c>
      <c r="AP524">
        <v>24192</v>
      </c>
      <c r="AV524">
        <v>5.05</v>
      </c>
      <c r="AW524" t="s">
        <v>225</v>
      </c>
      <c r="AX524" t="s">
        <v>6028</v>
      </c>
    </row>
    <row r="525" spans="1:50">
      <c r="A525" s="1">
        <f>HYPERLINK("https://lsnyc.legalserver.org/matter/dynamic-profile/view/1907982","19-1907982")</f>
        <v>0</v>
      </c>
      <c r="B525" t="s">
        <v>128</v>
      </c>
      <c r="C525" t="s">
        <v>191</v>
      </c>
      <c r="D525" t="s">
        <v>251</v>
      </c>
      <c r="F525" t="s">
        <v>812</v>
      </c>
      <c r="G525" t="s">
        <v>1570</v>
      </c>
      <c r="H525" t="s">
        <v>2327</v>
      </c>
      <c r="I525" t="s">
        <v>2894</v>
      </c>
      <c r="J525" t="s">
        <v>3157</v>
      </c>
      <c r="K525">
        <v>11412</v>
      </c>
      <c r="L525" t="s">
        <v>3185</v>
      </c>
      <c r="M525" t="s">
        <v>3189</v>
      </c>
      <c r="N525" t="s">
        <v>3186</v>
      </c>
      <c r="O525" t="s">
        <v>3401</v>
      </c>
      <c r="P525" t="s">
        <v>3610</v>
      </c>
      <c r="Q525" t="s">
        <v>3637</v>
      </c>
      <c r="T525" t="s">
        <v>3660</v>
      </c>
      <c r="U525" t="s">
        <v>3184</v>
      </c>
      <c r="W525" t="s">
        <v>3670</v>
      </c>
      <c r="Y525">
        <v>1400</v>
      </c>
      <c r="Z525" t="s">
        <v>3688</v>
      </c>
      <c r="AA525" t="s">
        <v>3698</v>
      </c>
      <c r="AC525" t="s">
        <v>4186</v>
      </c>
      <c r="AE525" t="s">
        <v>5300</v>
      </c>
      <c r="AF525">
        <v>30</v>
      </c>
      <c r="AG525" t="s">
        <v>3263</v>
      </c>
      <c r="AH525" t="s">
        <v>3188</v>
      </c>
      <c r="AI525">
        <v>1</v>
      </c>
      <c r="AJ525">
        <v>1</v>
      </c>
      <c r="AK525">
        <v>1</v>
      </c>
      <c r="AL525">
        <v>0</v>
      </c>
      <c r="AO525" t="s">
        <v>5843</v>
      </c>
      <c r="AP525">
        <v>0</v>
      </c>
      <c r="AV525">
        <v>1.6</v>
      </c>
      <c r="AW525" t="s">
        <v>196</v>
      </c>
      <c r="AX525" t="s">
        <v>6028</v>
      </c>
    </row>
    <row r="526" spans="1:50">
      <c r="A526" s="1">
        <f>HYPERLINK("https://lsnyc.legalserver.org/matter/dynamic-profile/view/1905528","19-1905528")</f>
        <v>0</v>
      </c>
      <c r="B526" t="s">
        <v>70</v>
      </c>
      <c r="C526" t="s">
        <v>192</v>
      </c>
      <c r="D526" t="s">
        <v>202</v>
      </c>
      <c r="E526" t="s">
        <v>280</v>
      </c>
      <c r="F526" t="s">
        <v>440</v>
      </c>
      <c r="G526" t="s">
        <v>1203</v>
      </c>
      <c r="H526" t="s">
        <v>2328</v>
      </c>
      <c r="I526" t="s">
        <v>2828</v>
      </c>
      <c r="J526" t="s">
        <v>3147</v>
      </c>
      <c r="K526">
        <v>10463</v>
      </c>
      <c r="L526" t="s">
        <v>3185</v>
      </c>
      <c r="M526" t="s">
        <v>3190</v>
      </c>
      <c r="N526" t="s">
        <v>3186</v>
      </c>
      <c r="P526" t="s">
        <v>3615</v>
      </c>
      <c r="Q526" t="s">
        <v>3634</v>
      </c>
      <c r="R526" t="s">
        <v>3642</v>
      </c>
      <c r="S526" t="s">
        <v>202</v>
      </c>
      <c r="T526" t="s">
        <v>3660</v>
      </c>
      <c r="U526" t="s">
        <v>3184</v>
      </c>
      <c r="W526" t="s">
        <v>3670</v>
      </c>
      <c r="Y526">
        <v>1300</v>
      </c>
      <c r="Z526" t="s">
        <v>3689</v>
      </c>
      <c r="AA526" t="s">
        <v>3697</v>
      </c>
      <c r="AB526" t="s">
        <v>3712</v>
      </c>
      <c r="AC526" t="s">
        <v>4187</v>
      </c>
      <c r="AD526" t="s">
        <v>4815</v>
      </c>
      <c r="AE526" t="s">
        <v>5301</v>
      </c>
      <c r="AF526">
        <v>100</v>
      </c>
      <c r="AG526" t="s">
        <v>5813</v>
      </c>
      <c r="AH526" t="s">
        <v>3188</v>
      </c>
      <c r="AI526">
        <v>8</v>
      </c>
      <c r="AJ526">
        <v>1</v>
      </c>
      <c r="AK526">
        <v>0</v>
      </c>
      <c r="AL526">
        <v>134.51</v>
      </c>
      <c r="AO526" t="s">
        <v>5844</v>
      </c>
      <c r="AP526">
        <v>16800</v>
      </c>
      <c r="AV526">
        <v>1</v>
      </c>
      <c r="AW526" t="s">
        <v>202</v>
      </c>
      <c r="AX526" t="s">
        <v>108</v>
      </c>
    </row>
    <row r="527" spans="1:50">
      <c r="A527" s="1">
        <f>HYPERLINK("https://lsnyc.legalserver.org/matter/dynamic-profile/view/1907762","19-1907762")</f>
        <v>0</v>
      </c>
      <c r="B527" t="s">
        <v>70</v>
      </c>
      <c r="C527" t="s">
        <v>192</v>
      </c>
      <c r="D527" t="s">
        <v>225</v>
      </c>
      <c r="E527" t="s">
        <v>280</v>
      </c>
      <c r="F527" t="s">
        <v>813</v>
      </c>
      <c r="G527" t="s">
        <v>1571</v>
      </c>
      <c r="H527" t="s">
        <v>2329</v>
      </c>
      <c r="I527" t="s">
        <v>2996</v>
      </c>
      <c r="J527" t="s">
        <v>3146</v>
      </c>
      <c r="K527">
        <v>10034</v>
      </c>
      <c r="L527" t="s">
        <v>3185</v>
      </c>
      <c r="M527" t="s">
        <v>3190</v>
      </c>
      <c r="N527" t="s">
        <v>3186</v>
      </c>
      <c r="P527" t="s">
        <v>3257</v>
      </c>
      <c r="Q527" t="s">
        <v>3634</v>
      </c>
      <c r="R527" t="s">
        <v>3642</v>
      </c>
      <c r="S527" t="s">
        <v>225</v>
      </c>
      <c r="T527" t="s">
        <v>3660</v>
      </c>
      <c r="U527" t="s">
        <v>3184</v>
      </c>
      <c r="W527" t="s">
        <v>3670</v>
      </c>
      <c r="Y527">
        <v>1403</v>
      </c>
      <c r="Z527" t="s">
        <v>3689</v>
      </c>
      <c r="AA527" t="s">
        <v>3705</v>
      </c>
      <c r="AB527" t="s">
        <v>3712</v>
      </c>
      <c r="AC527" t="s">
        <v>4188</v>
      </c>
      <c r="AD527" t="s">
        <v>4816</v>
      </c>
      <c r="AE527" t="s">
        <v>5302</v>
      </c>
      <c r="AF527">
        <v>31</v>
      </c>
      <c r="AG527" t="s">
        <v>5813</v>
      </c>
      <c r="AH527" t="s">
        <v>3188</v>
      </c>
      <c r="AI527">
        <v>1</v>
      </c>
      <c r="AJ527">
        <v>1</v>
      </c>
      <c r="AK527">
        <v>0</v>
      </c>
      <c r="AL527">
        <v>17.29</v>
      </c>
      <c r="AO527" t="s">
        <v>5843</v>
      </c>
      <c r="AP527">
        <v>2160</v>
      </c>
      <c r="AV527">
        <v>2</v>
      </c>
      <c r="AW527" t="s">
        <v>262</v>
      </c>
      <c r="AX527" t="s">
        <v>6009</v>
      </c>
    </row>
    <row r="528" spans="1:50">
      <c r="A528" s="1">
        <f>HYPERLINK("https://lsnyc.legalserver.org/matter/dynamic-profile/view/1907458","19-1907458")</f>
        <v>0</v>
      </c>
      <c r="B528" t="s">
        <v>129</v>
      </c>
      <c r="C528" t="s">
        <v>192</v>
      </c>
      <c r="D528" t="s">
        <v>234</v>
      </c>
      <c r="E528" t="s">
        <v>225</v>
      </c>
      <c r="F528" t="s">
        <v>814</v>
      </c>
      <c r="G528" t="s">
        <v>1572</v>
      </c>
      <c r="H528" t="s">
        <v>2330</v>
      </c>
      <c r="I528">
        <v>2</v>
      </c>
      <c r="J528" t="s">
        <v>3148</v>
      </c>
      <c r="K528">
        <v>11208</v>
      </c>
      <c r="L528" t="s">
        <v>3186</v>
      </c>
      <c r="N528" t="s">
        <v>3186</v>
      </c>
      <c r="O528" t="s">
        <v>3188</v>
      </c>
      <c r="P528" t="s">
        <v>3257</v>
      </c>
      <c r="Q528" t="s">
        <v>3634</v>
      </c>
      <c r="R528" t="s">
        <v>3642</v>
      </c>
      <c r="T528" t="s">
        <v>3660</v>
      </c>
      <c r="U528" t="s">
        <v>3184</v>
      </c>
      <c r="W528" t="s">
        <v>3670</v>
      </c>
      <c r="Y528">
        <v>1442</v>
      </c>
      <c r="Z528" t="s">
        <v>3691</v>
      </c>
      <c r="AA528" t="s">
        <v>3632</v>
      </c>
      <c r="AB528" t="s">
        <v>3712</v>
      </c>
      <c r="AC528" t="s">
        <v>4189</v>
      </c>
      <c r="AE528" t="s">
        <v>5303</v>
      </c>
      <c r="AF528">
        <v>2</v>
      </c>
      <c r="AG528" t="s">
        <v>5814</v>
      </c>
      <c r="AH528" t="s">
        <v>5827</v>
      </c>
      <c r="AI528">
        <v>12</v>
      </c>
      <c r="AJ528">
        <v>1</v>
      </c>
      <c r="AK528">
        <v>0</v>
      </c>
      <c r="AL528">
        <v>74.08</v>
      </c>
      <c r="AO528" t="s">
        <v>5844</v>
      </c>
      <c r="AP528">
        <v>9252</v>
      </c>
      <c r="AV528">
        <v>1.4</v>
      </c>
      <c r="AW528" t="s">
        <v>225</v>
      </c>
      <c r="AX528" t="s">
        <v>6022</v>
      </c>
    </row>
    <row r="529" spans="1:50">
      <c r="A529" s="1">
        <f>HYPERLINK("https://lsnyc.legalserver.org/matter/dynamic-profile/view/1885189","18-1885189")</f>
        <v>0</v>
      </c>
      <c r="B529" t="s">
        <v>130</v>
      </c>
      <c r="C529" t="s">
        <v>192</v>
      </c>
      <c r="D529" t="s">
        <v>321</v>
      </c>
      <c r="E529" t="s">
        <v>218</v>
      </c>
      <c r="F529" t="s">
        <v>632</v>
      </c>
      <c r="G529" t="s">
        <v>1573</v>
      </c>
      <c r="H529" t="s">
        <v>2331</v>
      </c>
      <c r="I529" t="s">
        <v>2997</v>
      </c>
      <c r="J529" t="s">
        <v>3148</v>
      </c>
      <c r="K529">
        <v>11206</v>
      </c>
      <c r="L529" t="s">
        <v>3186</v>
      </c>
      <c r="N529" t="s">
        <v>3186</v>
      </c>
      <c r="P529" t="s">
        <v>3257</v>
      </c>
      <c r="R529" t="s">
        <v>3643</v>
      </c>
      <c r="T529" t="s">
        <v>3660</v>
      </c>
      <c r="U529" t="s">
        <v>3184</v>
      </c>
      <c r="W529" t="s">
        <v>3670</v>
      </c>
      <c r="Y529">
        <v>1375</v>
      </c>
      <c r="Z529" t="s">
        <v>3691</v>
      </c>
      <c r="AA529" t="s">
        <v>3696</v>
      </c>
      <c r="AB529" t="s">
        <v>3713</v>
      </c>
      <c r="AC529" t="s">
        <v>4190</v>
      </c>
      <c r="AE529" t="s">
        <v>5304</v>
      </c>
      <c r="AF529">
        <v>0</v>
      </c>
      <c r="AI529">
        <v>11</v>
      </c>
      <c r="AJ529">
        <v>1</v>
      </c>
      <c r="AK529">
        <v>0</v>
      </c>
      <c r="AL529">
        <v>168.53</v>
      </c>
      <c r="AO529" t="s">
        <v>5843</v>
      </c>
      <c r="AP529">
        <v>20460</v>
      </c>
      <c r="AV529">
        <v>16.25</v>
      </c>
      <c r="AW529" t="s">
        <v>218</v>
      </c>
      <c r="AX529" t="s">
        <v>143</v>
      </c>
    </row>
    <row r="530" spans="1:50">
      <c r="A530" s="1">
        <f>HYPERLINK("https://lsnyc.legalserver.org/matter/dynamic-profile/view/1884815","18-1884815")</f>
        <v>0</v>
      </c>
      <c r="B530" t="s">
        <v>130</v>
      </c>
      <c r="C530" t="s">
        <v>191</v>
      </c>
      <c r="D530" t="s">
        <v>322</v>
      </c>
      <c r="F530" t="s">
        <v>815</v>
      </c>
      <c r="G530" t="s">
        <v>1574</v>
      </c>
      <c r="H530" t="s">
        <v>2332</v>
      </c>
      <c r="I530" t="s">
        <v>2895</v>
      </c>
      <c r="J530" t="s">
        <v>3148</v>
      </c>
      <c r="K530">
        <v>11207</v>
      </c>
      <c r="L530" t="s">
        <v>3186</v>
      </c>
      <c r="N530" t="s">
        <v>3186</v>
      </c>
      <c r="O530" t="s">
        <v>3402</v>
      </c>
      <c r="P530" t="s">
        <v>3613</v>
      </c>
      <c r="T530" t="s">
        <v>3660</v>
      </c>
      <c r="W530" t="s">
        <v>3670</v>
      </c>
      <c r="Y530">
        <v>1200</v>
      </c>
      <c r="Z530" t="s">
        <v>3691</v>
      </c>
      <c r="AA530" t="s">
        <v>3695</v>
      </c>
      <c r="AC530" t="s">
        <v>4191</v>
      </c>
      <c r="AE530" t="s">
        <v>5305</v>
      </c>
      <c r="AF530">
        <v>3</v>
      </c>
      <c r="AH530" t="s">
        <v>5828</v>
      </c>
      <c r="AI530">
        <v>4</v>
      </c>
      <c r="AJ530">
        <v>1</v>
      </c>
      <c r="AK530">
        <v>0</v>
      </c>
      <c r="AL530">
        <v>82.73</v>
      </c>
      <c r="AO530" t="s">
        <v>5843</v>
      </c>
      <c r="AP530">
        <v>10044</v>
      </c>
      <c r="AV530">
        <v>57.75</v>
      </c>
      <c r="AW530" t="s">
        <v>198</v>
      </c>
      <c r="AX530" t="s">
        <v>6008</v>
      </c>
    </row>
    <row r="531" spans="1:50">
      <c r="A531" s="1">
        <f>HYPERLINK("https://lsnyc.legalserver.org/matter/dynamic-profile/view/1904729","19-1904729")</f>
        <v>0</v>
      </c>
      <c r="B531" t="s">
        <v>70</v>
      </c>
      <c r="C531" t="s">
        <v>191</v>
      </c>
      <c r="D531" t="s">
        <v>214</v>
      </c>
      <c r="F531" t="s">
        <v>735</v>
      </c>
      <c r="G531" t="s">
        <v>1203</v>
      </c>
      <c r="H531" t="s">
        <v>2333</v>
      </c>
      <c r="I531" t="s">
        <v>2998</v>
      </c>
      <c r="J531" t="s">
        <v>3146</v>
      </c>
      <c r="K531">
        <v>10034</v>
      </c>
      <c r="L531" t="s">
        <v>3185</v>
      </c>
      <c r="M531" t="s">
        <v>3189</v>
      </c>
      <c r="N531" t="s">
        <v>3186</v>
      </c>
      <c r="P531" t="s">
        <v>3612</v>
      </c>
      <c r="Q531" t="s">
        <v>3638</v>
      </c>
      <c r="S531" t="s">
        <v>214</v>
      </c>
      <c r="T531" t="s">
        <v>3660</v>
      </c>
      <c r="U531" t="s">
        <v>3185</v>
      </c>
      <c r="W531" t="s">
        <v>3670</v>
      </c>
      <c r="Y531">
        <v>1600</v>
      </c>
      <c r="Z531" t="s">
        <v>3689</v>
      </c>
      <c r="AA531" t="s">
        <v>3697</v>
      </c>
      <c r="AC531" t="s">
        <v>4192</v>
      </c>
      <c r="AE531" t="s">
        <v>5306</v>
      </c>
      <c r="AF531">
        <v>43</v>
      </c>
      <c r="AG531" t="s">
        <v>5813</v>
      </c>
      <c r="AH531" t="s">
        <v>3188</v>
      </c>
      <c r="AI531">
        <v>0</v>
      </c>
      <c r="AJ531">
        <v>3</v>
      </c>
      <c r="AK531">
        <v>1</v>
      </c>
      <c r="AL531">
        <v>154.72</v>
      </c>
      <c r="AO531" t="s">
        <v>5844</v>
      </c>
      <c r="AP531">
        <v>39840</v>
      </c>
      <c r="AV531">
        <v>0</v>
      </c>
      <c r="AX531" t="s">
        <v>108</v>
      </c>
    </row>
    <row r="532" spans="1:50">
      <c r="A532" s="1">
        <f>HYPERLINK("https://lsnyc.legalserver.org/matter/dynamic-profile/view/1904725","19-1904725")</f>
        <v>0</v>
      </c>
      <c r="B532" t="s">
        <v>70</v>
      </c>
      <c r="C532" t="s">
        <v>191</v>
      </c>
      <c r="D532" t="s">
        <v>214</v>
      </c>
      <c r="F532" t="s">
        <v>445</v>
      </c>
      <c r="G532" t="s">
        <v>1575</v>
      </c>
      <c r="H532" t="s">
        <v>2333</v>
      </c>
      <c r="I532" t="s">
        <v>2999</v>
      </c>
      <c r="J532" t="s">
        <v>3146</v>
      </c>
      <c r="K532">
        <v>10034</v>
      </c>
      <c r="L532" t="s">
        <v>3185</v>
      </c>
      <c r="M532" t="s">
        <v>3189</v>
      </c>
      <c r="N532" t="s">
        <v>3186</v>
      </c>
      <c r="P532" t="s">
        <v>3612</v>
      </c>
      <c r="Q532" t="s">
        <v>3638</v>
      </c>
      <c r="S532" t="s">
        <v>214</v>
      </c>
      <c r="T532" t="s">
        <v>3660</v>
      </c>
      <c r="U532" t="s">
        <v>3185</v>
      </c>
      <c r="W532" t="s">
        <v>3670</v>
      </c>
      <c r="Y532">
        <v>1650</v>
      </c>
      <c r="Z532" t="s">
        <v>3689</v>
      </c>
      <c r="AA532" t="s">
        <v>3697</v>
      </c>
      <c r="AC532" t="s">
        <v>4193</v>
      </c>
      <c r="AE532" t="s">
        <v>5307</v>
      </c>
      <c r="AF532">
        <v>43</v>
      </c>
      <c r="AG532" t="s">
        <v>5813</v>
      </c>
      <c r="AH532" t="s">
        <v>3188</v>
      </c>
      <c r="AI532">
        <v>24</v>
      </c>
      <c r="AJ532">
        <v>2</v>
      </c>
      <c r="AK532">
        <v>2</v>
      </c>
      <c r="AL532">
        <v>252.43</v>
      </c>
      <c r="AO532" t="s">
        <v>5843</v>
      </c>
      <c r="AP532">
        <v>65000</v>
      </c>
      <c r="AV532">
        <v>0</v>
      </c>
      <c r="AX532" t="s">
        <v>108</v>
      </c>
    </row>
    <row r="533" spans="1:50">
      <c r="A533" s="1">
        <f>HYPERLINK("https://lsnyc.legalserver.org/matter/dynamic-profile/view/1904723","19-1904723")</f>
        <v>0</v>
      </c>
      <c r="B533" t="s">
        <v>70</v>
      </c>
      <c r="C533" t="s">
        <v>191</v>
      </c>
      <c r="D533" t="s">
        <v>214</v>
      </c>
      <c r="F533" t="s">
        <v>709</v>
      </c>
      <c r="G533" t="s">
        <v>1548</v>
      </c>
      <c r="H533" t="s">
        <v>2333</v>
      </c>
      <c r="I533" t="s">
        <v>3000</v>
      </c>
      <c r="J533" t="s">
        <v>3146</v>
      </c>
      <c r="K533">
        <v>10034</v>
      </c>
      <c r="L533" t="s">
        <v>3185</v>
      </c>
      <c r="M533" t="s">
        <v>3189</v>
      </c>
      <c r="N533" t="s">
        <v>3186</v>
      </c>
      <c r="P533" t="s">
        <v>3612</v>
      </c>
      <c r="Q533" t="s">
        <v>3638</v>
      </c>
      <c r="S533" t="s">
        <v>214</v>
      </c>
      <c r="T533" t="s">
        <v>3660</v>
      </c>
      <c r="U533" t="s">
        <v>3185</v>
      </c>
      <c r="W533" t="s">
        <v>3670</v>
      </c>
      <c r="Y533">
        <v>1625</v>
      </c>
      <c r="Z533" t="s">
        <v>3689</v>
      </c>
      <c r="AA533" t="s">
        <v>3697</v>
      </c>
      <c r="AC533" t="s">
        <v>4194</v>
      </c>
      <c r="AE533" t="s">
        <v>5308</v>
      </c>
      <c r="AF533">
        <v>43</v>
      </c>
      <c r="AG533" t="s">
        <v>5813</v>
      </c>
      <c r="AH533" t="s">
        <v>3188</v>
      </c>
      <c r="AI533">
        <v>2</v>
      </c>
      <c r="AJ533">
        <v>2</v>
      </c>
      <c r="AK533">
        <v>0</v>
      </c>
      <c r="AL533">
        <v>413.96</v>
      </c>
      <c r="AO533" t="s">
        <v>5843</v>
      </c>
      <c r="AP533">
        <v>70000</v>
      </c>
      <c r="AV533">
        <v>0.2</v>
      </c>
      <c r="AW533" t="s">
        <v>253</v>
      </c>
      <c r="AX533" t="s">
        <v>108</v>
      </c>
    </row>
    <row r="534" spans="1:50">
      <c r="A534" s="1">
        <f>HYPERLINK("https://lsnyc.legalserver.org/matter/dynamic-profile/view/1905488","19-1905488")</f>
        <v>0</v>
      </c>
      <c r="B534" t="s">
        <v>70</v>
      </c>
      <c r="C534" t="s">
        <v>191</v>
      </c>
      <c r="D534" t="s">
        <v>217</v>
      </c>
      <c r="F534" t="s">
        <v>816</v>
      </c>
      <c r="G534" t="s">
        <v>1576</v>
      </c>
      <c r="H534" t="s">
        <v>2334</v>
      </c>
      <c r="I534" t="s">
        <v>2814</v>
      </c>
      <c r="J534" t="s">
        <v>3146</v>
      </c>
      <c r="K534">
        <v>10034</v>
      </c>
      <c r="L534" t="s">
        <v>3185</v>
      </c>
      <c r="M534" t="s">
        <v>3189</v>
      </c>
      <c r="N534" t="s">
        <v>3186</v>
      </c>
      <c r="P534" t="s">
        <v>3612</v>
      </c>
      <c r="Q534" t="s">
        <v>3638</v>
      </c>
      <c r="S534" t="s">
        <v>217</v>
      </c>
      <c r="T534" t="s">
        <v>3660</v>
      </c>
      <c r="U534" t="s">
        <v>3184</v>
      </c>
      <c r="W534" t="s">
        <v>3670</v>
      </c>
      <c r="Y534">
        <v>1550</v>
      </c>
      <c r="Z534" t="s">
        <v>3689</v>
      </c>
      <c r="AA534" t="s">
        <v>3697</v>
      </c>
      <c r="AC534" t="s">
        <v>4195</v>
      </c>
      <c r="AE534" t="s">
        <v>5309</v>
      </c>
      <c r="AF534">
        <v>44</v>
      </c>
      <c r="AG534" t="s">
        <v>5813</v>
      </c>
      <c r="AH534" t="s">
        <v>3188</v>
      </c>
      <c r="AI534">
        <v>3</v>
      </c>
      <c r="AJ534">
        <v>1</v>
      </c>
      <c r="AK534">
        <v>1</v>
      </c>
      <c r="AL534">
        <v>325.25</v>
      </c>
      <c r="AO534" t="s">
        <v>5843</v>
      </c>
      <c r="AP534">
        <v>55000</v>
      </c>
      <c r="AV534">
        <v>0</v>
      </c>
      <c r="AX534" t="s">
        <v>108</v>
      </c>
    </row>
    <row r="535" spans="1:50">
      <c r="A535" s="1">
        <f>HYPERLINK("https://lsnyc.legalserver.org/matter/dynamic-profile/view/1907074","19-1907074")</f>
        <v>0</v>
      </c>
      <c r="B535" t="s">
        <v>70</v>
      </c>
      <c r="C535" t="s">
        <v>191</v>
      </c>
      <c r="D535" t="s">
        <v>281</v>
      </c>
      <c r="F535" t="s">
        <v>440</v>
      </c>
      <c r="G535" t="s">
        <v>1577</v>
      </c>
      <c r="H535" t="s">
        <v>2335</v>
      </c>
      <c r="I535" t="s">
        <v>2840</v>
      </c>
      <c r="J535" t="s">
        <v>3146</v>
      </c>
      <c r="K535">
        <v>10034</v>
      </c>
      <c r="L535" t="s">
        <v>3185</v>
      </c>
      <c r="M535" t="s">
        <v>3189</v>
      </c>
      <c r="N535" t="s">
        <v>3186</v>
      </c>
      <c r="P535" t="s">
        <v>3610</v>
      </c>
      <c r="Q535" t="s">
        <v>3639</v>
      </c>
      <c r="S535" t="s">
        <v>281</v>
      </c>
      <c r="T535" t="s">
        <v>3660</v>
      </c>
      <c r="U535" t="s">
        <v>3184</v>
      </c>
      <c r="W535" t="s">
        <v>3670</v>
      </c>
      <c r="Y535">
        <v>972.72</v>
      </c>
      <c r="Z535" t="s">
        <v>3689</v>
      </c>
      <c r="AA535" t="s">
        <v>3696</v>
      </c>
      <c r="AC535" t="s">
        <v>4196</v>
      </c>
      <c r="AE535" t="s">
        <v>5310</v>
      </c>
      <c r="AF535">
        <v>121</v>
      </c>
      <c r="AG535" t="s">
        <v>5813</v>
      </c>
      <c r="AH535" t="s">
        <v>3188</v>
      </c>
      <c r="AI535">
        <v>32</v>
      </c>
      <c r="AJ535">
        <v>1</v>
      </c>
      <c r="AK535">
        <v>0</v>
      </c>
      <c r="AL535">
        <v>20.66</v>
      </c>
      <c r="AO535" t="s">
        <v>5844</v>
      </c>
      <c r="AP535">
        <v>2580</v>
      </c>
      <c r="AV535">
        <v>0.1</v>
      </c>
      <c r="AW535" t="s">
        <v>281</v>
      </c>
      <c r="AX535" t="s">
        <v>108</v>
      </c>
    </row>
    <row r="536" spans="1:50">
      <c r="A536" s="1">
        <f>HYPERLINK("https://lsnyc.legalserver.org/matter/dynamic-profile/view/1907072","19-1907072")</f>
        <v>0</v>
      </c>
      <c r="B536" t="s">
        <v>70</v>
      </c>
      <c r="C536" t="s">
        <v>191</v>
      </c>
      <c r="D536" t="s">
        <v>281</v>
      </c>
      <c r="F536" t="s">
        <v>440</v>
      </c>
      <c r="G536" t="s">
        <v>1577</v>
      </c>
      <c r="H536" t="s">
        <v>2335</v>
      </c>
      <c r="I536" t="s">
        <v>2840</v>
      </c>
      <c r="J536" t="s">
        <v>3146</v>
      </c>
      <c r="K536">
        <v>10034</v>
      </c>
      <c r="L536" t="s">
        <v>3185</v>
      </c>
      <c r="M536" t="s">
        <v>3189</v>
      </c>
      <c r="N536" t="s">
        <v>3186</v>
      </c>
      <c r="P536" t="s">
        <v>3615</v>
      </c>
      <c r="Q536" t="s">
        <v>3639</v>
      </c>
      <c r="S536" t="s">
        <v>281</v>
      </c>
      <c r="T536" t="s">
        <v>3660</v>
      </c>
      <c r="U536" t="s">
        <v>3184</v>
      </c>
      <c r="W536" t="s">
        <v>3670</v>
      </c>
      <c r="Y536">
        <v>972.72</v>
      </c>
      <c r="Z536" t="s">
        <v>3689</v>
      </c>
      <c r="AA536" t="s">
        <v>3696</v>
      </c>
      <c r="AC536" t="s">
        <v>4196</v>
      </c>
      <c r="AE536" t="s">
        <v>5310</v>
      </c>
      <c r="AF536">
        <v>121</v>
      </c>
      <c r="AG536" t="s">
        <v>5813</v>
      </c>
      <c r="AH536" t="s">
        <v>3188</v>
      </c>
      <c r="AI536">
        <v>32</v>
      </c>
      <c r="AJ536">
        <v>1</v>
      </c>
      <c r="AK536">
        <v>0</v>
      </c>
      <c r="AL536">
        <v>20.66</v>
      </c>
      <c r="AO536" t="s">
        <v>5844</v>
      </c>
      <c r="AP536">
        <v>2580</v>
      </c>
      <c r="AV536">
        <v>0.1</v>
      </c>
      <c r="AW536" t="s">
        <v>281</v>
      </c>
      <c r="AX536" t="s">
        <v>108</v>
      </c>
    </row>
    <row r="537" spans="1:50">
      <c r="A537" s="1">
        <f>HYPERLINK("https://lsnyc.legalserver.org/matter/dynamic-profile/view/1907071","19-1907071")</f>
        <v>0</v>
      </c>
      <c r="B537" t="s">
        <v>70</v>
      </c>
      <c r="C537" t="s">
        <v>191</v>
      </c>
      <c r="D537" t="s">
        <v>281</v>
      </c>
      <c r="F537" t="s">
        <v>817</v>
      </c>
      <c r="G537" t="s">
        <v>1198</v>
      </c>
      <c r="H537" t="s">
        <v>2336</v>
      </c>
      <c r="I537" t="s">
        <v>3001</v>
      </c>
      <c r="J537" t="s">
        <v>3146</v>
      </c>
      <c r="K537">
        <v>10032</v>
      </c>
      <c r="L537" t="s">
        <v>3185</v>
      </c>
      <c r="M537" t="s">
        <v>3189</v>
      </c>
      <c r="N537" t="s">
        <v>3186</v>
      </c>
      <c r="P537" t="s">
        <v>3615</v>
      </c>
      <c r="Q537" t="s">
        <v>3635</v>
      </c>
      <c r="S537" t="s">
        <v>281</v>
      </c>
      <c r="T537" t="s">
        <v>3660</v>
      </c>
      <c r="U537" t="s">
        <v>3184</v>
      </c>
      <c r="W537" t="s">
        <v>3670</v>
      </c>
      <c r="Y537">
        <v>370</v>
      </c>
      <c r="Z537" t="s">
        <v>3689</v>
      </c>
      <c r="AA537" t="s">
        <v>3696</v>
      </c>
      <c r="AC537" t="s">
        <v>4197</v>
      </c>
      <c r="AE537" t="s">
        <v>5311</v>
      </c>
      <c r="AF537">
        <v>69</v>
      </c>
      <c r="AG537" t="s">
        <v>5811</v>
      </c>
      <c r="AH537" t="s">
        <v>3188</v>
      </c>
      <c r="AI537">
        <v>9</v>
      </c>
      <c r="AJ537">
        <v>3</v>
      </c>
      <c r="AK537">
        <v>0</v>
      </c>
      <c r="AL537">
        <v>109.7</v>
      </c>
      <c r="AO537" t="s">
        <v>5844</v>
      </c>
      <c r="AP537">
        <v>23400</v>
      </c>
      <c r="AV537">
        <v>5.8</v>
      </c>
      <c r="AW537" t="s">
        <v>198</v>
      </c>
      <c r="AX537" t="s">
        <v>108</v>
      </c>
    </row>
    <row r="538" spans="1:50">
      <c r="A538" s="1">
        <f>HYPERLINK("https://lsnyc.legalserver.org/matter/dynamic-profile/view/1907066","19-1907066")</f>
        <v>0</v>
      </c>
      <c r="B538" t="s">
        <v>70</v>
      </c>
      <c r="C538" t="s">
        <v>191</v>
      </c>
      <c r="D538" t="s">
        <v>281</v>
      </c>
      <c r="F538" t="s">
        <v>533</v>
      </c>
      <c r="G538" t="s">
        <v>1578</v>
      </c>
      <c r="H538" t="s">
        <v>2337</v>
      </c>
      <c r="I538" t="s">
        <v>2834</v>
      </c>
      <c r="J538" t="s">
        <v>3146</v>
      </c>
      <c r="K538">
        <v>10034</v>
      </c>
      <c r="L538" t="s">
        <v>3185</v>
      </c>
      <c r="M538" t="s">
        <v>3189</v>
      </c>
      <c r="N538" t="s">
        <v>3186</v>
      </c>
      <c r="P538" t="s">
        <v>3257</v>
      </c>
      <c r="Q538" t="s">
        <v>3636</v>
      </c>
      <c r="S538" t="s">
        <v>281</v>
      </c>
      <c r="T538" t="s">
        <v>3660</v>
      </c>
      <c r="U538" t="s">
        <v>3184</v>
      </c>
      <c r="W538" t="s">
        <v>3670</v>
      </c>
      <c r="Y538">
        <v>1220</v>
      </c>
      <c r="Z538" t="s">
        <v>3689</v>
      </c>
      <c r="AA538" t="s">
        <v>3696</v>
      </c>
      <c r="AC538" t="s">
        <v>4198</v>
      </c>
      <c r="AE538" t="s">
        <v>5312</v>
      </c>
      <c r="AF538">
        <v>70</v>
      </c>
      <c r="AG538" t="s">
        <v>5813</v>
      </c>
      <c r="AH538" t="s">
        <v>3188</v>
      </c>
      <c r="AI538">
        <v>33</v>
      </c>
      <c r="AJ538">
        <v>1</v>
      </c>
      <c r="AK538">
        <v>0</v>
      </c>
      <c r="AL538">
        <v>163.33</v>
      </c>
      <c r="AO538" t="s">
        <v>5844</v>
      </c>
      <c r="AP538">
        <v>20400</v>
      </c>
      <c r="AV538">
        <v>4.1</v>
      </c>
      <c r="AW538" t="s">
        <v>253</v>
      </c>
      <c r="AX538" t="s">
        <v>108</v>
      </c>
    </row>
    <row r="539" spans="1:50">
      <c r="A539" s="1">
        <f>HYPERLINK("https://lsnyc.legalserver.org/matter/dynamic-profile/view/1907026","19-1907026")</f>
        <v>0</v>
      </c>
      <c r="B539" t="s">
        <v>70</v>
      </c>
      <c r="C539" t="s">
        <v>191</v>
      </c>
      <c r="D539" t="s">
        <v>281</v>
      </c>
      <c r="F539" t="s">
        <v>449</v>
      </c>
      <c r="G539" t="s">
        <v>1579</v>
      </c>
      <c r="H539" t="s">
        <v>2338</v>
      </c>
      <c r="I539">
        <v>21</v>
      </c>
      <c r="J539" t="s">
        <v>3146</v>
      </c>
      <c r="K539">
        <v>10034</v>
      </c>
      <c r="L539" t="s">
        <v>3185</v>
      </c>
      <c r="M539" t="s">
        <v>3190</v>
      </c>
      <c r="N539" t="s">
        <v>3186</v>
      </c>
      <c r="O539" t="s">
        <v>3403</v>
      </c>
      <c r="P539" t="s">
        <v>3610</v>
      </c>
      <c r="Q539" t="s">
        <v>3636</v>
      </c>
      <c r="S539" t="s">
        <v>225</v>
      </c>
      <c r="T539" t="s">
        <v>3660</v>
      </c>
      <c r="U539" t="s">
        <v>3184</v>
      </c>
      <c r="W539" t="s">
        <v>3670</v>
      </c>
      <c r="Y539">
        <v>1717</v>
      </c>
      <c r="Z539" t="s">
        <v>3689</v>
      </c>
      <c r="AA539" t="s">
        <v>3706</v>
      </c>
      <c r="AC539" t="s">
        <v>4199</v>
      </c>
      <c r="AD539" t="s">
        <v>4817</v>
      </c>
      <c r="AE539" t="s">
        <v>5313</v>
      </c>
      <c r="AF539">
        <v>27</v>
      </c>
      <c r="AG539" t="s">
        <v>5813</v>
      </c>
      <c r="AH539" t="s">
        <v>3188</v>
      </c>
      <c r="AI539">
        <v>1</v>
      </c>
      <c r="AJ539">
        <v>2</v>
      </c>
      <c r="AK539">
        <v>1</v>
      </c>
      <c r="AL539">
        <v>89.45</v>
      </c>
      <c r="AO539" t="s">
        <v>5844</v>
      </c>
      <c r="AP539">
        <v>19080</v>
      </c>
      <c r="AV539">
        <v>4.85</v>
      </c>
      <c r="AW539" t="s">
        <v>280</v>
      </c>
      <c r="AX539" t="s">
        <v>6021</v>
      </c>
    </row>
    <row r="540" spans="1:50">
      <c r="A540" s="1">
        <f>HYPERLINK("https://lsnyc.legalserver.org/matter/dynamic-profile/view/1909324","19-1909324")</f>
        <v>0</v>
      </c>
      <c r="B540" t="s">
        <v>70</v>
      </c>
      <c r="C540" t="s">
        <v>191</v>
      </c>
      <c r="D540" t="s">
        <v>222</v>
      </c>
      <c r="F540" t="s">
        <v>818</v>
      </c>
      <c r="G540" t="s">
        <v>1580</v>
      </c>
      <c r="H540" t="s">
        <v>2339</v>
      </c>
      <c r="I540">
        <v>31</v>
      </c>
      <c r="J540" t="s">
        <v>3146</v>
      </c>
      <c r="K540">
        <v>10033</v>
      </c>
      <c r="L540" t="s">
        <v>3185</v>
      </c>
      <c r="M540" t="s">
        <v>3189</v>
      </c>
      <c r="N540" t="s">
        <v>3186</v>
      </c>
      <c r="P540" t="s">
        <v>3613</v>
      </c>
      <c r="Q540" t="s">
        <v>3637</v>
      </c>
      <c r="S540" t="s">
        <v>222</v>
      </c>
      <c r="T540" t="s">
        <v>3660</v>
      </c>
      <c r="U540" t="s">
        <v>3184</v>
      </c>
      <c r="W540" t="s">
        <v>3670</v>
      </c>
      <c r="Y540">
        <v>792.47</v>
      </c>
      <c r="Z540" t="s">
        <v>3689</v>
      </c>
      <c r="AA540" t="s">
        <v>3707</v>
      </c>
      <c r="AC540" t="s">
        <v>4085</v>
      </c>
      <c r="AE540" t="s">
        <v>5314</v>
      </c>
      <c r="AF540">
        <v>38</v>
      </c>
      <c r="AG540" t="s">
        <v>5813</v>
      </c>
      <c r="AH540" t="s">
        <v>5826</v>
      </c>
      <c r="AI540">
        <v>16</v>
      </c>
      <c r="AJ540">
        <v>1</v>
      </c>
      <c r="AK540">
        <v>0</v>
      </c>
      <c r="AL540">
        <v>72.06</v>
      </c>
      <c r="AO540" t="s">
        <v>5844</v>
      </c>
      <c r="AP540">
        <v>9000</v>
      </c>
      <c r="AV540">
        <v>1</v>
      </c>
      <c r="AW540" t="s">
        <v>222</v>
      </c>
      <c r="AX540" t="s">
        <v>108</v>
      </c>
    </row>
    <row r="541" spans="1:50">
      <c r="A541" s="1">
        <f>HYPERLINK("https://lsnyc.legalserver.org/matter/dynamic-profile/view/1909340","19-1909340")</f>
        <v>0</v>
      </c>
      <c r="B541" t="s">
        <v>70</v>
      </c>
      <c r="C541" t="s">
        <v>191</v>
      </c>
      <c r="D541" t="s">
        <v>222</v>
      </c>
      <c r="F541" t="s">
        <v>819</v>
      </c>
      <c r="G541" t="s">
        <v>1581</v>
      </c>
      <c r="H541" t="s">
        <v>2340</v>
      </c>
      <c r="I541" t="s">
        <v>2915</v>
      </c>
      <c r="J541" t="s">
        <v>3146</v>
      </c>
      <c r="K541">
        <v>10033</v>
      </c>
      <c r="L541" t="s">
        <v>3185</v>
      </c>
      <c r="M541" t="s">
        <v>3189</v>
      </c>
      <c r="N541" t="s">
        <v>3186</v>
      </c>
      <c r="Q541" t="s">
        <v>3637</v>
      </c>
      <c r="S541" t="s">
        <v>222</v>
      </c>
      <c r="T541" t="s">
        <v>3660</v>
      </c>
      <c r="U541" t="s">
        <v>3184</v>
      </c>
      <c r="W541" t="s">
        <v>3670</v>
      </c>
      <c r="Y541">
        <v>1235</v>
      </c>
      <c r="Z541" t="s">
        <v>3689</v>
      </c>
      <c r="AA541" t="s">
        <v>3697</v>
      </c>
      <c r="AC541" t="s">
        <v>4200</v>
      </c>
      <c r="AE541" t="s">
        <v>5315</v>
      </c>
      <c r="AF541">
        <v>0</v>
      </c>
      <c r="AG541" t="s">
        <v>5813</v>
      </c>
      <c r="AH541" t="s">
        <v>3188</v>
      </c>
      <c r="AI541">
        <v>18</v>
      </c>
      <c r="AJ541">
        <v>1</v>
      </c>
      <c r="AK541">
        <v>0</v>
      </c>
      <c r="AL541">
        <v>83.27</v>
      </c>
      <c r="AO541" t="s">
        <v>5844</v>
      </c>
      <c r="AP541">
        <v>10400</v>
      </c>
      <c r="AV541">
        <v>4.25</v>
      </c>
      <c r="AW541" t="s">
        <v>252</v>
      </c>
      <c r="AX541" t="s">
        <v>108</v>
      </c>
    </row>
    <row r="542" spans="1:50">
      <c r="A542" s="1">
        <f>HYPERLINK("https://lsnyc.legalserver.org/matter/dynamic-profile/view/1884563","18-1884563")</f>
        <v>0</v>
      </c>
      <c r="B542" t="s">
        <v>105</v>
      </c>
      <c r="C542" t="s">
        <v>191</v>
      </c>
      <c r="D542" t="s">
        <v>323</v>
      </c>
      <c r="F542" t="s">
        <v>820</v>
      </c>
      <c r="G542" t="s">
        <v>1444</v>
      </c>
      <c r="H542" t="s">
        <v>2341</v>
      </c>
      <c r="I542">
        <v>10</v>
      </c>
      <c r="J542" t="s">
        <v>3148</v>
      </c>
      <c r="K542">
        <v>11238</v>
      </c>
      <c r="L542" t="s">
        <v>3186</v>
      </c>
      <c r="N542" t="s">
        <v>3186</v>
      </c>
      <c r="P542" t="s">
        <v>3615</v>
      </c>
      <c r="Q542" t="s">
        <v>3635</v>
      </c>
      <c r="T542" t="s">
        <v>3660</v>
      </c>
      <c r="W542" t="s">
        <v>3670</v>
      </c>
      <c r="Y542">
        <v>0</v>
      </c>
      <c r="Z542" t="s">
        <v>3691</v>
      </c>
      <c r="AC542" t="s">
        <v>4201</v>
      </c>
      <c r="AF542">
        <v>0</v>
      </c>
      <c r="AG542" t="s">
        <v>5813</v>
      </c>
      <c r="AI542">
        <v>0</v>
      </c>
      <c r="AJ542">
        <v>2</v>
      </c>
      <c r="AK542">
        <v>0</v>
      </c>
      <c r="AL542">
        <v>1439.85</v>
      </c>
      <c r="AO542" t="s">
        <v>5843</v>
      </c>
      <c r="AP542">
        <v>255000</v>
      </c>
      <c r="AQ542" t="s">
        <v>5891</v>
      </c>
      <c r="AV542">
        <v>1.26</v>
      </c>
      <c r="AW542" t="s">
        <v>265</v>
      </c>
      <c r="AX542" t="s">
        <v>6036</v>
      </c>
    </row>
    <row r="543" spans="1:50">
      <c r="A543" s="1">
        <f>HYPERLINK("https://lsnyc.legalserver.org/matter/dynamic-profile/view/1900869","19-1900869")</f>
        <v>0</v>
      </c>
      <c r="B543" t="s">
        <v>131</v>
      </c>
      <c r="C543" t="s">
        <v>192</v>
      </c>
      <c r="D543" t="s">
        <v>324</v>
      </c>
      <c r="E543" t="s">
        <v>268</v>
      </c>
      <c r="F543" t="s">
        <v>481</v>
      </c>
      <c r="G543" t="s">
        <v>1582</v>
      </c>
      <c r="H543" t="s">
        <v>2342</v>
      </c>
      <c r="I543" t="s">
        <v>3002</v>
      </c>
      <c r="J543" t="s">
        <v>3148</v>
      </c>
      <c r="K543">
        <v>11237</v>
      </c>
      <c r="L543" t="s">
        <v>3186</v>
      </c>
      <c r="N543" t="s">
        <v>3186</v>
      </c>
      <c r="R543" t="s">
        <v>3642</v>
      </c>
      <c r="T543" t="s">
        <v>3660</v>
      </c>
      <c r="W543" t="s">
        <v>3670</v>
      </c>
      <c r="Y543">
        <v>0</v>
      </c>
      <c r="Z543" t="s">
        <v>3691</v>
      </c>
      <c r="AB543" t="s">
        <v>3712</v>
      </c>
      <c r="AC543" t="s">
        <v>4202</v>
      </c>
      <c r="AE543" t="s">
        <v>5316</v>
      </c>
      <c r="AF543">
        <v>0</v>
      </c>
      <c r="AI543">
        <v>0</v>
      </c>
      <c r="AJ543">
        <v>1</v>
      </c>
      <c r="AK543">
        <v>0</v>
      </c>
      <c r="AL543">
        <v>0</v>
      </c>
      <c r="AO543" t="s">
        <v>5843</v>
      </c>
      <c r="AP543">
        <v>0</v>
      </c>
      <c r="AV543">
        <v>1</v>
      </c>
      <c r="AW543" t="s">
        <v>268</v>
      </c>
      <c r="AX543" t="s">
        <v>131</v>
      </c>
    </row>
    <row r="544" spans="1:50">
      <c r="A544" s="1">
        <f>HYPERLINK("https://lsnyc.legalserver.org/matter/dynamic-profile/view/1883440","18-1883440")</f>
        <v>0</v>
      </c>
      <c r="B544" t="s">
        <v>131</v>
      </c>
      <c r="C544" t="s">
        <v>192</v>
      </c>
      <c r="D544" t="s">
        <v>325</v>
      </c>
      <c r="E544" t="s">
        <v>254</v>
      </c>
      <c r="F544" t="s">
        <v>821</v>
      </c>
      <c r="G544" t="s">
        <v>740</v>
      </c>
      <c r="H544" t="s">
        <v>2343</v>
      </c>
      <c r="I544">
        <v>1</v>
      </c>
      <c r="J544" t="s">
        <v>3148</v>
      </c>
      <c r="K544">
        <v>11203</v>
      </c>
      <c r="L544" t="s">
        <v>3186</v>
      </c>
      <c r="N544" t="s">
        <v>3186</v>
      </c>
      <c r="R544" t="s">
        <v>3642</v>
      </c>
      <c r="T544" t="s">
        <v>3660</v>
      </c>
      <c r="W544" t="s">
        <v>3670</v>
      </c>
      <c r="Y544">
        <v>0</v>
      </c>
      <c r="Z544" t="s">
        <v>3691</v>
      </c>
      <c r="AB544" t="s">
        <v>3712</v>
      </c>
      <c r="AC544" t="s">
        <v>4203</v>
      </c>
      <c r="AF544">
        <v>0</v>
      </c>
      <c r="AI544">
        <v>0</v>
      </c>
      <c r="AJ544">
        <v>5</v>
      </c>
      <c r="AK544">
        <v>1</v>
      </c>
      <c r="AL544">
        <v>106.7</v>
      </c>
      <c r="AO544" t="s">
        <v>5848</v>
      </c>
      <c r="AP544">
        <v>36000</v>
      </c>
      <c r="AV544">
        <v>0.9</v>
      </c>
      <c r="AW544" t="s">
        <v>254</v>
      </c>
      <c r="AX544" t="s">
        <v>131</v>
      </c>
    </row>
    <row r="545" spans="1:50">
      <c r="A545" s="1">
        <f>HYPERLINK("https://lsnyc.legalserver.org/matter/dynamic-profile/view/1883207","18-1883207")</f>
        <v>0</v>
      </c>
      <c r="B545" t="s">
        <v>131</v>
      </c>
      <c r="C545" t="s">
        <v>192</v>
      </c>
      <c r="D545" t="s">
        <v>326</v>
      </c>
      <c r="E545" t="s">
        <v>268</v>
      </c>
      <c r="F545" t="s">
        <v>822</v>
      </c>
      <c r="G545" t="s">
        <v>1583</v>
      </c>
      <c r="H545" t="s">
        <v>2344</v>
      </c>
      <c r="I545" t="s">
        <v>3003</v>
      </c>
      <c r="J545" t="s">
        <v>3148</v>
      </c>
      <c r="K545">
        <v>11226</v>
      </c>
      <c r="L545" t="s">
        <v>3186</v>
      </c>
      <c r="N545" t="s">
        <v>3186</v>
      </c>
      <c r="R545" t="s">
        <v>3642</v>
      </c>
      <c r="T545" t="s">
        <v>3660</v>
      </c>
      <c r="W545" t="s">
        <v>3670</v>
      </c>
      <c r="Y545">
        <v>0</v>
      </c>
      <c r="Z545" t="s">
        <v>3691</v>
      </c>
      <c r="AB545" t="s">
        <v>3712</v>
      </c>
      <c r="AC545" t="s">
        <v>4204</v>
      </c>
      <c r="AE545" t="s">
        <v>5317</v>
      </c>
      <c r="AF545">
        <v>0</v>
      </c>
      <c r="AI545">
        <v>0</v>
      </c>
      <c r="AJ545">
        <v>1</v>
      </c>
      <c r="AK545">
        <v>0</v>
      </c>
      <c r="AL545">
        <v>116.84</v>
      </c>
      <c r="AO545" t="s">
        <v>5843</v>
      </c>
      <c r="AP545">
        <v>14184</v>
      </c>
      <c r="AQ545" t="s">
        <v>5892</v>
      </c>
      <c r="AV545">
        <v>1.7</v>
      </c>
      <c r="AW545" t="s">
        <v>268</v>
      </c>
      <c r="AX545" t="s">
        <v>131</v>
      </c>
    </row>
    <row r="546" spans="1:50">
      <c r="A546" s="1">
        <f>HYPERLINK("https://lsnyc.legalserver.org/matter/dynamic-profile/view/1876794","18-1876794")</f>
        <v>0</v>
      </c>
      <c r="B546" t="s">
        <v>132</v>
      </c>
      <c r="C546" t="s">
        <v>191</v>
      </c>
      <c r="D546" t="s">
        <v>327</v>
      </c>
      <c r="F546" t="s">
        <v>823</v>
      </c>
      <c r="G546" t="s">
        <v>1303</v>
      </c>
      <c r="H546" t="s">
        <v>2345</v>
      </c>
      <c r="I546" t="s">
        <v>2944</v>
      </c>
      <c r="J546" t="s">
        <v>3148</v>
      </c>
      <c r="K546">
        <v>11207</v>
      </c>
      <c r="L546" t="s">
        <v>3185</v>
      </c>
      <c r="N546" t="s">
        <v>3185</v>
      </c>
      <c r="O546" t="s">
        <v>3404</v>
      </c>
      <c r="P546" t="s">
        <v>3617</v>
      </c>
      <c r="Q546" t="s">
        <v>3636</v>
      </c>
      <c r="T546" t="s">
        <v>3660</v>
      </c>
      <c r="U546" t="s">
        <v>3184</v>
      </c>
      <c r="W546" t="s">
        <v>3672</v>
      </c>
      <c r="Y546">
        <v>1301.25</v>
      </c>
      <c r="Z546" t="s">
        <v>3691</v>
      </c>
      <c r="AA546" t="s">
        <v>3698</v>
      </c>
      <c r="AC546" t="s">
        <v>4205</v>
      </c>
      <c r="AD546" t="s">
        <v>4818</v>
      </c>
      <c r="AE546" t="s">
        <v>5318</v>
      </c>
      <c r="AF546">
        <v>6</v>
      </c>
      <c r="AG546" t="s">
        <v>5813</v>
      </c>
      <c r="AH546" t="s">
        <v>5831</v>
      </c>
      <c r="AI546">
        <v>10</v>
      </c>
      <c r="AJ546">
        <v>2</v>
      </c>
      <c r="AK546">
        <v>0</v>
      </c>
      <c r="AL546">
        <v>54.68</v>
      </c>
      <c r="AO546" t="s">
        <v>5843</v>
      </c>
      <c r="AP546">
        <v>9000</v>
      </c>
      <c r="AQ546" t="s">
        <v>5886</v>
      </c>
      <c r="AV546">
        <v>0</v>
      </c>
      <c r="AX546" t="s">
        <v>6042</v>
      </c>
    </row>
    <row r="547" spans="1:50">
      <c r="A547" s="1">
        <f>HYPERLINK("https://lsnyc.legalserver.org/matter/dynamic-profile/view/1832972","17-1832972")</f>
        <v>0</v>
      </c>
      <c r="B547" t="s">
        <v>132</v>
      </c>
      <c r="C547" t="s">
        <v>191</v>
      </c>
      <c r="D547" t="s">
        <v>328</v>
      </c>
      <c r="F547" t="s">
        <v>455</v>
      </c>
      <c r="G547" t="s">
        <v>1584</v>
      </c>
      <c r="H547" t="s">
        <v>2346</v>
      </c>
      <c r="J547" t="s">
        <v>3148</v>
      </c>
      <c r="K547">
        <v>11213</v>
      </c>
      <c r="L547" t="s">
        <v>3185</v>
      </c>
      <c r="N547" t="s">
        <v>3186</v>
      </c>
      <c r="P547" t="s">
        <v>3622</v>
      </c>
      <c r="Q547" t="s">
        <v>3636</v>
      </c>
      <c r="T547" t="s">
        <v>3660</v>
      </c>
      <c r="U547" t="s">
        <v>3185</v>
      </c>
      <c r="W547" t="s">
        <v>3670</v>
      </c>
      <c r="Y547">
        <v>0</v>
      </c>
      <c r="Z547" t="s">
        <v>3691</v>
      </c>
      <c r="AA547" t="s">
        <v>3704</v>
      </c>
      <c r="AC547" t="s">
        <v>4206</v>
      </c>
      <c r="AF547">
        <v>74</v>
      </c>
      <c r="AG547" t="s">
        <v>5813</v>
      </c>
      <c r="AI547">
        <v>0</v>
      </c>
      <c r="AJ547">
        <v>1</v>
      </c>
      <c r="AK547">
        <v>0</v>
      </c>
      <c r="AL547">
        <v>261.89</v>
      </c>
      <c r="AM547" t="s">
        <v>5836</v>
      </c>
      <c r="AO547" t="s">
        <v>5843</v>
      </c>
      <c r="AP547">
        <v>31584</v>
      </c>
      <c r="AV547">
        <v>0</v>
      </c>
      <c r="AX547" t="s">
        <v>6045</v>
      </c>
    </row>
    <row r="548" spans="1:50">
      <c r="A548" s="1">
        <f>HYPERLINK("https://lsnyc.legalserver.org/matter/dynamic-profile/view/1906273","19-1906273")</f>
        <v>0</v>
      </c>
      <c r="B548" t="s">
        <v>133</v>
      </c>
      <c r="C548" t="s">
        <v>192</v>
      </c>
      <c r="D548" t="s">
        <v>260</v>
      </c>
      <c r="E548" t="s">
        <v>207</v>
      </c>
      <c r="F548" t="s">
        <v>824</v>
      </c>
      <c r="G548" t="s">
        <v>1585</v>
      </c>
      <c r="H548" t="s">
        <v>2347</v>
      </c>
      <c r="I548" t="s">
        <v>3004</v>
      </c>
      <c r="J548" t="s">
        <v>3148</v>
      </c>
      <c r="K548">
        <v>11233</v>
      </c>
      <c r="L548" t="s">
        <v>3185</v>
      </c>
      <c r="M548" t="s">
        <v>3189</v>
      </c>
      <c r="N548" t="s">
        <v>3186</v>
      </c>
      <c r="O548" t="s">
        <v>3405</v>
      </c>
      <c r="P548" t="s">
        <v>3613</v>
      </c>
      <c r="Q548" t="s">
        <v>3638</v>
      </c>
      <c r="R548" t="s">
        <v>3644</v>
      </c>
      <c r="S548" t="s">
        <v>219</v>
      </c>
      <c r="T548" t="s">
        <v>3660</v>
      </c>
      <c r="U548" t="s">
        <v>3184</v>
      </c>
      <c r="W548" t="s">
        <v>3670</v>
      </c>
      <c r="X548" t="s">
        <v>3681</v>
      </c>
      <c r="Y548">
        <v>2300</v>
      </c>
      <c r="Z548" t="s">
        <v>3691</v>
      </c>
      <c r="AA548" t="s">
        <v>3632</v>
      </c>
      <c r="AB548" t="s">
        <v>3714</v>
      </c>
      <c r="AC548" t="s">
        <v>4207</v>
      </c>
      <c r="AE548" t="s">
        <v>5319</v>
      </c>
      <c r="AF548">
        <v>3</v>
      </c>
      <c r="AG548" t="s">
        <v>5814</v>
      </c>
      <c r="AH548" t="s">
        <v>5829</v>
      </c>
      <c r="AI548">
        <v>4</v>
      </c>
      <c r="AJ548">
        <v>3</v>
      </c>
      <c r="AK548">
        <v>3</v>
      </c>
      <c r="AL548">
        <v>75.17</v>
      </c>
      <c r="AO548" t="s">
        <v>5843</v>
      </c>
      <c r="AP548">
        <v>26000</v>
      </c>
      <c r="AV548">
        <v>2.3</v>
      </c>
      <c r="AW548" t="s">
        <v>251</v>
      </c>
      <c r="AX548" t="s">
        <v>82</v>
      </c>
    </row>
    <row r="549" spans="1:50">
      <c r="A549" s="1">
        <f>HYPERLINK("https://lsnyc.legalserver.org/matter/dynamic-profile/view/1909226","19-1909226")</f>
        <v>0</v>
      </c>
      <c r="B549" t="s">
        <v>133</v>
      </c>
      <c r="C549" t="s">
        <v>191</v>
      </c>
      <c r="D549" t="s">
        <v>228</v>
      </c>
      <c r="F549" t="s">
        <v>824</v>
      </c>
      <c r="G549" t="s">
        <v>1585</v>
      </c>
      <c r="H549" t="s">
        <v>2347</v>
      </c>
      <c r="I549" t="s">
        <v>3004</v>
      </c>
      <c r="J549" t="s">
        <v>3148</v>
      </c>
      <c r="K549">
        <v>11233</v>
      </c>
      <c r="L549" t="s">
        <v>3185</v>
      </c>
      <c r="M549" t="s">
        <v>3189</v>
      </c>
      <c r="N549" t="s">
        <v>3186</v>
      </c>
      <c r="O549" t="s">
        <v>3406</v>
      </c>
      <c r="P549" t="s">
        <v>3610</v>
      </c>
      <c r="Q549" t="s">
        <v>3638</v>
      </c>
      <c r="S549" t="s">
        <v>219</v>
      </c>
      <c r="T549" t="s">
        <v>3660</v>
      </c>
      <c r="U549" t="s">
        <v>3184</v>
      </c>
      <c r="W549" t="s">
        <v>3670</v>
      </c>
      <c r="X549" t="s">
        <v>3681</v>
      </c>
      <c r="Y549">
        <v>2300</v>
      </c>
      <c r="Z549" t="s">
        <v>3691</v>
      </c>
      <c r="AA549" t="s">
        <v>3696</v>
      </c>
      <c r="AC549" t="s">
        <v>4207</v>
      </c>
      <c r="AD549" t="s">
        <v>3188</v>
      </c>
      <c r="AE549" t="s">
        <v>5319</v>
      </c>
      <c r="AF549">
        <v>3</v>
      </c>
      <c r="AG549" t="s">
        <v>5813</v>
      </c>
      <c r="AH549" t="s">
        <v>5829</v>
      </c>
      <c r="AI549">
        <v>4</v>
      </c>
      <c r="AJ549">
        <v>3</v>
      </c>
      <c r="AK549">
        <v>3</v>
      </c>
      <c r="AL549">
        <v>75.17</v>
      </c>
      <c r="AO549" t="s">
        <v>5843</v>
      </c>
      <c r="AP549">
        <v>26000</v>
      </c>
      <c r="AV549">
        <v>0.3</v>
      </c>
      <c r="AW549" t="s">
        <v>196</v>
      </c>
      <c r="AX549" t="s">
        <v>158</v>
      </c>
    </row>
    <row r="550" spans="1:50">
      <c r="A550" s="1">
        <f>HYPERLINK("https://lsnyc.legalserver.org/matter/dynamic-profile/view/1880652","18-1880652")</f>
        <v>0</v>
      </c>
      <c r="B550" t="s">
        <v>133</v>
      </c>
      <c r="C550" t="s">
        <v>191</v>
      </c>
      <c r="D550" t="s">
        <v>329</v>
      </c>
      <c r="F550" t="s">
        <v>632</v>
      </c>
      <c r="G550" t="s">
        <v>1366</v>
      </c>
      <c r="H550" t="s">
        <v>2348</v>
      </c>
      <c r="I550" t="s">
        <v>3005</v>
      </c>
      <c r="J550" t="s">
        <v>3148</v>
      </c>
      <c r="K550">
        <v>11233</v>
      </c>
      <c r="L550" t="s">
        <v>3185</v>
      </c>
      <c r="M550" t="s">
        <v>3189</v>
      </c>
      <c r="N550" t="s">
        <v>3185</v>
      </c>
      <c r="O550" t="s">
        <v>3407</v>
      </c>
      <c r="P550" t="s">
        <v>3613</v>
      </c>
      <c r="Q550" t="s">
        <v>3638</v>
      </c>
      <c r="S550" t="s">
        <v>229</v>
      </c>
      <c r="T550" t="s">
        <v>3660</v>
      </c>
      <c r="U550" t="s">
        <v>3184</v>
      </c>
      <c r="W550" t="s">
        <v>3670</v>
      </c>
      <c r="X550" t="s">
        <v>3683</v>
      </c>
      <c r="Y550">
        <v>700</v>
      </c>
      <c r="Z550" t="s">
        <v>3691</v>
      </c>
      <c r="AA550" t="s">
        <v>3706</v>
      </c>
      <c r="AC550" t="s">
        <v>4208</v>
      </c>
      <c r="AE550" t="s">
        <v>5320</v>
      </c>
      <c r="AF550">
        <v>27</v>
      </c>
      <c r="AI550">
        <v>10</v>
      </c>
      <c r="AJ550">
        <v>1</v>
      </c>
      <c r="AK550">
        <v>0</v>
      </c>
      <c r="AL550">
        <v>66.72</v>
      </c>
      <c r="AO550" t="s">
        <v>5843</v>
      </c>
      <c r="AP550">
        <v>8100</v>
      </c>
      <c r="AQ550" t="s">
        <v>5893</v>
      </c>
      <c r="AV550">
        <v>35.4</v>
      </c>
      <c r="AW550" t="s">
        <v>260</v>
      </c>
      <c r="AX550" t="s">
        <v>6006</v>
      </c>
    </row>
    <row r="551" spans="1:50">
      <c r="A551" s="1">
        <f>HYPERLINK("https://lsnyc.legalserver.org/matter/dynamic-profile/view/1906412","19-1906412")</f>
        <v>0</v>
      </c>
      <c r="B551" t="s">
        <v>134</v>
      </c>
      <c r="C551" t="s">
        <v>192</v>
      </c>
      <c r="D551" t="s">
        <v>229</v>
      </c>
      <c r="E551" t="s">
        <v>199</v>
      </c>
      <c r="F551" t="s">
        <v>825</v>
      </c>
      <c r="G551" t="s">
        <v>1586</v>
      </c>
      <c r="H551" t="s">
        <v>2349</v>
      </c>
      <c r="I551" t="s">
        <v>3006</v>
      </c>
      <c r="J551" t="s">
        <v>3146</v>
      </c>
      <c r="K551">
        <v>10038</v>
      </c>
      <c r="L551" t="s">
        <v>3185</v>
      </c>
      <c r="M551" t="s">
        <v>3189</v>
      </c>
      <c r="N551" t="s">
        <v>3186</v>
      </c>
      <c r="P551" t="s">
        <v>3257</v>
      </c>
      <c r="Q551" t="s">
        <v>3634</v>
      </c>
      <c r="R551" t="s">
        <v>3642</v>
      </c>
      <c r="S551" t="s">
        <v>229</v>
      </c>
      <c r="T551" t="s">
        <v>3660</v>
      </c>
      <c r="U551" t="s">
        <v>3184</v>
      </c>
      <c r="W551" t="s">
        <v>3670</v>
      </c>
      <c r="Y551">
        <v>3200</v>
      </c>
      <c r="Z551" t="s">
        <v>3689</v>
      </c>
      <c r="AA551" t="s">
        <v>3703</v>
      </c>
      <c r="AB551" t="s">
        <v>3712</v>
      </c>
      <c r="AC551" t="s">
        <v>4209</v>
      </c>
      <c r="AE551" t="s">
        <v>5321</v>
      </c>
      <c r="AF551">
        <v>168</v>
      </c>
      <c r="AG551" t="s">
        <v>5813</v>
      </c>
      <c r="AH551" t="s">
        <v>3188</v>
      </c>
      <c r="AI551">
        <v>1</v>
      </c>
      <c r="AJ551">
        <v>1</v>
      </c>
      <c r="AK551">
        <v>0</v>
      </c>
      <c r="AL551">
        <v>0</v>
      </c>
      <c r="AO551" t="s">
        <v>5843</v>
      </c>
      <c r="AP551">
        <v>0</v>
      </c>
      <c r="AV551">
        <v>4.8</v>
      </c>
      <c r="AW551" t="s">
        <v>199</v>
      </c>
      <c r="AX551" t="s">
        <v>108</v>
      </c>
    </row>
    <row r="552" spans="1:50">
      <c r="A552" s="1">
        <f>HYPERLINK("https://lsnyc.legalserver.org/matter/dynamic-profile/view/1907584","19-1907584")</f>
        <v>0</v>
      </c>
      <c r="B552" t="s">
        <v>134</v>
      </c>
      <c r="C552" t="s">
        <v>192</v>
      </c>
      <c r="D552" t="s">
        <v>206</v>
      </c>
      <c r="E552" t="s">
        <v>199</v>
      </c>
      <c r="F552" t="s">
        <v>826</v>
      </c>
      <c r="G552" t="s">
        <v>1587</v>
      </c>
      <c r="H552" t="s">
        <v>2350</v>
      </c>
      <c r="I552" t="s">
        <v>3007</v>
      </c>
      <c r="J552" t="s">
        <v>3146</v>
      </c>
      <c r="K552">
        <v>10040</v>
      </c>
      <c r="L552" t="s">
        <v>3185</v>
      </c>
      <c r="M552" t="s">
        <v>3189</v>
      </c>
      <c r="N552" t="s">
        <v>3186</v>
      </c>
      <c r="P552" t="s">
        <v>3615</v>
      </c>
      <c r="Q552" t="s">
        <v>3634</v>
      </c>
      <c r="R552" t="s">
        <v>3642</v>
      </c>
      <c r="S552" t="s">
        <v>206</v>
      </c>
      <c r="T552" t="s">
        <v>3660</v>
      </c>
      <c r="U552" t="s">
        <v>3184</v>
      </c>
      <c r="W552" t="s">
        <v>3670</v>
      </c>
      <c r="Y552">
        <v>1013.38</v>
      </c>
      <c r="Z552" t="s">
        <v>3689</v>
      </c>
      <c r="AA552" t="s">
        <v>3705</v>
      </c>
      <c r="AB552" t="s">
        <v>3712</v>
      </c>
      <c r="AC552" t="s">
        <v>4210</v>
      </c>
      <c r="AE552" t="s">
        <v>5322</v>
      </c>
      <c r="AF552">
        <v>52</v>
      </c>
      <c r="AG552" t="s">
        <v>5813</v>
      </c>
      <c r="AH552" t="s">
        <v>3188</v>
      </c>
      <c r="AI552">
        <v>5</v>
      </c>
      <c r="AJ552">
        <v>1</v>
      </c>
      <c r="AK552">
        <v>0</v>
      </c>
      <c r="AL552">
        <v>0</v>
      </c>
      <c r="AO552" t="s">
        <v>5844</v>
      </c>
      <c r="AP552">
        <v>0</v>
      </c>
      <c r="AV552">
        <v>2.9</v>
      </c>
      <c r="AW552" t="s">
        <v>199</v>
      </c>
      <c r="AX552" t="s">
        <v>108</v>
      </c>
    </row>
    <row r="553" spans="1:50">
      <c r="A553" s="1">
        <f>HYPERLINK("https://lsnyc.legalserver.org/matter/dynamic-profile/view/1908540","19-1908540")</f>
        <v>0</v>
      </c>
      <c r="B553" t="s">
        <v>134</v>
      </c>
      <c r="C553" t="s">
        <v>192</v>
      </c>
      <c r="D553" t="s">
        <v>216</v>
      </c>
      <c r="E553" t="s">
        <v>280</v>
      </c>
      <c r="F553" t="s">
        <v>827</v>
      </c>
      <c r="G553" t="s">
        <v>1588</v>
      </c>
      <c r="H553" t="s">
        <v>2351</v>
      </c>
      <c r="I553" t="s">
        <v>2926</v>
      </c>
      <c r="J553" t="s">
        <v>3146</v>
      </c>
      <c r="K553">
        <v>10032</v>
      </c>
      <c r="L553" t="s">
        <v>3185</v>
      </c>
      <c r="M553" t="s">
        <v>3189</v>
      </c>
      <c r="N553" t="s">
        <v>3186</v>
      </c>
      <c r="P553" t="s">
        <v>3257</v>
      </c>
      <c r="Q553" t="s">
        <v>3634</v>
      </c>
      <c r="R553" t="s">
        <v>3642</v>
      </c>
      <c r="S553" t="s">
        <v>216</v>
      </c>
      <c r="T553" t="s">
        <v>3660</v>
      </c>
      <c r="U553" t="s">
        <v>3184</v>
      </c>
      <c r="W553" t="s">
        <v>3670</v>
      </c>
      <c r="Y553">
        <v>1324.29</v>
      </c>
      <c r="Z553" t="s">
        <v>3689</v>
      </c>
      <c r="AA553" t="s">
        <v>3700</v>
      </c>
      <c r="AB553" t="s">
        <v>3712</v>
      </c>
      <c r="AC553" t="s">
        <v>4211</v>
      </c>
      <c r="AE553" t="s">
        <v>5323</v>
      </c>
      <c r="AF553">
        <v>49</v>
      </c>
      <c r="AG553" t="s">
        <v>5813</v>
      </c>
      <c r="AH553" t="s">
        <v>3188</v>
      </c>
      <c r="AI553">
        <v>25</v>
      </c>
      <c r="AJ553">
        <v>1</v>
      </c>
      <c r="AK553">
        <v>0</v>
      </c>
      <c r="AL553">
        <v>147.57</v>
      </c>
      <c r="AO553" t="s">
        <v>5844</v>
      </c>
      <c r="AP553">
        <v>18432</v>
      </c>
      <c r="AV553">
        <v>2.2</v>
      </c>
      <c r="AW553" t="s">
        <v>231</v>
      </c>
      <c r="AX553" t="s">
        <v>6009</v>
      </c>
    </row>
    <row r="554" spans="1:50">
      <c r="A554" s="1">
        <f>HYPERLINK("https://lsnyc.legalserver.org/matter/dynamic-profile/view/1908715","19-1908715")</f>
        <v>0</v>
      </c>
      <c r="B554" t="s">
        <v>134</v>
      </c>
      <c r="C554" t="s">
        <v>192</v>
      </c>
      <c r="D554" t="s">
        <v>244</v>
      </c>
      <c r="E554" t="s">
        <v>211</v>
      </c>
      <c r="F554" t="s">
        <v>828</v>
      </c>
      <c r="G554" t="s">
        <v>1589</v>
      </c>
      <c r="H554" t="s">
        <v>2352</v>
      </c>
      <c r="I554">
        <v>33</v>
      </c>
      <c r="J554" t="s">
        <v>3146</v>
      </c>
      <c r="K554">
        <v>10040</v>
      </c>
      <c r="L554" t="s">
        <v>3185</v>
      </c>
      <c r="M554" t="s">
        <v>3189</v>
      </c>
      <c r="N554" t="s">
        <v>3186</v>
      </c>
      <c r="P554" t="s">
        <v>3257</v>
      </c>
      <c r="Q554" t="s">
        <v>3634</v>
      </c>
      <c r="R554" t="s">
        <v>3642</v>
      </c>
      <c r="S554" t="s">
        <v>244</v>
      </c>
      <c r="T554" t="s">
        <v>3660</v>
      </c>
      <c r="U554" t="s">
        <v>3184</v>
      </c>
      <c r="W554" t="s">
        <v>3670</v>
      </c>
      <c r="Y554">
        <v>0</v>
      </c>
      <c r="Z554" t="s">
        <v>3689</v>
      </c>
      <c r="AA554" t="s">
        <v>3697</v>
      </c>
      <c r="AB554" t="s">
        <v>3712</v>
      </c>
      <c r="AC554" t="s">
        <v>4212</v>
      </c>
      <c r="AE554" t="s">
        <v>5324</v>
      </c>
      <c r="AF554">
        <v>0</v>
      </c>
      <c r="AG554" t="s">
        <v>5813</v>
      </c>
      <c r="AH554" t="s">
        <v>3188</v>
      </c>
      <c r="AI554">
        <v>23</v>
      </c>
      <c r="AJ554">
        <v>1</v>
      </c>
      <c r="AK554">
        <v>0</v>
      </c>
      <c r="AL554">
        <v>400.32</v>
      </c>
      <c r="AO554" t="s">
        <v>5843</v>
      </c>
      <c r="AP554">
        <v>50000</v>
      </c>
      <c r="AV554">
        <v>2.1</v>
      </c>
      <c r="AW554" t="s">
        <v>211</v>
      </c>
      <c r="AX554" t="s">
        <v>108</v>
      </c>
    </row>
    <row r="555" spans="1:50">
      <c r="A555" s="1">
        <f>HYPERLINK("https://lsnyc.legalserver.org/matter/dynamic-profile/view/1909825","19-1909825")</f>
        <v>0</v>
      </c>
      <c r="B555" t="s">
        <v>134</v>
      </c>
      <c r="C555" t="s">
        <v>192</v>
      </c>
      <c r="D555" t="s">
        <v>275</v>
      </c>
      <c r="E555" t="s">
        <v>199</v>
      </c>
      <c r="F555" t="s">
        <v>829</v>
      </c>
      <c r="G555" t="s">
        <v>1590</v>
      </c>
      <c r="H555" t="s">
        <v>2353</v>
      </c>
      <c r="J555" t="s">
        <v>3146</v>
      </c>
      <c r="K555">
        <v>10033</v>
      </c>
      <c r="L555" t="s">
        <v>3185</v>
      </c>
      <c r="M555" t="s">
        <v>3189</v>
      </c>
      <c r="N555" t="s">
        <v>3186</v>
      </c>
      <c r="P555" t="s">
        <v>3257</v>
      </c>
      <c r="Q555" t="s">
        <v>3634</v>
      </c>
      <c r="R555" t="s">
        <v>3642</v>
      </c>
      <c r="S555" t="s">
        <v>275</v>
      </c>
      <c r="T555" t="s">
        <v>3660</v>
      </c>
      <c r="U555" t="s">
        <v>3184</v>
      </c>
      <c r="W555" t="s">
        <v>3670</v>
      </c>
      <c r="Y555">
        <v>1069.67</v>
      </c>
      <c r="Z555" t="s">
        <v>3689</v>
      </c>
      <c r="AA555" t="s">
        <v>3697</v>
      </c>
      <c r="AB555" t="s">
        <v>3712</v>
      </c>
      <c r="AC555" t="s">
        <v>4213</v>
      </c>
      <c r="AE555" t="s">
        <v>5325</v>
      </c>
      <c r="AF555">
        <v>19</v>
      </c>
      <c r="AG555" t="s">
        <v>5813</v>
      </c>
      <c r="AH555" t="s">
        <v>5826</v>
      </c>
      <c r="AI555">
        <v>36</v>
      </c>
      <c r="AJ555">
        <v>2</v>
      </c>
      <c r="AK555">
        <v>0</v>
      </c>
      <c r="AL555">
        <v>82.03</v>
      </c>
      <c r="AO555" t="s">
        <v>5844</v>
      </c>
      <c r="AP555">
        <v>13872</v>
      </c>
      <c r="AV555">
        <v>1</v>
      </c>
      <c r="AW555" t="s">
        <v>275</v>
      </c>
      <c r="AX555" t="s">
        <v>108</v>
      </c>
    </row>
    <row r="556" spans="1:50">
      <c r="A556" s="1">
        <f>HYPERLINK("https://lsnyc.legalserver.org/matter/dynamic-profile/view/1907582","19-1907582")</f>
        <v>0</v>
      </c>
      <c r="B556" t="s">
        <v>134</v>
      </c>
      <c r="C556" t="s">
        <v>191</v>
      </c>
      <c r="D556" t="s">
        <v>206</v>
      </c>
      <c r="F556" t="s">
        <v>622</v>
      </c>
      <c r="G556" t="s">
        <v>1591</v>
      </c>
      <c r="H556" t="s">
        <v>2032</v>
      </c>
      <c r="I556" t="s">
        <v>2840</v>
      </c>
      <c r="J556" t="s">
        <v>3146</v>
      </c>
      <c r="K556">
        <v>10034</v>
      </c>
      <c r="L556" t="s">
        <v>3185</v>
      </c>
      <c r="M556" t="s">
        <v>3189</v>
      </c>
      <c r="N556" t="s">
        <v>3186</v>
      </c>
      <c r="Q556" t="s">
        <v>3637</v>
      </c>
      <c r="S556" t="s">
        <v>206</v>
      </c>
      <c r="T556" t="s">
        <v>3660</v>
      </c>
      <c r="U556" t="s">
        <v>3184</v>
      </c>
      <c r="W556" t="s">
        <v>3670</v>
      </c>
      <c r="Y556">
        <v>857.51</v>
      </c>
      <c r="Z556" t="s">
        <v>3689</v>
      </c>
      <c r="AA556" t="s">
        <v>3705</v>
      </c>
      <c r="AC556" t="s">
        <v>4214</v>
      </c>
      <c r="AE556" t="s">
        <v>5326</v>
      </c>
      <c r="AF556">
        <v>22</v>
      </c>
      <c r="AG556" t="s">
        <v>5813</v>
      </c>
      <c r="AH556" t="s">
        <v>3188</v>
      </c>
      <c r="AI556">
        <v>41</v>
      </c>
      <c r="AJ556">
        <v>1</v>
      </c>
      <c r="AK556">
        <v>0</v>
      </c>
      <c r="AL556">
        <v>98.95999999999999</v>
      </c>
      <c r="AO556" t="s">
        <v>5844</v>
      </c>
      <c r="AP556">
        <v>12360</v>
      </c>
      <c r="AV556">
        <v>8.199999999999999</v>
      </c>
      <c r="AW556" t="s">
        <v>269</v>
      </c>
      <c r="AX556" t="s">
        <v>108</v>
      </c>
    </row>
    <row r="557" spans="1:50">
      <c r="A557" s="1">
        <f>HYPERLINK("https://lsnyc.legalserver.org/matter/dynamic-profile/view/1908673","19-1908673")</f>
        <v>0</v>
      </c>
      <c r="B557" t="s">
        <v>134</v>
      </c>
      <c r="C557" t="s">
        <v>191</v>
      </c>
      <c r="D557" t="s">
        <v>244</v>
      </c>
      <c r="F557" t="s">
        <v>830</v>
      </c>
      <c r="G557" t="s">
        <v>1229</v>
      </c>
      <c r="H557" t="s">
        <v>2354</v>
      </c>
      <c r="I557" t="s">
        <v>3008</v>
      </c>
      <c r="J557" t="s">
        <v>3146</v>
      </c>
      <c r="K557">
        <v>10040</v>
      </c>
      <c r="L557" t="s">
        <v>3185</v>
      </c>
      <c r="M557" t="s">
        <v>3189</v>
      </c>
      <c r="N557" t="s">
        <v>3186</v>
      </c>
      <c r="P557" t="s">
        <v>3610</v>
      </c>
      <c r="Q557" t="s">
        <v>3637</v>
      </c>
      <c r="S557" t="s">
        <v>244</v>
      </c>
      <c r="T557" t="s">
        <v>3660</v>
      </c>
      <c r="U557" t="s">
        <v>3184</v>
      </c>
      <c r="W557" t="s">
        <v>3670</v>
      </c>
      <c r="Y557">
        <v>215</v>
      </c>
      <c r="Z557" t="s">
        <v>3689</v>
      </c>
      <c r="AA557" t="s">
        <v>3697</v>
      </c>
      <c r="AC557" t="s">
        <v>4215</v>
      </c>
      <c r="AE557" t="s">
        <v>5327</v>
      </c>
      <c r="AF557">
        <v>37</v>
      </c>
      <c r="AG557" t="s">
        <v>5813</v>
      </c>
      <c r="AH557" t="s">
        <v>3632</v>
      </c>
      <c r="AI557">
        <v>5</v>
      </c>
      <c r="AJ557">
        <v>1</v>
      </c>
      <c r="AK557">
        <v>0</v>
      </c>
      <c r="AL557">
        <v>70.62</v>
      </c>
      <c r="AO557" t="s">
        <v>5844</v>
      </c>
      <c r="AP557">
        <v>8820</v>
      </c>
      <c r="AV557">
        <v>3.9</v>
      </c>
      <c r="AW557" t="s">
        <v>269</v>
      </c>
      <c r="AX557" t="s">
        <v>108</v>
      </c>
    </row>
    <row r="558" spans="1:50">
      <c r="A558" s="1">
        <f>HYPERLINK("https://lsnyc.legalserver.org/matter/dynamic-profile/view/1908678","19-1908678")</f>
        <v>0</v>
      </c>
      <c r="B558" t="s">
        <v>134</v>
      </c>
      <c r="C558" t="s">
        <v>191</v>
      </c>
      <c r="D558" t="s">
        <v>244</v>
      </c>
      <c r="F558" t="s">
        <v>831</v>
      </c>
      <c r="G558" t="s">
        <v>1592</v>
      </c>
      <c r="H558" t="s">
        <v>2355</v>
      </c>
      <c r="I558" t="s">
        <v>2896</v>
      </c>
      <c r="J558" t="s">
        <v>3146</v>
      </c>
      <c r="K558">
        <v>10040</v>
      </c>
      <c r="L558" t="s">
        <v>3185</v>
      </c>
      <c r="M558" t="s">
        <v>3189</v>
      </c>
      <c r="N558" t="s">
        <v>3186</v>
      </c>
      <c r="P558" t="s">
        <v>3613</v>
      </c>
      <c r="Q558" t="s">
        <v>3637</v>
      </c>
      <c r="S558" t="s">
        <v>244</v>
      </c>
      <c r="T558" t="s">
        <v>3660</v>
      </c>
      <c r="U558" t="s">
        <v>3184</v>
      </c>
      <c r="W558" t="s">
        <v>3670</v>
      </c>
      <c r="Y558">
        <v>294.4</v>
      </c>
      <c r="Z558" t="s">
        <v>3689</v>
      </c>
      <c r="AA558" t="s">
        <v>3697</v>
      </c>
      <c r="AC558" t="s">
        <v>4216</v>
      </c>
      <c r="AE558" t="s">
        <v>5328</v>
      </c>
      <c r="AF558">
        <v>22</v>
      </c>
      <c r="AG558" t="s">
        <v>5813</v>
      </c>
      <c r="AH558" t="s">
        <v>3632</v>
      </c>
      <c r="AI558">
        <v>20</v>
      </c>
      <c r="AJ558">
        <v>1</v>
      </c>
      <c r="AK558">
        <v>0</v>
      </c>
      <c r="AL558">
        <v>122.86</v>
      </c>
      <c r="AO558" t="s">
        <v>5843</v>
      </c>
      <c r="AP558">
        <v>15345.6</v>
      </c>
      <c r="AV558">
        <v>2.1</v>
      </c>
      <c r="AW558" t="s">
        <v>211</v>
      </c>
      <c r="AX558" t="s">
        <v>108</v>
      </c>
    </row>
    <row r="559" spans="1:50">
      <c r="A559" s="1">
        <f>HYPERLINK("https://lsnyc.legalserver.org/matter/dynamic-profile/view/1908706","19-1908706")</f>
        <v>0</v>
      </c>
      <c r="B559" t="s">
        <v>134</v>
      </c>
      <c r="C559" t="s">
        <v>191</v>
      </c>
      <c r="D559" t="s">
        <v>244</v>
      </c>
      <c r="F559" t="s">
        <v>832</v>
      </c>
      <c r="G559" t="s">
        <v>1191</v>
      </c>
      <c r="H559" t="s">
        <v>2356</v>
      </c>
      <c r="I559" t="s">
        <v>2895</v>
      </c>
      <c r="J559" t="s">
        <v>3146</v>
      </c>
      <c r="K559">
        <v>10034</v>
      </c>
      <c r="L559" t="s">
        <v>3185</v>
      </c>
      <c r="M559" t="s">
        <v>3189</v>
      </c>
      <c r="N559" t="s">
        <v>3186</v>
      </c>
      <c r="P559" t="s">
        <v>3613</v>
      </c>
      <c r="Q559" t="s">
        <v>3637</v>
      </c>
      <c r="S559" t="s">
        <v>244</v>
      </c>
      <c r="T559" t="s">
        <v>3660</v>
      </c>
      <c r="U559" t="s">
        <v>3184</v>
      </c>
      <c r="W559" t="s">
        <v>3670</v>
      </c>
      <c r="Y559">
        <v>1000</v>
      </c>
      <c r="Z559" t="s">
        <v>3689</v>
      </c>
      <c r="AA559" t="s">
        <v>3697</v>
      </c>
      <c r="AC559" t="s">
        <v>4217</v>
      </c>
      <c r="AE559" t="s">
        <v>5329</v>
      </c>
      <c r="AF559">
        <v>32</v>
      </c>
      <c r="AG559" t="s">
        <v>5813</v>
      </c>
      <c r="AH559" t="s">
        <v>3188</v>
      </c>
      <c r="AI559">
        <v>28</v>
      </c>
      <c r="AJ559">
        <v>1</v>
      </c>
      <c r="AK559">
        <v>0</v>
      </c>
      <c r="AL559">
        <v>208.17</v>
      </c>
      <c r="AO559" t="s">
        <v>5843</v>
      </c>
      <c r="AP559">
        <v>26000</v>
      </c>
      <c r="AV559">
        <v>2.1</v>
      </c>
      <c r="AW559" t="s">
        <v>222</v>
      </c>
      <c r="AX559" t="s">
        <v>108</v>
      </c>
    </row>
    <row r="560" spans="1:50">
      <c r="A560" s="1">
        <f>HYPERLINK("https://lsnyc.legalserver.org/matter/dynamic-profile/view/1909283","19-1909283")</f>
        <v>0</v>
      </c>
      <c r="B560" t="s">
        <v>134</v>
      </c>
      <c r="C560" t="s">
        <v>191</v>
      </c>
      <c r="D560" t="s">
        <v>222</v>
      </c>
      <c r="F560" t="s">
        <v>443</v>
      </c>
      <c r="G560" t="s">
        <v>1189</v>
      </c>
      <c r="H560" t="s">
        <v>1965</v>
      </c>
      <c r="I560" t="s">
        <v>2816</v>
      </c>
      <c r="J560" t="s">
        <v>3146</v>
      </c>
      <c r="K560">
        <v>10040</v>
      </c>
      <c r="L560" t="s">
        <v>3185</v>
      </c>
      <c r="M560" t="s">
        <v>3189</v>
      </c>
      <c r="N560" t="s">
        <v>3186</v>
      </c>
      <c r="Q560" t="s">
        <v>3637</v>
      </c>
      <c r="S560" t="s">
        <v>222</v>
      </c>
      <c r="T560" t="s">
        <v>3660</v>
      </c>
      <c r="U560" t="s">
        <v>3184</v>
      </c>
      <c r="W560" t="s">
        <v>3670</v>
      </c>
      <c r="Y560">
        <v>843.6</v>
      </c>
      <c r="Z560" t="s">
        <v>3689</v>
      </c>
      <c r="AA560" t="s">
        <v>3696</v>
      </c>
      <c r="AC560" t="s">
        <v>3728</v>
      </c>
      <c r="AE560" t="s">
        <v>4882</v>
      </c>
      <c r="AF560">
        <v>42</v>
      </c>
      <c r="AG560" t="s">
        <v>5813</v>
      </c>
      <c r="AH560" t="s">
        <v>5826</v>
      </c>
      <c r="AI560">
        <v>24</v>
      </c>
      <c r="AJ560">
        <v>1</v>
      </c>
      <c r="AK560">
        <v>0</v>
      </c>
      <c r="AL560">
        <v>99.25</v>
      </c>
      <c r="AO560" t="s">
        <v>5844</v>
      </c>
      <c r="AP560">
        <v>12396</v>
      </c>
      <c r="AV560">
        <v>15</v>
      </c>
      <c r="AW560" t="s">
        <v>198</v>
      </c>
      <c r="AX560" t="s">
        <v>108</v>
      </c>
    </row>
    <row r="561" spans="1:50">
      <c r="A561" s="1">
        <f>HYPERLINK("https://lsnyc.legalserver.org/matter/dynamic-profile/view/1909410","19-1909410")</f>
        <v>0</v>
      </c>
      <c r="B561" t="s">
        <v>134</v>
      </c>
      <c r="C561" t="s">
        <v>191</v>
      </c>
      <c r="D561" t="s">
        <v>196</v>
      </c>
      <c r="F561" t="s">
        <v>833</v>
      </c>
      <c r="G561" t="s">
        <v>1515</v>
      </c>
      <c r="H561" t="s">
        <v>2357</v>
      </c>
      <c r="I561" t="s">
        <v>2923</v>
      </c>
      <c r="J561" t="s">
        <v>3146</v>
      </c>
      <c r="K561">
        <v>10040</v>
      </c>
      <c r="L561" t="s">
        <v>3185</v>
      </c>
      <c r="M561" t="s">
        <v>3189</v>
      </c>
      <c r="N561" t="s">
        <v>3186</v>
      </c>
      <c r="P561" t="s">
        <v>3612</v>
      </c>
      <c r="Q561" t="s">
        <v>3638</v>
      </c>
      <c r="S561" t="s">
        <v>196</v>
      </c>
      <c r="T561" t="s">
        <v>3660</v>
      </c>
      <c r="U561" t="s">
        <v>3185</v>
      </c>
      <c r="W561" t="s">
        <v>3670</v>
      </c>
      <c r="Y561">
        <v>1860.63</v>
      </c>
      <c r="Z561" t="s">
        <v>3689</v>
      </c>
      <c r="AA561" t="s">
        <v>3697</v>
      </c>
      <c r="AC561" t="s">
        <v>4218</v>
      </c>
      <c r="AE561" t="s">
        <v>5330</v>
      </c>
      <c r="AF561">
        <v>77</v>
      </c>
      <c r="AG561" t="s">
        <v>5813</v>
      </c>
      <c r="AH561" t="s">
        <v>3188</v>
      </c>
      <c r="AI561">
        <v>4</v>
      </c>
      <c r="AJ561">
        <v>2</v>
      </c>
      <c r="AK561">
        <v>2</v>
      </c>
      <c r="AL561">
        <v>69.90000000000001</v>
      </c>
      <c r="AO561" t="s">
        <v>5844</v>
      </c>
      <c r="AP561">
        <v>18000</v>
      </c>
      <c r="AV561">
        <v>0.1</v>
      </c>
      <c r="AW561" t="s">
        <v>252</v>
      </c>
      <c r="AX561" t="s">
        <v>108</v>
      </c>
    </row>
    <row r="562" spans="1:50">
      <c r="A562" s="1">
        <f>HYPERLINK("https://lsnyc.legalserver.org/matter/dynamic-profile/view/1909838","19-1909838")</f>
        <v>0</v>
      </c>
      <c r="B562" t="s">
        <v>134</v>
      </c>
      <c r="C562" t="s">
        <v>191</v>
      </c>
      <c r="D562" t="s">
        <v>275</v>
      </c>
      <c r="F562" t="s">
        <v>463</v>
      </c>
      <c r="G562" t="s">
        <v>1593</v>
      </c>
      <c r="H562" t="s">
        <v>2358</v>
      </c>
      <c r="J562" t="s">
        <v>3146</v>
      </c>
      <c r="K562">
        <v>10034</v>
      </c>
      <c r="L562" t="s">
        <v>3185</v>
      </c>
      <c r="M562" t="s">
        <v>3189</v>
      </c>
      <c r="N562" t="s">
        <v>3186</v>
      </c>
      <c r="Q562" t="s">
        <v>3637</v>
      </c>
      <c r="S562" t="s">
        <v>275</v>
      </c>
      <c r="T562" t="s">
        <v>3660</v>
      </c>
      <c r="U562" t="s">
        <v>3184</v>
      </c>
      <c r="W562" t="s">
        <v>3670</v>
      </c>
      <c r="Y562">
        <v>1700</v>
      </c>
      <c r="Z562" t="s">
        <v>3689</v>
      </c>
      <c r="AA562" t="s">
        <v>3694</v>
      </c>
      <c r="AC562" t="s">
        <v>4219</v>
      </c>
      <c r="AE562" t="s">
        <v>5331</v>
      </c>
      <c r="AF562">
        <v>24</v>
      </c>
      <c r="AG562" t="s">
        <v>5813</v>
      </c>
      <c r="AH562" t="s">
        <v>5831</v>
      </c>
      <c r="AI562">
        <v>1</v>
      </c>
      <c r="AJ562">
        <v>1</v>
      </c>
      <c r="AK562">
        <v>0</v>
      </c>
      <c r="AL562">
        <v>84.64</v>
      </c>
      <c r="AO562" t="s">
        <v>5843</v>
      </c>
      <c r="AP562">
        <v>10572</v>
      </c>
      <c r="AV562">
        <v>1.5</v>
      </c>
      <c r="AW562" t="s">
        <v>275</v>
      </c>
      <c r="AX562" t="s">
        <v>108</v>
      </c>
    </row>
    <row r="563" spans="1:50">
      <c r="A563" s="1">
        <f>HYPERLINK("https://lsnyc.legalserver.org/matter/dynamic-profile/view/1902565","19-1902565")</f>
        <v>0</v>
      </c>
      <c r="B563" t="s">
        <v>134</v>
      </c>
      <c r="C563" t="s">
        <v>191</v>
      </c>
      <c r="D563" t="s">
        <v>330</v>
      </c>
      <c r="F563" t="s">
        <v>834</v>
      </c>
      <c r="G563" t="s">
        <v>1594</v>
      </c>
      <c r="H563" t="s">
        <v>2359</v>
      </c>
      <c r="I563" t="s">
        <v>2899</v>
      </c>
      <c r="J563" t="s">
        <v>3146</v>
      </c>
      <c r="K563">
        <v>10034</v>
      </c>
      <c r="L563" t="s">
        <v>3185</v>
      </c>
      <c r="M563" t="s">
        <v>3189</v>
      </c>
      <c r="N563" t="s">
        <v>3186</v>
      </c>
      <c r="P563" t="s">
        <v>3257</v>
      </c>
      <c r="Q563" t="s">
        <v>3637</v>
      </c>
      <c r="S563" t="s">
        <v>275</v>
      </c>
      <c r="T563" t="s">
        <v>3660</v>
      </c>
      <c r="U563" t="s">
        <v>3184</v>
      </c>
      <c r="W563" t="s">
        <v>3670</v>
      </c>
      <c r="Y563">
        <v>1061</v>
      </c>
      <c r="Z563" t="s">
        <v>3689</v>
      </c>
      <c r="AA563" t="s">
        <v>3697</v>
      </c>
      <c r="AC563" t="s">
        <v>4220</v>
      </c>
      <c r="AE563" t="s">
        <v>5332</v>
      </c>
      <c r="AF563">
        <v>30</v>
      </c>
      <c r="AG563" t="s">
        <v>3263</v>
      </c>
      <c r="AH563" t="s">
        <v>3188</v>
      </c>
      <c r="AI563">
        <v>4</v>
      </c>
      <c r="AJ563">
        <v>2</v>
      </c>
      <c r="AK563">
        <v>0</v>
      </c>
      <c r="AL563">
        <v>106.45</v>
      </c>
      <c r="AO563" t="s">
        <v>5844</v>
      </c>
      <c r="AP563">
        <v>18000</v>
      </c>
      <c r="AV563">
        <v>2</v>
      </c>
      <c r="AW563" t="s">
        <v>275</v>
      </c>
      <c r="AX563" t="s">
        <v>6015</v>
      </c>
    </row>
    <row r="564" spans="1:50">
      <c r="A564" s="1">
        <f>HYPERLINK("https://lsnyc.legalserver.org/matter/dynamic-profile/view/1904337","19-1904337")</f>
        <v>0</v>
      </c>
      <c r="B564" t="s">
        <v>50</v>
      </c>
      <c r="C564" t="s">
        <v>192</v>
      </c>
      <c r="D564" t="s">
        <v>193</v>
      </c>
      <c r="E564" t="s">
        <v>272</v>
      </c>
      <c r="F564" t="s">
        <v>454</v>
      </c>
      <c r="G564" t="s">
        <v>1595</v>
      </c>
      <c r="H564" t="s">
        <v>2360</v>
      </c>
      <c r="J564" t="s">
        <v>3153</v>
      </c>
      <c r="K564">
        <v>11691</v>
      </c>
      <c r="L564" t="s">
        <v>3185</v>
      </c>
      <c r="M564" t="s">
        <v>3189</v>
      </c>
      <c r="N564" t="s">
        <v>3186</v>
      </c>
      <c r="O564" t="s">
        <v>3200</v>
      </c>
      <c r="P564" t="s">
        <v>3257</v>
      </c>
      <c r="Q564" t="s">
        <v>3634</v>
      </c>
      <c r="R564" t="s">
        <v>3642</v>
      </c>
      <c r="S564" t="s">
        <v>272</v>
      </c>
      <c r="T564" t="s">
        <v>3661</v>
      </c>
      <c r="U564" t="s">
        <v>3184</v>
      </c>
      <c r="W564" t="s">
        <v>3670</v>
      </c>
      <c r="X564" t="s">
        <v>3681</v>
      </c>
      <c r="Y564">
        <v>600</v>
      </c>
      <c r="Z564" t="s">
        <v>3688</v>
      </c>
      <c r="AA564" t="s">
        <v>3703</v>
      </c>
      <c r="AB564" t="s">
        <v>3712</v>
      </c>
      <c r="AC564" t="s">
        <v>4221</v>
      </c>
      <c r="AD564" t="s">
        <v>3188</v>
      </c>
      <c r="AE564" t="s">
        <v>4764</v>
      </c>
      <c r="AF564">
        <v>2</v>
      </c>
      <c r="AG564" t="s">
        <v>5814</v>
      </c>
      <c r="AH564" t="s">
        <v>3188</v>
      </c>
      <c r="AI564">
        <v>5</v>
      </c>
      <c r="AJ564">
        <v>1</v>
      </c>
      <c r="AK564">
        <v>2</v>
      </c>
      <c r="AL564">
        <v>0</v>
      </c>
      <c r="AM564" t="s">
        <v>5835</v>
      </c>
      <c r="AN564" t="s">
        <v>5840</v>
      </c>
      <c r="AO564" t="s">
        <v>5843</v>
      </c>
      <c r="AP564">
        <v>0</v>
      </c>
      <c r="AV564">
        <v>1.2</v>
      </c>
      <c r="AW564" t="s">
        <v>272</v>
      </c>
      <c r="AX564" t="s">
        <v>50</v>
      </c>
    </row>
    <row r="565" spans="1:50">
      <c r="A565" s="1">
        <f>HYPERLINK("https://lsnyc.legalserver.org/matter/dynamic-profile/view/1909569","19-1909569")</f>
        <v>0</v>
      </c>
      <c r="B565" t="s">
        <v>50</v>
      </c>
      <c r="C565" t="s">
        <v>192</v>
      </c>
      <c r="D565" t="s">
        <v>197</v>
      </c>
      <c r="E565" t="s">
        <v>220</v>
      </c>
      <c r="F565" t="s">
        <v>835</v>
      </c>
      <c r="G565" t="s">
        <v>1596</v>
      </c>
      <c r="H565" t="s">
        <v>2361</v>
      </c>
      <c r="I565" t="s">
        <v>2880</v>
      </c>
      <c r="J565" t="s">
        <v>3163</v>
      </c>
      <c r="K565">
        <v>11422</v>
      </c>
      <c r="L565" t="s">
        <v>3185</v>
      </c>
      <c r="M565" t="s">
        <v>3189</v>
      </c>
      <c r="N565" t="s">
        <v>3186</v>
      </c>
      <c r="O565" t="s">
        <v>3408</v>
      </c>
      <c r="P565" t="s">
        <v>3613</v>
      </c>
      <c r="Q565" t="s">
        <v>3634</v>
      </c>
      <c r="R565" t="s">
        <v>3642</v>
      </c>
      <c r="S565" t="s">
        <v>197</v>
      </c>
      <c r="T565" t="s">
        <v>3660</v>
      </c>
      <c r="U565" t="s">
        <v>3184</v>
      </c>
      <c r="W565" t="s">
        <v>3670</v>
      </c>
      <c r="X565" t="s">
        <v>3681</v>
      </c>
      <c r="Y565">
        <v>1500</v>
      </c>
      <c r="Z565" t="s">
        <v>3688</v>
      </c>
      <c r="AA565" t="s">
        <v>3698</v>
      </c>
      <c r="AB565" t="s">
        <v>3712</v>
      </c>
      <c r="AC565" t="s">
        <v>4222</v>
      </c>
      <c r="AD565" t="s">
        <v>3188</v>
      </c>
      <c r="AE565" t="s">
        <v>5333</v>
      </c>
      <c r="AF565">
        <v>2</v>
      </c>
      <c r="AG565" t="s">
        <v>5814</v>
      </c>
      <c r="AH565" t="s">
        <v>3188</v>
      </c>
      <c r="AI565">
        <v>1</v>
      </c>
      <c r="AJ565">
        <v>1</v>
      </c>
      <c r="AK565">
        <v>0</v>
      </c>
      <c r="AL565">
        <v>160.13</v>
      </c>
      <c r="AO565" t="s">
        <v>5843</v>
      </c>
      <c r="AP565">
        <v>20000</v>
      </c>
      <c r="AV565">
        <v>2.31</v>
      </c>
      <c r="AW565" t="s">
        <v>220</v>
      </c>
      <c r="AX565" t="s">
        <v>6016</v>
      </c>
    </row>
    <row r="566" spans="1:50">
      <c r="A566" s="1">
        <f>HYPERLINK("https://lsnyc.legalserver.org/matter/dynamic-profile/view/1907511","19-1907511")</f>
        <v>0</v>
      </c>
      <c r="B566" t="s">
        <v>50</v>
      </c>
      <c r="C566" t="s">
        <v>192</v>
      </c>
      <c r="D566" t="s">
        <v>234</v>
      </c>
      <c r="E566" t="s">
        <v>220</v>
      </c>
      <c r="F566" t="s">
        <v>836</v>
      </c>
      <c r="G566" t="s">
        <v>1597</v>
      </c>
      <c r="H566" t="s">
        <v>2362</v>
      </c>
      <c r="I566">
        <v>1</v>
      </c>
      <c r="J566" t="s">
        <v>3173</v>
      </c>
      <c r="K566">
        <v>11413</v>
      </c>
      <c r="L566" t="s">
        <v>3185</v>
      </c>
      <c r="M566" t="s">
        <v>3189</v>
      </c>
      <c r="N566" t="s">
        <v>3186</v>
      </c>
      <c r="O566" t="s">
        <v>3409</v>
      </c>
      <c r="P566" t="s">
        <v>3613</v>
      </c>
      <c r="Q566" t="s">
        <v>3634</v>
      </c>
      <c r="R566" t="s">
        <v>3642</v>
      </c>
      <c r="S566" t="s">
        <v>234</v>
      </c>
      <c r="T566" t="s">
        <v>3660</v>
      </c>
      <c r="U566" t="s">
        <v>3184</v>
      </c>
      <c r="W566" t="s">
        <v>3670</v>
      </c>
      <c r="X566" t="s">
        <v>3686</v>
      </c>
      <c r="Y566">
        <v>1000</v>
      </c>
      <c r="Z566" t="s">
        <v>3688</v>
      </c>
      <c r="AA566" t="s">
        <v>3698</v>
      </c>
      <c r="AB566" t="s">
        <v>3712</v>
      </c>
      <c r="AC566" t="s">
        <v>4223</v>
      </c>
      <c r="AD566" t="s">
        <v>3188</v>
      </c>
      <c r="AE566" t="s">
        <v>5334</v>
      </c>
      <c r="AF566">
        <v>2</v>
      </c>
      <c r="AG566" t="s">
        <v>5814</v>
      </c>
      <c r="AH566" t="s">
        <v>3188</v>
      </c>
      <c r="AI566">
        <v>1</v>
      </c>
      <c r="AJ566">
        <v>1</v>
      </c>
      <c r="AK566">
        <v>1</v>
      </c>
      <c r="AL566">
        <v>29.57</v>
      </c>
      <c r="AO566" t="s">
        <v>5843</v>
      </c>
      <c r="AP566">
        <v>5000</v>
      </c>
      <c r="AV566">
        <v>2.01</v>
      </c>
      <c r="AW566" t="s">
        <v>220</v>
      </c>
      <c r="AX566" t="s">
        <v>6016</v>
      </c>
    </row>
    <row r="567" spans="1:50">
      <c r="A567" s="1">
        <f>HYPERLINK("https://lsnyc.legalserver.org/matter/dynamic-profile/view/1887248","19-1887248")</f>
        <v>0</v>
      </c>
      <c r="B567" t="s">
        <v>131</v>
      </c>
      <c r="C567" t="s">
        <v>192</v>
      </c>
      <c r="D567" t="s">
        <v>331</v>
      </c>
      <c r="E567" t="s">
        <v>268</v>
      </c>
      <c r="F567" t="s">
        <v>605</v>
      </c>
      <c r="G567" t="s">
        <v>1340</v>
      </c>
      <c r="H567" t="s">
        <v>2363</v>
      </c>
      <c r="I567" t="s">
        <v>2901</v>
      </c>
      <c r="J567" t="s">
        <v>3148</v>
      </c>
      <c r="K567">
        <v>11231</v>
      </c>
      <c r="L567" t="s">
        <v>3186</v>
      </c>
      <c r="N567" t="s">
        <v>3186</v>
      </c>
      <c r="R567" t="s">
        <v>3643</v>
      </c>
      <c r="T567" t="s">
        <v>3660</v>
      </c>
      <c r="W567" t="s">
        <v>3672</v>
      </c>
      <c r="Y567">
        <v>0</v>
      </c>
      <c r="Z567" t="s">
        <v>3691</v>
      </c>
      <c r="AB567" t="s">
        <v>3715</v>
      </c>
      <c r="AC567" t="s">
        <v>4224</v>
      </c>
      <c r="AE567" t="s">
        <v>5335</v>
      </c>
      <c r="AF567">
        <v>0</v>
      </c>
      <c r="AI567">
        <v>0</v>
      </c>
      <c r="AJ567">
        <v>2</v>
      </c>
      <c r="AK567">
        <v>2</v>
      </c>
      <c r="AL567">
        <v>0</v>
      </c>
      <c r="AO567" t="s">
        <v>5843</v>
      </c>
      <c r="AP567">
        <v>0</v>
      </c>
      <c r="AV567">
        <v>7.8</v>
      </c>
      <c r="AW567" t="s">
        <v>268</v>
      </c>
      <c r="AX567" t="s">
        <v>131</v>
      </c>
    </row>
    <row r="568" spans="1:50">
      <c r="A568" s="1">
        <f>HYPERLINK("https://lsnyc.legalserver.org/matter/dynamic-profile/view/1904963","19-1904963")</f>
        <v>0</v>
      </c>
      <c r="B568" t="s">
        <v>50</v>
      </c>
      <c r="C568" t="s">
        <v>191</v>
      </c>
      <c r="D568" t="s">
        <v>218</v>
      </c>
      <c r="F568" t="s">
        <v>452</v>
      </c>
      <c r="G568" t="s">
        <v>1392</v>
      </c>
      <c r="H568" t="s">
        <v>2364</v>
      </c>
      <c r="I568" t="s">
        <v>2880</v>
      </c>
      <c r="J568" t="s">
        <v>3174</v>
      </c>
      <c r="K568">
        <v>11411</v>
      </c>
      <c r="L568" t="s">
        <v>3185</v>
      </c>
      <c r="M568" t="s">
        <v>3189</v>
      </c>
      <c r="N568" t="s">
        <v>3186</v>
      </c>
      <c r="O568" t="s">
        <v>3410</v>
      </c>
      <c r="P568" t="s">
        <v>3613</v>
      </c>
      <c r="Q568" t="s">
        <v>3638</v>
      </c>
      <c r="S568" t="s">
        <v>200</v>
      </c>
      <c r="T568" t="s">
        <v>3660</v>
      </c>
      <c r="U568" t="s">
        <v>3184</v>
      </c>
      <c r="W568" t="s">
        <v>3670</v>
      </c>
      <c r="X568" t="s">
        <v>3681</v>
      </c>
      <c r="Y568">
        <v>1122</v>
      </c>
      <c r="Z568" t="s">
        <v>3688</v>
      </c>
      <c r="AA568" t="s">
        <v>3698</v>
      </c>
      <c r="AC568" t="s">
        <v>4225</v>
      </c>
      <c r="AD568" t="s">
        <v>3188</v>
      </c>
      <c r="AE568" t="s">
        <v>5336</v>
      </c>
      <c r="AF568">
        <v>2</v>
      </c>
      <c r="AG568" t="s">
        <v>5814</v>
      </c>
      <c r="AH568" t="s">
        <v>5827</v>
      </c>
      <c r="AI568">
        <v>10</v>
      </c>
      <c r="AJ568">
        <v>2</v>
      </c>
      <c r="AK568">
        <v>1</v>
      </c>
      <c r="AL568">
        <v>33.76</v>
      </c>
      <c r="AO568" t="s">
        <v>5843</v>
      </c>
      <c r="AP568">
        <v>7200</v>
      </c>
      <c r="AR568" t="s">
        <v>5932</v>
      </c>
      <c r="AS568" t="s">
        <v>5937</v>
      </c>
      <c r="AT568" t="s">
        <v>5946</v>
      </c>
      <c r="AU568" t="s">
        <v>5959</v>
      </c>
      <c r="AV568">
        <v>20.21</v>
      </c>
      <c r="AW568" t="s">
        <v>291</v>
      </c>
      <c r="AX568" t="s">
        <v>62</v>
      </c>
    </row>
    <row r="569" spans="1:50">
      <c r="A569" s="1">
        <f>HYPERLINK("https://lsnyc.legalserver.org/matter/dynamic-profile/view/1903861","19-1903861")</f>
        <v>0</v>
      </c>
      <c r="B569" t="s">
        <v>50</v>
      </c>
      <c r="C569" t="s">
        <v>191</v>
      </c>
      <c r="D569" t="s">
        <v>194</v>
      </c>
      <c r="F569" t="s">
        <v>744</v>
      </c>
      <c r="G569" t="s">
        <v>1573</v>
      </c>
      <c r="H569" t="s">
        <v>2365</v>
      </c>
      <c r="J569" t="s">
        <v>3153</v>
      </c>
      <c r="K569">
        <v>11691</v>
      </c>
      <c r="L569" t="s">
        <v>3185</v>
      </c>
      <c r="M569" t="s">
        <v>3189</v>
      </c>
      <c r="N569" t="s">
        <v>3186</v>
      </c>
      <c r="O569" t="s">
        <v>3200</v>
      </c>
      <c r="P569" t="s">
        <v>3613</v>
      </c>
      <c r="Q569" t="s">
        <v>3634</v>
      </c>
      <c r="S569" t="s">
        <v>277</v>
      </c>
      <c r="T569" t="s">
        <v>3660</v>
      </c>
      <c r="U569" t="s">
        <v>3184</v>
      </c>
      <c r="W569" t="s">
        <v>3670</v>
      </c>
      <c r="X569" t="s">
        <v>3681</v>
      </c>
      <c r="Y569">
        <v>1300</v>
      </c>
      <c r="Z569" t="s">
        <v>3688</v>
      </c>
      <c r="AA569" t="s">
        <v>3697</v>
      </c>
      <c r="AC569" t="s">
        <v>4226</v>
      </c>
      <c r="AD569" t="s">
        <v>3188</v>
      </c>
      <c r="AE569" t="s">
        <v>4764</v>
      </c>
      <c r="AF569">
        <v>2</v>
      </c>
      <c r="AG569" t="s">
        <v>5814</v>
      </c>
      <c r="AH569" t="s">
        <v>3188</v>
      </c>
      <c r="AI569">
        <v>-1</v>
      </c>
      <c r="AJ569">
        <v>1</v>
      </c>
      <c r="AK569">
        <v>1</v>
      </c>
      <c r="AL569">
        <v>206.98</v>
      </c>
      <c r="AO569" t="s">
        <v>5843</v>
      </c>
      <c r="AP569">
        <v>35000</v>
      </c>
      <c r="AS569" t="s">
        <v>3632</v>
      </c>
      <c r="AU569" t="s">
        <v>5966</v>
      </c>
      <c r="AV569">
        <v>3.35</v>
      </c>
      <c r="AW569" t="s">
        <v>291</v>
      </c>
      <c r="AX569" t="s">
        <v>6021</v>
      </c>
    </row>
    <row r="570" spans="1:50">
      <c r="A570" s="1">
        <f>HYPERLINK("https://lsnyc.legalserver.org/matter/dynamic-profile/view/1906488","19-1906488")</f>
        <v>0</v>
      </c>
      <c r="B570" t="s">
        <v>50</v>
      </c>
      <c r="C570" t="s">
        <v>191</v>
      </c>
      <c r="D570" t="s">
        <v>270</v>
      </c>
      <c r="F570" t="s">
        <v>837</v>
      </c>
      <c r="G570" t="s">
        <v>1598</v>
      </c>
      <c r="H570" t="s">
        <v>2366</v>
      </c>
      <c r="I570" t="s">
        <v>3009</v>
      </c>
      <c r="J570" t="s">
        <v>3149</v>
      </c>
      <c r="K570">
        <v>11355</v>
      </c>
      <c r="L570" t="s">
        <v>3185</v>
      </c>
      <c r="M570" t="s">
        <v>3189</v>
      </c>
      <c r="N570" t="s">
        <v>3186</v>
      </c>
      <c r="O570" t="s">
        <v>3218</v>
      </c>
      <c r="P570" t="s">
        <v>3257</v>
      </c>
      <c r="Q570" t="s">
        <v>3636</v>
      </c>
      <c r="S570" t="s">
        <v>270</v>
      </c>
      <c r="T570" t="s">
        <v>3660</v>
      </c>
      <c r="U570" t="s">
        <v>3184</v>
      </c>
      <c r="W570" t="s">
        <v>3670</v>
      </c>
      <c r="X570" t="s">
        <v>3681</v>
      </c>
      <c r="Y570">
        <v>1750</v>
      </c>
      <c r="Z570" t="s">
        <v>3688</v>
      </c>
      <c r="AA570" t="s">
        <v>3705</v>
      </c>
      <c r="AC570" t="s">
        <v>4227</v>
      </c>
      <c r="AD570" t="s">
        <v>3188</v>
      </c>
      <c r="AE570" t="s">
        <v>5337</v>
      </c>
      <c r="AF570">
        <v>146</v>
      </c>
      <c r="AG570" t="s">
        <v>5813</v>
      </c>
      <c r="AH570" t="s">
        <v>3188</v>
      </c>
      <c r="AI570">
        <v>4</v>
      </c>
      <c r="AJ570">
        <v>2</v>
      </c>
      <c r="AK570">
        <v>1</v>
      </c>
      <c r="AL570">
        <v>93.76000000000001</v>
      </c>
      <c r="AO570" t="s">
        <v>5859</v>
      </c>
      <c r="AP570">
        <v>20000</v>
      </c>
      <c r="AS570" t="s">
        <v>3632</v>
      </c>
      <c r="AU570" t="s">
        <v>5966</v>
      </c>
      <c r="AV570">
        <v>3.85</v>
      </c>
      <c r="AW570" t="s">
        <v>291</v>
      </c>
      <c r="AX570" t="s">
        <v>6046</v>
      </c>
    </row>
    <row r="571" spans="1:50">
      <c r="A571" s="1">
        <f>HYPERLINK("https://lsnyc.legalserver.org/matter/dynamic-profile/view/1910463","19-1910463")</f>
        <v>0</v>
      </c>
      <c r="B571" t="s">
        <v>50</v>
      </c>
      <c r="C571" t="s">
        <v>191</v>
      </c>
      <c r="D571" t="s">
        <v>199</v>
      </c>
      <c r="F571" t="s">
        <v>838</v>
      </c>
      <c r="G571" t="s">
        <v>1599</v>
      </c>
      <c r="H571" t="s">
        <v>2367</v>
      </c>
      <c r="I571" t="s">
        <v>3010</v>
      </c>
      <c r="J571" t="s">
        <v>3149</v>
      </c>
      <c r="K571">
        <v>11367</v>
      </c>
      <c r="L571" t="s">
        <v>3185</v>
      </c>
      <c r="M571" t="s">
        <v>3189</v>
      </c>
      <c r="N571" t="s">
        <v>3186</v>
      </c>
      <c r="O571" t="s">
        <v>3411</v>
      </c>
      <c r="P571" t="s">
        <v>3613</v>
      </c>
      <c r="Q571" t="s">
        <v>3637</v>
      </c>
      <c r="S571" t="s">
        <v>199</v>
      </c>
      <c r="T571" t="s">
        <v>3660</v>
      </c>
      <c r="U571" t="s">
        <v>3184</v>
      </c>
      <c r="W571" t="s">
        <v>3670</v>
      </c>
      <c r="Y571">
        <v>238</v>
      </c>
      <c r="Z571" t="s">
        <v>3688</v>
      </c>
      <c r="AA571" t="s">
        <v>3698</v>
      </c>
      <c r="AC571" t="s">
        <v>4228</v>
      </c>
      <c r="AE571" t="s">
        <v>5338</v>
      </c>
      <c r="AF571">
        <v>28</v>
      </c>
      <c r="AG571" t="s">
        <v>5823</v>
      </c>
      <c r="AH571" t="s">
        <v>3188</v>
      </c>
      <c r="AI571">
        <v>2</v>
      </c>
      <c r="AJ571">
        <v>1</v>
      </c>
      <c r="AK571">
        <v>0</v>
      </c>
      <c r="AL571">
        <v>116.57</v>
      </c>
      <c r="AO571" t="s">
        <v>5843</v>
      </c>
      <c r="AP571">
        <v>14560</v>
      </c>
      <c r="AV571">
        <v>1.3</v>
      </c>
      <c r="AW571" t="s">
        <v>199</v>
      </c>
      <c r="AX571" t="s">
        <v>62</v>
      </c>
    </row>
    <row r="572" spans="1:50">
      <c r="A572" s="1">
        <f>HYPERLINK("https://lsnyc.legalserver.org/matter/dynamic-profile/view/1890723","19-1890723")</f>
        <v>0</v>
      </c>
      <c r="B572" t="s">
        <v>131</v>
      </c>
      <c r="C572" t="s">
        <v>192</v>
      </c>
      <c r="D572" t="s">
        <v>332</v>
      </c>
      <c r="E572" t="s">
        <v>219</v>
      </c>
      <c r="F572" t="s">
        <v>455</v>
      </c>
      <c r="G572" t="s">
        <v>1600</v>
      </c>
      <c r="H572" t="s">
        <v>2368</v>
      </c>
      <c r="J572" t="s">
        <v>3148</v>
      </c>
      <c r="K572">
        <v>11215</v>
      </c>
      <c r="L572" t="s">
        <v>3186</v>
      </c>
      <c r="N572" t="s">
        <v>3186</v>
      </c>
      <c r="R572" t="s">
        <v>3643</v>
      </c>
      <c r="T572" t="s">
        <v>3660</v>
      </c>
      <c r="W572" t="s">
        <v>3672</v>
      </c>
      <c r="Y572">
        <v>0</v>
      </c>
      <c r="Z572" t="s">
        <v>3691</v>
      </c>
      <c r="AB572" t="s">
        <v>3715</v>
      </c>
      <c r="AC572" t="s">
        <v>4229</v>
      </c>
      <c r="AE572" t="s">
        <v>5339</v>
      </c>
      <c r="AF572">
        <v>0</v>
      </c>
      <c r="AI572">
        <v>0</v>
      </c>
      <c r="AJ572">
        <v>1</v>
      </c>
      <c r="AK572">
        <v>0</v>
      </c>
      <c r="AL572">
        <v>0</v>
      </c>
      <c r="AO572" t="s">
        <v>5843</v>
      </c>
      <c r="AP572">
        <v>0</v>
      </c>
      <c r="AV572">
        <v>11.9</v>
      </c>
      <c r="AW572" t="s">
        <v>228</v>
      </c>
      <c r="AX572" t="s">
        <v>131</v>
      </c>
    </row>
    <row r="573" spans="1:50">
      <c r="A573" s="1">
        <f>HYPERLINK("https://lsnyc.legalserver.org/matter/dynamic-profile/view/1905584","19-1905584")</f>
        <v>0</v>
      </c>
      <c r="B573" t="s">
        <v>50</v>
      </c>
      <c r="C573" t="s">
        <v>191</v>
      </c>
      <c r="D573" t="s">
        <v>202</v>
      </c>
      <c r="F573" t="s">
        <v>710</v>
      </c>
      <c r="G573" t="s">
        <v>1341</v>
      </c>
      <c r="H573" t="s">
        <v>2369</v>
      </c>
      <c r="I573" t="s">
        <v>2905</v>
      </c>
      <c r="J573" t="s">
        <v>3152</v>
      </c>
      <c r="K573">
        <v>11365</v>
      </c>
      <c r="L573" t="s">
        <v>3185</v>
      </c>
      <c r="M573" t="s">
        <v>3189</v>
      </c>
      <c r="N573" t="s">
        <v>3186</v>
      </c>
      <c r="O573" t="s">
        <v>3412</v>
      </c>
      <c r="P573" t="s">
        <v>3613</v>
      </c>
      <c r="Q573" t="s">
        <v>3638</v>
      </c>
      <c r="S573" t="s">
        <v>203</v>
      </c>
      <c r="T573" t="s">
        <v>3661</v>
      </c>
      <c r="U573" t="s">
        <v>3184</v>
      </c>
      <c r="W573" t="s">
        <v>3670</v>
      </c>
      <c r="X573" t="s">
        <v>3686</v>
      </c>
      <c r="Y573">
        <v>1350</v>
      </c>
      <c r="Z573" t="s">
        <v>3688</v>
      </c>
      <c r="AA573" t="s">
        <v>3703</v>
      </c>
      <c r="AC573" t="s">
        <v>4230</v>
      </c>
      <c r="AD573" t="s">
        <v>3188</v>
      </c>
      <c r="AE573" t="s">
        <v>5340</v>
      </c>
      <c r="AF573">
        <v>5</v>
      </c>
      <c r="AG573" t="s">
        <v>5814</v>
      </c>
      <c r="AH573" t="s">
        <v>3188</v>
      </c>
      <c r="AI573">
        <v>9</v>
      </c>
      <c r="AJ573">
        <v>1</v>
      </c>
      <c r="AK573">
        <v>0</v>
      </c>
      <c r="AL573">
        <v>163.33</v>
      </c>
      <c r="AM573" t="s">
        <v>5835</v>
      </c>
      <c r="AN573" t="s">
        <v>5840</v>
      </c>
      <c r="AO573" t="s">
        <v>5843</v>
      </c>
      <c r="AP573">
        <v>20400</v>
      </c>
      <c r="AV573">
        <v>22.81</v>
      </c>
      <c r="AW573" t="s">
        <v>196</v>
      </c>
      <c r="AX573" t="s">
        <v>50</v>
      </c>
    </row>
    <row r="574" spans="1:50">
      <c r="A574" s="1">
        <f>HYPERLINK("https://lsnyc.legalserver.org/matter/dynamic-profile/view/1905514","19-1905514")</f>
        <v>0</v>
      </c>
      <c r="B574" t="s">
        <v>50</v>
      </c>
      <c r="C574" t="s">
        <v>191</v>
      </c>
      <c r="D574" t="s">
        <v>217</v>
      </c>
      <c r="F574" t="s">
        <v>839</v>
      </c>
      <c r="G574" t="s">
        <v>1601</v>
      </c>
      <c r="H574" t="s">
        <v>2370</v>
      </c>
      <c r="I574" t="s">
        <v>2993</v>
      </c>
      <c r="J574" t="s">
        <v>3169</v>
      </c>
      <c r="K574">
        <v>11423</v>
      </c>
      <c r="L574" t="s">
        <v>3185</v>
      </c>
      <c r="M574" t="s">
        <v>3189</v>
      </c>
      <c r="N574" t="s">
        <v>3186</v>
      </c>
      <c r="O574" t="s">
        <v>3413</v>
      </c>
      <c r="P574" t="s">
        <v>3613</v>
      </c>
      <c r="Q574" t="s">
        <v>3638</v>
      </c>
      <c r="S574" t="s">
        <v>219</v>
      </c>
      <c r="T574" t="s">
        <v>3660</v>
      </c>
      <c r="U574" t="s">
        <v>3184</v>
      </c>
      <c r="W574" t="s">
        <v>3670</v>
      </c>
      <c r="X574" t="s">
        <v>3681</v>
      </c>
      <c r="Y574">
        <v>1900</v>
      </c>
      <c r="Z574" t="s">
        <v>3688</v>
      </c>
      <c r="AA574" t="s">
        <v>3696</v>
      </c>
      <c r="AC574" t="s">
        <v>4231</v>
      </c>
      <c r="AE574" t="s">
        <v>5341</v>
      </c>
      <c r="AF574">
        <v>2</v>
      </c>
      <c r="AG574" t="s">
        <v>5814</v>
      </c>
      <c r="AH574" t="s">
        <v>3188</v>
      </c>
      <c r="AI574">
        <v>1</v>
      </c>
      <c r="AJ574">
        <v>1</v>
      </c>
      <c r="AK574">
        <v>1</v>
      </c>
      <c r="AL574">
        <v>28.39</v>
      </c>
      <c r="AO574" t="s">
        <v>5854</v>
      </c>
      <c r="AP574">
        <v>4800</v>
      </c>
      <c r="AV574">
        <v>17.66</v>
      </c>
      <c r="AW574" t="s">
        <v>199</v>
      </c>
      <c r="AX574" t="s">
        <v>50</v>
      </c>
    </row>
    <row r="575" spans="1:50">
      <c r="A575" s="1">
        <f>HYPERLINK("https://lsnyc.legalserver.org/matter/dynamic-profile/view/1907269","19-1907269")</f>
        <v>0</v>
      </c>
      <c r="B575" t="s">
        <v>50</v>
      </c>
      <c r="C575" t="s">
        <v>191</v>
      </c>
      <c r="D575" t="s">
        <v>227</v>
      </c>
      <c r="F575" t="s">
        <v>840</v>
      </c>
      <c r="G575" t="s">
        <v>1490</v>
      </c>
      <c r="H575" t="s">
        <v>2371</v>
      </c>
      <c r="I575" t="s">
        <v>2905</v>
      </c>
      <c r="J575" t="s">
        <v>3172</v>
      </c>
      <c r="K575">
        <v>11418</v>
      </c>
      <c r="L575" t="s">
        <v>3185</v>
      </c>
      <c r="M575" t="s">
        <v>3189</v>
      </c>
      <c r="N575" t="s">
        <v>3186</v>
      </c>
      <c r="O575" t="s">
        <v>3414</v>
      </c>
      <c r="P575" t="s">
        <v>3613</v>
      </c>
      <c r="Q575" t="s">
        <v>3638</v>
      </c>
      <c r="S575" t="s">
        <v>227</v>
      </c>
      <c r="T575" t="s">
        <v>3660</v>
      </c>
      <c r="U575" t="s">
        <v>3184</v>
      </c>
      <c r="W575" t="s">
        <v>3670</v>
      </c>
      <c r="X575" t="s">
        <v>3681</v>
      </c>
      <c r="Y575">
        <v>1400</v>
      </c>
      <c r="Z575" t="s">
        <v>3688</v>
      </c>
      <c r="AA575" t="s">
        <v>3698</v>
      </c>
      <c r="AC575" t="s">
        <v>4232</v>
      </c>
      <c r="AD575" t="s">
        <v>4819</v>
      </c>
      <c r="AE575" t="s">
        <v>5342</v>
      </c>
      <c r="AF575">
        <v>4</v>
      </c>
      <c r="AG575" t="s">
        <v>5814</v>
      </c>
      <c r="AH575" t="s">
        <v>3188</v>
      </c>
      <c r="AI575">
        <v>5</v>
      </c>
      <c r="AJ575">
        <v>1</v>
      </c>
      <c r="AK575">
        <v>2</v>
      </c>
      <c r="AL575">
        <v>123.3</v>
      </c>
      <c r="AO575" t="s">
        <v>5844</v>
      </c>
      <c r="AP575">
        <v>26300</v>
      </c>
      <c r="AV575">
        <v>16.7</v>
      </c>
      <c r="AW575" t="s">
        <v>261</v>
      </c>
      <c r="AX575" t="s">
        <v>62</v>
      </c>
    </row>
    <row r="576" spans="1:50">
      <c r="A576" s="1">
        <f>HYPERLINK("https://lsnyc.legalserver.org/matter/dynamic-profile/view/1907920","19-1907920")</f>
        <v>0</v>
      </c>
      <c r="B576" t="s">
        <v>50</v>
      </c>
      <c r="C576" t="s">
        <v>191</v>
      </c>
      <c r="D576" t="s">
        <v>251</v>
      </c>
      <c r="F576" t="s">
        <v>841</v>
      </c>
      <c r="G576" t="s">
        <v>1405</v>
      </c>
      <c r="H576" t="s">
        <v>2372</v>
      </c>
      <c r="I576" t="s">
        <v>2952</v>
      </c>
      <c r="J576" t="s">
        <v>3175</v>
      </c>
      <c r="K576">
        <v>11694</v>
      </c>
      <c r="L576" t="s">
        <v>3185</v>
      </c>
      <c r="M576" t="s">
        <v>3189</v>
      </c>
      <c r="N576" t="s">
        <v>3186</v>
      </c>
      <c r="O576" t="s">
        <v>3415</v>
      </c>
      <c r="P576" t="s">
        <v>3610</v>
      </c>
      <c r="Q576" t="s">
        <v>3638</v>
      </c>
      <c r="S576" t="s">
        <v>251</v>
      </c>
      <c r="T576" t="s">
        <v>3660</v>
      </c>
      <c r="U576" t="s">
        <v>3184</v>
      </c>
      <c r="W576" t="s">
        <v>3670</v>
      </c>
      <c r="X576" t="s">
        <v>3681</v>
      </c>
      <c r="Y576">
        <v>933.92</v>
      </c>
      <c r="Z576" t="s">
        <v>3688</v>
      </c>
      <c r="AA576" t="s">
        <v>3698</v>
      </c>
      <c r="AC576" t="s">
        <v>4233</v>
      </c>
      <c r="AE576" t="s">
        <v>5343</v>
      </c>
      <c r="AF576">
        <v>240</v>
      </c>
      <c r="AG576" t="s">
        <v>5813</v>
      </c>
      <c r="AH576" t="s">
        <v>3188</v>
      </c>
      <c r="AI576">
        <v>12</v>
      </c>
      <c r="AJ576">
        <v>1</v>
      </c>
      <c r="AK576">
        <v>0</v>
      </c>
      <c r="AL576">
        <v>107.8</v>
      </c>
      <c r="AO576" t="s">
        <v>5843</v>
      </c>
      <c r="AP576">
        <v>13464</v>
      </c>
      <c r="AV576">
        <v>14.8</v>
      </c>
      <c r="AW576" t="s">
        <v>199</v>
      </c>
      <c r="AX576" t="s">
        <v>62</v>
      </c>
    </row>
    <row r="577" spans="1:50">
      <c r="A577" s="1">
        <f>HYPERLINK("https://lsnyc.legalserver.org/matter/dynamic-profile/view/1907946","19-1907946")</f>
        <v>0</v>
      </c>
      <c r="B577" t="s">
        <v>50</v>
      </c>
      <c r="C577" t="s">
        <v>191</v>
      </c>
      <c r="D577" t="s">
        <v>251</v>
      </c>
      <c r="F577" t="s">
        <v>823</v>
      </c>
      <c r="G577" t="s">
        <v>1602</v>
      </c>
      <c r="H577" t="s">
        <v>2373</v>
      </c>
      <c r="I577" t="s">
        <v>2987</v>
      </c>
      <c r="J577" t="s">
        <v>3163</v>
      </c>
      <c r="K577">
        <v>11422</v>
      </c>
      <c r="L577" t="s">
        <v>3185</v>
      </c>
      <c r="M577" t="s">
        <v>3189</v>
      </c>
      <c r="N577" t="s">
        <v>3186</v>
      </c>
      <c r="O577" t="s">
        <v>3416</v>
      </c>
      <c r="P577" t="s">
        <v>3613</v>
      </c>
      <c r="Q577" t="s">
        <v>3638</v>
      </c>
      <c r="S577" t="s">
        <v>251</v>
      </c>
      <c r="T577" t="s">
        <v>3660</v>
      </c>
      <c r="U577" t="s">
        <v>3184</v>
      </c>
      <c r="W577" t="s">
        <v>3670</v>
      </c>
      <c r="X577" t="s">
        <v>3681</v>
      </c>
      <c r="Y577">
        <v>800</v>
      </c>
      <c r="Z577" t="s">
        <v>3688</v>
      </c>
      <c r="AA577" t="s">
        <v>3698</v>
      </c>
      <c r="AC577" t="s">
        <v>4234</v>
      </c>
      <c r="AE577" t="s">
        <v>5344</v>
      </c>
      <c r="AF577">
        <v>2</v>
      </c>
      <c r="AG577" t="s">
        <v>5814</v>
      </c>
      <c r="AH577" t="s">
        <v>3188</v>
      </c>
      <c r="AI577">
        <v>-1</v>
      </c>
      <c r="AJ577">
        <v>1</v>
      </c>
      <c r="AK577">
        <v>2</v>
      </c>
      <c r="AL577">
        <v>140.65</v>
      </c>
      <c r="AO577" t="s">
        <v>5843</v>
      </c>
      <c r="AP577">
        <v>30000</v>
      </c>
      <c r="AV577">
        <v>9.9</v>
      </c>
      <c r="AW577" t="s">
        <v>199</v>
      </c>
      <c r="AX577" t="s">
        <v>62</v>
      </c>
    </row>
    <row r="578" spans="1:50">
      <c r="A578" s="1">
        <f>HYPERLINK("https://lsnyc.legalserver.org/matter/dynamic-profile/view/1893062","19-1893062")</f>
        <v>0</v>
      </c>
      <c r="B578" t="s">
        <v>131</v>
      </c>
      <c r="C578" t="s">
        <v>192</v>
      </c>
      <c r="D578" t="s">
        <v>333</v>
      </c>
      <c r="E578" t="s">
        <v>268</v>
      </c>
      <c r="F578" t="s">
        <v>842</v>
      </c>
      <c r="G578" t="s">
        <v>1603</v>
      </c>
      <c r="H578" t="s">
        <v>2374</v>
      </c>
      <c r="I578" t="s">
        <v>2888</v>
      </c>
      <c r="J578" t="s">
        <v>3148</v>
      </c>
      <c r="K578">
        <v>11238</v>
      </c>
      <c r="L578" t="s">
        <v>3186</v>
      </c>
      <c r="N578" t="s">
        <v>3186</v>
      </c>
      <c r="R578" t="s">
        <v>3643</v>
      </c>
      <c r="T578" t="s">
        <v>3660</v>
      </c>
      <c r="W578" t="s">
        <v>3672</v>
      </c>
      <c r="Y578">
        <v>0</v>
      </c>
      <c r="Z578" t="s">
        <v>3691</v>
      </c>
      <c r="AB578" t="s">
        <v>3715</v>
      </c>
      <c r="AC578" t="s">
        <v>4235</v>
      </c>
      <c r="AE578" t="s">
        <v>5345</v>
      </c>
      <c r="AF578">
        <v>0</v>
      </c>
      <c r="AI578">
        <v>0</v>
      </c>
      <c r="AJ578">
        <v>1</v>
      </c>
      <c r="AK578">
        <v>0</v>
      </c>
      <c r="AL578">
        <v>74.08</v>
      </c>
      <c r="AO578" t="s">
        <v>5843</v>
      </c>
      <c r="AP578">
        <v>9252</v>
      </c>
      <c r="AV578">
        <v>10.2</v>
      </c>
      <c r="AW578" t="s">
        <v>268</v>
      </c>
      <c r="AX578" t="s">
        <v>131</v>
      </c>
    </row>
    <row r="579" spans="1:50">
      <c r="A579" s="1">
        <f>HYPERLINK("https://lsnyc.legalserver.org/matter/dynamic-profile/view/1908250","19-1908250")</f>
        <v>0</v>
      </c>
      <c r="B579" t="s">
        <v>50</v>
      </c>
      <c r="C579" t="s">
        <v>191</v>
      </c>
      <c r="D579" t="s">
        <v>212</v>
      </c>
      <c r="F579" t="s">
        <v>843</v>
      </c>
      <c r="G579" t="s">
        <v>1604</v>
      </c>
      <c r="H579" t="s">
        <v>2375</v>
      </c>
      <c r="I579" t="s">
        <v>2822</v>
      </c>
      <c r="J579" t="s">
        <v>3165</v>
      </c>
      <c r="K579">
        <v>11377</v>
      </c>
      <c r="L579" t="s">
        <v>3185</v>
      </c>
      <c r="M579" t="s">
        <v>3189</v>
      </c>
      <c r="N579" t="s">
        <v>3186</v>
      </c>
      <c r="O579" t="s">
        <v>3417</v>
      </c>
      <c r="P579" t="s">
        <v>3613</v>
      </c>
      <c r="Q579" t="s">
        <v>3638</v>
      </c>
      <c r="S579" t="s">
        <v>212</v>
      </c>
      <c r="T579" t="s">
        <v>3660</v>
      </c>
      <c r="U579" t="s">
        <v>3184</v>
      </c>
      <c r="W579" t="s">
        <v>3670</v>
      </c>
      <c r="X579" t="s">
        <v>3681</v>
      </c>
      <c r="Y579">
        <v>1850</v>
      </c>
      <c r="Z579" t="s">
        <v>3688</v>
      </c>
      <c r="AA579" t="s">
        <v>3698</v>
      </c>
      <c r="AC579" t="s">
        <v>4236</v>
      </c>
      <c r="AE579" t="s">
        <v>5346</v>
      </c>
      <c r="AF579">
        <v>2</v>
      </c>
      <c r="AG579" t="s">
        <v>3263</v>
      </c>
      <c r="AH579" t="s">
        <v>3188</v>
      </c>
      <c r="AI579">
        <v>-1</v>
      </c>
      <c r="AJ579">
        <v>1</v>
      </c>
      <c r="AK579">
        <v>0</v>
      </c>
      <c r="AL579">
        <v>43.23</v>
      </c>
      <c r="AO579" t="s">
        <v>5843</v>
      </c>
      <c r="AP579">
        <v>5400</v>
      </c>
      <c r="AV579">
        <v>2.15</v>
      </c>
      <c r="AW579" t="s">
        <v>291</v>
      </c>
      <c r="AX579" t="s">
        <v>62</v>
      </c>
    </row>
    <row r="580" spans="1:50">
      <c r="A580" s="1">
        <f>HYPERLINK("https://lsnyc.legalserver.org/matter/dynamic-profile/view/1905738","19-1905738")</f>
        <v>0</v>
      </c>
      <c r="B580" t="s">
        <v>135</v>
      </c>
      <c r="C580" t="s">
        <v>191</v>
      </c>
      <c r="D580" t="s">
        <v>203</v>
      </c>
      <c r="F580" t="s">
        <v>574</v>
      </c>
      <c r="G580" t="s">
        <v>1545</v>
      </c>
      <c r="H580" t="s">
        <v>2376</v>
      </c>
      <c r="I580" t="s">
        <v>2860</v>
      </c>
      <c r="J580" t="s">
        <v>3148</v>
      </c>
      <c r="K580">
        <v>11233</v>
      </c>
      <c r="L580" t="s">
        <v>3185</v>
      </c>
      <c r="M580" t="s">
        <v>3190</v>
      </c>
      <c r="N580" t="s">
        <v>3186</v>
      </c>
      <c r="O580" t="s">
        <v>3191</v>
      </c>
      <c r="P580" t="s">
        <v>3257</v>
      </c>
      <c r="Q580" t="s">
        <v>3634</v>
      </c>
      <c r="S580" t="s">
        <v>203</v>
      </c>
      <c r="T580" t="s">
        <v>3660</v>
      </c>
      <c r="U580" t="s">
        <v>3184</v>
      </c>
      <c r="W580" t="s">
        <v>3670</v>
      </c>
      <c r="Y580">
        <v>215</v>
      </c>
      <c r="Z580" t="s">
        <v>3691</v>
      </c>
      <c r="AA580" t="s">
        <v>3632</v>
      </c>
      <c r="AC580" t="s">
        <v>4237</v>
      </c>
      <c r="AD580" t="s">
        <v>4820</v>
      </c>
      <c r="AE580" t="s">
        <v>5347</v>
      </c>
      <c r="AF580">
        <v>48</v>
      </c>
      <c r="AG580" t="s">
        <v>5817</v>
      </c>
      <c r="AH580" t="s">
        <v>3632</v>
      </c>
      <c r="AI580">
        <v>4</v>
      </c>
      <c r="AJ580">
        <v>1</v>
      </c>
      <c r="AK580">
        <v>0</v>
      </c>
      <c r="AL580">
        <v>0</v>
      </c>
      <c r="AO580" t="s">
        <v>5843</v>
      </c>
      <c r="AP580">
        <v>0</v>
      </c>
      <c r="AV580">
        <v>0</v>
      </c>
      <c r="AX580" t="s">
        <v>82</v>
      </c>
    </row>
    <row r="581" spans="1:50">
      <c r="A581" s="1">
        <f>HYPERLINK("https://lsnyc.legalserver.org/matter/dynamic-profile/view/1884985","18-1884985")</f>
        <v>0</v>
      </c>
      <c r="B581" t="s">
        <v>131</v>
      </c>
      <c r="C581" t="s">
        <v>191</v>
      </c>
      <c r="D581" t="s">
        <v>334</v>
      </c>
      <c r="F581" t="s">
        <v>465</v>
      </c>
      <c r="G581" t="s">
        <v>1605</v>
      </c>
      <c r="H581" t="s">
        <v>2377</v>
      </c>
      <c r="I581" t="s">
        <v>2899</v>
      </c>
      <c r="J581" t="s">
        <v>3148</v>
      </c>
      <c r="K581">
        <v>11226</v>
      </c>
      <c r="L581" t="s">
        <v>3186</v>
      </c>
      <c r="N581" t="s">
        <v>3186</v>
      </c>
      <c r="Q581" t="s">
        <v>3635</v>
      </c>
      <c r="T581" t="s">
        <v>3660</v>
      </c>
      <c r="W581" t="s">
        <v>3670</v>
      </c>
      <c r="Y581">
        <v>0</v>
      </c>
      <c r="Z581" t="s">
        <v>3691</v>
      </c>
      <c r="AC581" t="s">
        <v>4238</v>
      </c>
      <c r="AE581" t="s">
        <v>5348</v>
      </c>
      <c r="AF581">
        <v>0</v>
      </c>
      <c r="AI581">
        <v>0</v>
      </c>
      <c r="AJ581">
        <v>2</v>
      </c>
      <c r="AK581">
        <v>0</v>
      </c>
      <c r="AL581">
        <v>0</v>
      </c>
      <c r="AO581" t="s">
        <v>5843</v>
      </c>
      <c r="AP581">
        <v>0</v>
      </c>
      <c r="AV581">
        <v>3.8</v>
      </c>
      <c r="AW581" t="s">
        <v>5986</v>
      </c>
      <c r="AX581" t="s">
        <v>131</v>
      </c>
    </row>
    <row r="582" spans="1:50">
      <c r="A582" s="1">
        <f>HYPERLINK("https://lsnyc.legalserver.org/matter/dynamic-profile/view/0779699","15-0779699")</f>
        <v>0</v>
      </c>
      <c r="B582" t="s">
        <v>135</v>
      </c>
      <c r="C582" t="s">
        <v>191</v>
      </c>
      <c r="D582" t="s">
        <v>335</v>
      </c>
      <c r="F582" t="s">
        <v>463</v>
      </c>
      <c r="G582" t="s">
        <v>1606</v>
      </c>
      <c r="H582" t="s">
        <v>2378</v>
      </c>
      <c r="I582">
        <v>23</v>
      </c>
      <c r="J582" t="s">
        <v>3148</v>
      </c>
      <c r="K582">
        <v>11225</v>
      </c>
      <c r="L582" t="s">
        <v>3185</v>
      </c>
      <c r="N582" t="s">
        <v>3186</v>
      </c>
      <c r="O582" t="s">
        <v>3418</v>
      </c>
      <c r="P582" t="s">
        <v>3613</v>
      </c>
      <c r="Q582" t="s">
        <v>3639</v>
      </c>
      <c r="T582" t="s">
        <v>3660</v>
      </c>
      <c r="V582" t="s">
        <v>3664</v>
      </c>
      <c r="W582" t="s">
        <v>3670</v>
      </c>
      <c r="Y582">
        <v>683.22</v>
      </c>
      <c r="Z582" t="s">
        <v>3691</v>
      </c>
      <c r="AC582" t="s">
        <v>4239</v>
      </c>
      <c r="AE582" t="s">
        <v>5349</v>
      </c>
      <c r="AF582">
        <v>0</v>
      </c>
      <c r="AG582" t="s">
        <v>5811</v>
      </c>
      <c r="AI582">
        <v>38</v>
      </c>
      <c r="AJ582">
        <v>1</v>
      </c>
      <c r="AK582">
        <v>0</v>
      </c>
      <c r="AL582">
        <v>88.36</v>
      </c>
      <c r="AO582" t="s">
        <v>5844</v>
      </c>
      <c r="AP582">
        <v>10400</v>
      </c>
      <c r="AQ582" t="s">
        <v>5894</v>
      </c>
      <c r="AV582">
        <v>46.9</v>
      </c>
      <c r="AW582" t="s">
        <v>5987</v>
      </c>
      <c r="AX582" t="s">
        <v>6047</v>
      </c>
    </row>
    <row r="583" spans="1:50">
      <c r="A583" s="1">
        <f>HYPERLINK("https://lsnyc.legalserver.org/matter/dynamic-profile/view/1904193","19-1904193")</f>
        <v>0</v>
      </c>
      <c r="B583" t="s">
        <v>131</v>
      </c>
      <c r="C583" t="s">
        <v>191</v>
      </c>
      <c r="D583" t="s">
        <v>213</v>
      </c>
      <c r="F583" t="s">
        <v>844</v>
      </c>
      <c r="G583" t="s">
        <v>1607</v>
      </c>
      <c r="H583" t="s">
        <v>2379</v>
      </c>
      <c r="I583" t="s">
        <v>2901</v>
      </c>
      <c r="J583" t="s">
        <v>3148</v>
      </c>
      <c r="K583">
        <v>11238</v>
      </c>
      <c r="L583" t="s">
        <v>3186</v>
      </c>
      <c r="N583" t="s">
        <v>3186</v>
      </c>
      <c r="T583" t="s">
        <v>3660</v>
      </c>
      <c r="W583" t="s">
        <v>3672</v>
      </c>
      <c r="Y583">
        <v>0</v>
      </c>
      <c r="Z583" t="s">
        <v>3691</v>
      </c>
      <c r="AC583" t="s">
        <v>4240</v>
      </c>
      <c r="AF583">
        <v>0</v>
      </c>
      <c r="AI583">
        <v>0</v>
      </c>
      <c r="AJ583">
        <v>1</v>
      </c>
      <c r="AK583">
        <v>0</v>
      </c>
      <c r="AL583">
        <v>0</v>
      </c>
      <c r="AO583" t="s">
        <v>5843</v>
      </c>
      <c r="AP583">
        <v>0</v>
      </c>
      <c r="AV583">
        <v>8.199999999999999</v>
      </c>
      <c r="AW583" t="s">
        <v>268</v>
      </c>
      <c r="AX583" t="s">
        <v>131</v>
      </c>
    </row>
    <row r="584" spans="1:50">
      <c r="A584" s="1">
        <f>HYPERLINK("https://lsnyc.legalserver.org/matter/dynamic-profile/view/1883539","18-1883539")</f>
        <v>0</v>
      </c>
      <c r="B584" t="s">
        <v>131</v>
      </c>
      <c r="C584" t="s">
        <v>191</v>
      </c>
      <c r="D584" t="s">
        <v>336</v>
      </c>
      <c r="F584" t="s">
        <v>845</v>
      </c>
      <c r="G584" t="s">
        <v>1608</v>
      </c>
      <c r="H584" t="s">
        <v>2380</v>
      </c>
      <c r="I584" t="s">
        <v>2844</v>
      </c>
      <c r="J584" t="s">
        <v>3148</v>
      </c>
      <c r="K584">
        <v>11226</v>
      </c>
      <c r="L584" t="s">
        <v>3186</v>
      </c>
      <c r="N584" t="s">
        <v>3186</v>
      </c>
      <c r="T584" t="s">
        <v>3660</v>
      </c>
      <c r="V584" t="s">
        <v>3663</v>
      </c>
      <c r="W584" t="s">
        <v>3670</v>
      </c>
      <c r="Y584">
        <v>0</v>
      </c>
      <c r="Z584" t="s">
        <v>3691</v>
      </c>
      <c r="AC584" t="s">
        <v>4241</v>
      </c>
      <c r="AE584" t="s">
        <v>5350</v>
      </c>
      <c r="AF584">
        <v>0</v>
      </c>
      <c r="AI584">
        <v>0</v>
      </c>
      <c r="AJ584">
        <v>2</v>
      </c>
      <c r="AK584">
        <v>0</v>
      </c>
      <c r="AL584">
        <v>0</v>
      </c>
      <c r="AO584" t="s">
        <v>5847</v>
      </c>
      <c r="AP584">
        <v>0</v>
      </c>
      <c r="AQ584" t="s">
        <v>5895</v>
      </c>
      <c r="AV584">
        <v>0.9</v>
      </c>
      <c r="AW584" t="s">
        <v>251</v>
      </c>
      <c r="AX584" t="s">
        <v>131</v>
      </c>
    </row>
    <row r="585" spans="1:50">
      <c r="A585" s="1">
        <f>HYPERLINK("https://lsnyc.legalserver.org/matter/dynamic-profile/view/1905028","19-1905028")</f>
        <v>0</v>
      </c>
      <c r="B585" t="s">
        <v>136</v>
      </c>
      <c r="C585" t="s">
        <v>191</v>
      </c>
      <c r="D585" t="s">
        <v>249</v>
      </c>
      <c r="F585" t="s">
        <v>846</v>
      </c>
      <c r="G585" t="s">
        <v>1609</v>
      </c>
      <c r="H585" t="s">
        <v>2381</v>
      </c>
      <c r="I585" t="s">
        <v>2860</v>
      </c>
      <c r="J585" t="s">
        <v>3146</v>
      </c>
      <c r="K585">
        <v>10024</v>
      </c>
      <c r="L585" t="s">
        <v>3185</v>
      </c>
      <c r="M585" t="s">
        <v>3189</v>
      </c>
      <c r="N585" t="s">
        <v>3186</v>
      </c>
      <c r="P585" t="s">
        <v>3612</v>
      </c>
      <c r="Q585" t="s">
        <v>3637</v>
      </c>
      <c r="S585" t="s">
        <v>285</v>
      </c>
      <c r="T585" t="s">
        <v>3660</v>
      </c>
      <c r="U585" t="s">
        <v>3185</v>
      </c>
      <c r="W585" t="s">
        <v>3670</v>
      </c>
      <c r="X585" t="s">
        <v>3681</v>
      </c>
      <c r="Y585">
        <v>2085</v>
      </c>
      <c r="Z585" t="s">
        <v>3689</v>
      </c>
      <c r="AA585" t="s">
        <v>3705</v>
      </c>
      <c r="AC585" t="s">
        <v>4242</v>
      </c>
      <c r="AE585" t="s">
        <v>5351</v>
      </c>
      <c r="AF585">
        <v>21</v>
      </c>
      <c r="AG585" t="s">
        <v>5813</v>
      </c>
      <c r="AH585" t="s">
        <v>3188</v>
      </c>
      <c r="AI585">
        <v>2</v>
      </c>
      <c r="AJ585">
        <v>1</v>
      </c>
      <c r="AK585">
        <v>0</v>
      </c>
      <c r="AL585">
        <v>560.45</v>
      </c>
      <c r="AO585" t="s">
        <v>5843</v>
      </c>
      <c r="AP585">
        <v>70000</v>
      </c>
      <c r="AV585">
        <v>0.1</v>
      </c>
      <c r="AW585" t="s">
        <v>217</v>
      </c>
      <c r="AX585" t="s">
        <v>6007</v>
      </c>
    </row>
    <row r="586" spans="1:50">
      <c r="A586" s="1">
        <f>HYPERLINK("https://lsnyc.legalserver.org/matter/dynamic-profile/view/1904010","19-1904010")</f>
        <v>0</v>
      </c>
      <c r="B586" t="s">
        <v>136</v>
      </c>
      <c r="C586" t="s">
        <v>191</v>
      </c>
      <c r="D586" t="s">
        <v>232</v>
      </c>
      <c r="F586" t="s">
        <v>692</v>
      </c>
      <c r="G586" t="s">
        <v>1610</v>
      </c>
      <c r="H586" t="s">
        <v>2381</v>
      </c>
      <c r="I586" t="s">
        <v>2819</v>
      </c>
      <c r="J586" t="s">
        <v>3146</v>
      </c>
      <c r="K586">
        <v>10024</v>
      </c>
      <c r="L586" t="s">
        <v>3185</v>
      </c>
      <c r="M586" t="s">
        <v>3189</v>
      </c>
      <c r="N586" t="s">
        <v>3186</v>
      </c>
      <c r="P586" t="s">
        <v>3612</v>
      </c>
      <c r="Q586" t="s">
        <v>3637</v>
      </c>
      <c r="S586" t="s">
        <v>232</v>
      </c>
      <c r="T586" t="s">
        <v>3660</v>
      </c>
      <c r="U586" t="s">
        <v>3185</v>
      </c>
      <c r="W586" t="s">
        <v>3670</v>
      </c>
      <c r="X586" t="s">
        <v>3681</v>
      </c>
      <c r="Y586">
        <v>495</v>
      </c>
      <c r="Z586" t="s">
        <v>3689</v>
      </c>
      <c r="AA586" t="s">
        <v>3700</v>
      </c>
      <c r="AC586" t="s">
        <v>3869</v>
      </c>
      <c r="AE586" t="s">
        <v>5352</v>
      </c>
      <c r="AF586">
        <v>24</v>
      </c>
      <c r="AG586" t="s">
        <v>5811</v>
      </c>
      <c r="AH586" t="s">
        <v>3188</v>
      </c>
      <c r="AI586">
        <v>31</v>
      </c>
      <c r="AJ586">
        <v>4</v>
      </c>
      <c r="AK586">
        <v>0</v>
      </c>
      <c r="AL586">
        <v>166.99</v>
      </c>
      <c r="AO586" t="s">
        <v>5843</v>
      </c>
      <c r="AP586">
        <v>43000</v>
      </c>
      <c r="AV586">
        <v>1.5</v>
      </c>
      <c r="AW586" t="s">
        <v>208</v>
      </c>
      <c r="AX586" t="s">
        <v>6007</v>
      </c>
    </row>
    <row r="587" spans="1:50">
      <c r="A587" s="1">
        <f>HYPERLINK("https://lsnyc.legalserver.org/matter/dynamic-profile/view/1904379","19-1904379")</f>
        <v>0</v>
      </c>
      <c r="B587" t="s">
        <v>136</v>
      </c>
      <c r="C587" t="s">
        <v>191</v>
      </c>
      <c r="D587" t="s">
        <v>272</v>
      </c>
      <c r="F587" t="s">
        <v>465</v>
      </c>
      <c r="G587" t="s">
        <v>1611</v>
      </c>
      <c r="H587" t="s">
        <v>2381</v>
      </c>
      <c r="I587" t="s">
        <v>2858</v>
      </c>
      <c r="J587" t="s">
        <v>3146</v>
      </c>
      <c r="K587">
        <v>10024</v>
      </c>
      <c r="L587" t="s">
        <v>3185</v>
      </c>
      <c r="M587" t="s">
        <v>3189</v>
      </c>
      <c r="N587" t="s">
        <v>3186</v>
      </c>
      <c r="P587" t="s">
        <v>3612</v>
      </c>
      <c r="Q587" t="s">
        <v>3637</v>
      </c>
      <c r="S587" t="s">
        <v>193</v>
      </c>
      <c r="T587" t="s">
        <v>3660</v>
      </c>
      <c r="U587" t="s">
        <v>3185</v>
      </c>
      <c r="W587" t="s">
        <v>3670</v>
      </c>
      <c r="X587" t="s">
        <v>3681</v>
      </c>
      <c r="Y587">
        <v>2300</v>
      </c>
      <c r="Z587" t="s">
        <v>3689</v>
      </c>
      <c r="AA587" t="s">
        <v>3705</v>
      </c>
      <c r="AC587" t="s">
        <v>4243</v>
      </c>
      <c r="AE587" t="s">
        <v>5353</v>
      </c>
      <c r="AF587">
        <v>12</v>
      </c>
      <c r="AG587" t="s">
        <v>5816</v>
      </c>
      <c r="AH587" t="s">
        <v>3188</v>
      </c>
      <c r="AI587">
        <v>7</v>
      </c>
      <c r="AJ587">
        <v>1</v>
      </c>
      <c r="AK587">
        <v>0</v>
      </c>
      <c r="AL587">
        <v>468.37</v>
      </c>
      <c r="AO587" t="s">
        <v>5843</v>
      </c>
      <c r="AP587">
        <v>58500</v>
      </c>
      <c r="AV587">
        <v>0.1</v>
      </c>
      <c r="AW587" t="s">
        <v>217</v>
      </c>
      <c r="AX587" t="s">
        <v>6007</v>
      </c>
    </row>
    <row r="588" spans="1:50">
      <c r="A588" s="1">
        <f>HYPERLINK("https://lsnyc.legalserver.org/matter/dynamic-profile/view/1884209","18-1884209")</f>
        <v>0</v>
      </c>
      <c r="B588" t="s">
        <v>131</v>
      </c>
      <c r="C588" t="s">
        <v>191</v>
      </c>
      <c r="D588" t="s">
        <v>337</v>
      </c>
      <c r="F588" t="s">
        <v>847</v>
      </c>
      <c r="G588" t="s">
        <v>1612</v>
      </c>
      <c r="H588" t="s">
        <v>2380</v>
      </c>
      <c r="I588" t="s">
        <v>2832</v>
      </c>
      <c r="J588" t="s">
        <v>3148</v>
      </c>
      <c r="K588">
        <v>11226</v>
      </c>
      <c r="L588" t="s">
        <v>3186</v>
      </c>
      <c r="N588" t="s">
        <v>3186</v>
      </c>
      <c r="T588" t="s">
        <v>3660</v>
      </c>
      <c r="V588" t="s">
        <v>3663</v>
      </c>
      <c r="W588" t="s">
        <v>3670</v>
      </c>
      <c r="Y588">
        <v>0</v>
      </c>
      <c r="Z588" t="s">
        <v>3691</v>
      </c>
      <c r="AC588" t="s">
        <v>4244</v>
      </c>
      <c r="AF588">
        <v>0</v>
      </c>
      <c r="AI588">
        <v>0</v>
      </c>
      <c r="AJ588">
        <v>2</v>
      </c>
      <c r="AK588">
        <v>0</v>
      </c>
      <c r="AL588">
        <v>0</v>
      </c>
      <c r="AO588" t="s">
        <v>5843</v>
      </c>
      <c r="AP588">
        <v>0</v>
      </c>
      <c r="AV588">
        <v>1.4</v>
      </c>
      <c r="AW588" t="s">
        <v>251</v>
      </c>
      <c r="AX588" t="s">
        <v>131</v>
      </c>
    </row>
    <row r="589" spans="1:50">
      <c r="A589" s="1">
        <f>HYPERLINK("https://lsnyc.legalserver.org/matter/dynamic-profile/view/1885097","18-1885097")</f>
        <v>0</v>
      </c>
      <c r="B589" t="s">
        <v>131</v>
      </c>
      <c r="C589" t="s">
        <v>191</v>
      </c>
      <c r="D589" t="s">
        <v>338</v>
      </c>
      <c r="F589" t="s">
        <v>445</v>
      </c>
      <c r="G589" t="s">
        <v>1613</v>
      </c>
      <c r="H589" t="s">
        <v>2382</v>
      </c>
      <c r="J589" t="s">
        <v>3148</v>
      </c>
      <c r="K589">
        <v>11217</v>
      </c>
      <c r="L589" t="s">
        <v>3186</v>
      </c>
      <c r="N589" t="s">
        <v>3186</v>
      </c>
      <c r="T589" t="s">
        <v>3660</v>
      </c>
      <c r="W589" t="s">
        <v>3672</v>
      </c>
      <c r="Y589">
        <v>0</v>
      </c>
      <c r="Z589" t="s">
        <v>3691</v>
      </c>
      <c r="AC589" t="s">
        <v>4245</v>
      </c>
      <c r="AF589">
        <v>0</v>
      </c>
      <c r="AI589">
        <v>0</v>
      </c>
      <c r="AJ589">
        <v>2</v>
      </c>
      <c r="AK589">
        <v>1</v>
      </c>
      <c r="AL589">
        <v>0</v>
      </c>
      <c r="AO589" t="s">
        <v>5843</v>
      </c>
      <c r="AP589">
        <v>0</v>
      </c>
      <c r="AV589">
        <v>1.1</v>
      </c>
      <c r="AW589" t="s">
        <v>338</v>
      </c>
      <c r="AX589" t="s">
        <v>131</v>
      </c>
    </row>
    <row r="590" spans="1:50">
      <c r="A590" s="1">
        <f>HYPERLINK("https://lsnyc.legalserver.org/matter/dynamic-profile/view/1907929","19-1907929")</f>
        <v>0</v>
      </c>
      <c r="B590" t="s">
        <v>137</v>
      </c>
      <c r="C590" t="s">
        <v>191</v>
      </c>
      <c r="D590" t="s">
        <v>251</v>
      </c>
      <c r="F590" t="s">
        <v>540</v>
      </c>
      <c r="G590" t="s">
        <v>1614</v>
      </c>
      <c r="H590" t="s">
        <v>2383</v>
      </c>
      <c r="J590" t="s">
        <v>3149</v>
      </c>
      <c r="K590">
        <v>11358</v>
      </c>
      <c r="L590" t="s">
        <v>3185</v>
      </c>
      <c r="M590" t="s">
        <v>3189</v>
      </c>
      <c r="N590" t="s">
        <v>3186</v>
      </c>
      <c r="O590" t="s">
        <v>3419</v>
      </c>
      <c r="P590" t="s">
        <v>3613</v>
      </c>
      <c r="Q590" t="s">
        <v>3638</v>
      </c>
      <c r="S590" t="s">
        <v>251</v>
      </c>
      <c r="T590" t="s">
        <v>3660</v>
      </c>
      <c r="U590" t="s">
        <v>3184</v>
      </c>
      <c r="W590" t="s">
        <v>3670</v>
      </c>
      <c r="X590" t="s">
        <v>3681</v>
      </c>
      <c r="Y590">
        <v>1</v>
      </c>
      <c r="Z590" t="s">
        <v>3688</v>
      </c>
      <c r="AA590" t="s">
        <v>3698</v>
      </c>
      <c r="AC590" t="s">
        <v>4246</v>
      </c>
      <c r="AE590" t="s">
        <v>5354</v>
      </c>
      <c r="AF590">
        <v>1</v>
      </c>
      <c r="AG590" t="s">
        <v>3263</v>
      </c>
      <c r="AH590" t="s">
        <v>3188</v>
      </c>
      <c r="AI590">
        <v>8</v>
      </c>
      <c r="AJ590">
        <v>3</v>
      </c>
      <c r="AK590">
        <v>1</v>
      </c>
      <c r="AL590">
        <v>127.77</v>
      </c>
      <c r="AO590" t="s">
        <v>5860</v>
      </c>
      <c r="AP590">
        <v>32900</v>
      </c>
      <c r="AV590">
        <v>8.65</v>
      </c>
      <c r="AW590" t="s">
        <v>199</v>
      </c>
      <c r="AX590" t="s">
        <v>62</v>
      </c>
    </row>
    <row r="591" spans="1:50">
      <c r="A591" s="1">
        <f>HYPERLINK("https://lsnyc.legalserver.org/matter/dynamic-profile/view/1907724","19-1907724")</f>
        <v>0</v>
      </c>
      <c r="B591" t="s">
        <v>138</v>
      </c>
      <c r="C591" t="s">
        <v>192</v>
      </c>
      <c r="D591" t="s">
        <v>246</v>
      </c>
      <c r="E591" t="s">
        <v>196</v>
      </c>
      <c r="F591" t="s">
        <v>848</v>
      </c>
      <c r="G591" t="s">
        <v>1407</v>
      </c>
      <c r="H591" t="s">
        <v>2384</v>
      </c>
      <c r="I591" t="s">
        <v>3011</v>
      </c>
      <c r="J591" t="s">
        <v>3147</v>
      </c>
      <c r="K591">
        <v>10458</v>
      </c>
      <c r="L591" t="s">
        <v>3185</v>
      </c>
      <c r="M591" t="s">
        <v>3189</v>
      </c>
      <c r="N591" t="s">
        <v>3186</v>
      </c>
      <c r="Q591" t="s">
        <v>3634</v>
      </c>
      <c r="R591" t="s">
        <v>3642</v>
      </c>
      <c r="T591" t="s">
        <v>3660</v>
      </c>
      <c r="U591" t="s">
        <v>3184</v>
      </c>
      <c r="W591" t="s">
        <v>3670</v>
      </c>
      <c r="Y591">
        <v>141</v>
      </c>
      <c r="Z591" t="s">
        <v>3690</v>
      </c>
      <c r="AA591" t="s">
        <v>3700</v>
      </c>
      <c r="AB591" t="s">
        <v>3712</v>
      </c>
      <c r="AC591" t="s">
        <v>4247</v>
      </c>
      <c r="AE591" t="s">
        <v>5355</v>
      </c>
      <c r="AF591">
        <v>49</v>
      </c>
      <c r="AG591" t="s">
        <v>5814</v>
      </c>
      <c r="AH591" t="s">
        <v>5827</v>
      </c>
      <c r="AI591">
        <v>10</v>
      </c>
      <c r="AJ591">
        <v>1</v>
      </c>
      <c r="AK591">
        <v>0</v>
      </c>
      <c r="AL591">
        <v>0</v>
      </c>
      <c r="AO591" t="s">
        <v>5843</v>
      </c>
      <c r="AP591">
        <v>0</v>
      </c>
      <c r="AV591">
        <v>0.25</v>
      </c>
      <c r="AW591" t="s">
        <v>196</v>
      </c>
      <c r="AX591" t="s">
        <v>6024</v>
      </c>
    </row>
    <row r="592" spans="1:50">
      <c r="A592" s="1">
        <f>HYPERLINK("https://lsnyc.legalserver.org/matter/dynamic-profile/view/1907720","19-1907720")</f>
        <v>0</v>
      </c>
      <c r="B592" t="s">
        <v>138</v>
      </c>
      <c r="C592" t="s">
        <v>192</v>
      </c>
      <c r="D592" t="s">
        <v>246</v>
      </c>
      <c r="E592" t="s">
        <v>196</v>
      </c>
      <c r="F592" t="s">
        <v>849</v>
      </c>
      <c r="G592" t="s">
        <v>1615</v>
      </c>
      <c r="H592" t="s">
        <v>2385</v>
      </c>
      <c r="I592" t="s">
        <v>3012</v>
      </c>
      <c r="J592" t="s">
        <v>3147</v>
      </c>
      <c r="K592">
        <v>10468</v>
      </c>
      <c r="L592" t="s">
        <v>3185</v>
      </c>
      <c r="M592" t="s">
        <v>3189</v>
      </c>
      <c r="N592" t="s">
        <v>3186</v>
      </c>
      <c r="Q592" t="s">
        <v>3634</v>
      </c>
      <c r="R592" t="s">
        <v>3642</v>
      </c>
      <c r="T592" t="s">
        <v>3660</v>
      </c>
      <c r="U592" t="s">
        <v>3184</v>
      </c>
      <c r="W592" t="s">
        <v>3670</v>
      </c>
      <c r="Y592">
        <v>1211.26</v>
      </c>
      <c r="Z592" t="s">
        <v>3690</v>
      </c>
      <c r="AA592" t="s">
        <v>3700</v>
      </c>
      <c r="AB592" t="s">
        <v>3712</v>
      </c>
      <c r="AC592" t="s">
        <v>4248</v>
      </c>
      <c r="AF592">
        <v>90</v>
      </c>
      <c r="AG592" t="s">
        <v>5813</v>
      </c>
      <c r="AH592" t="s">
        <v>3188</v>
      </c>
      <c r="AI592">
        <v>18</v>
      </c>
      <c r="AJ592">
        <v>2</v>
      </c>
      <c r="AK592">
        <v>0</v>
      </c>
      <c r="AL592">
        <v>46.13</v>
      </c>
      <c r="AO592" t="s">
        <v>5844</v>
      </c>
      <c r="AP592">
        <v>7800</v>
      </c>
      <c r="AV592">
        <v>0.5</v>
      </c>
      <c r="AW592" t="s">
        <v>196</v>
      </c>
      <c r="AX592" t="s">
        <v>6024</v>
      </c>
    </row>
    <row r="593" spans="1:50">
      <c r="A593" s="1">
        <f>HYPERLINK("https://lsnyc.legalserver.org/matter/dynamic-profile/view/1909153","19-1909153")</f>
        <v>0</v>
      </c>
      <c r="B593" t="s">
        <v>138</v>
      </c>
      <c r="C593" t="s">
        <v>192</v>
      </c>
      <c r="D593" t="s">
        <v>228</v>
      </c>
      <c r="E593" t="s">
        <v>196</v>
      </c>
      <c r="F593" t="s">
        <v>850</v>
      </c>
      <c r="G593" t="s">
        <v>1334</v>
      </c>
      <c r="H593" t="s">
        <v>2386</v>
      </c>
      <c r="I593" t="s">
        <v>3013</v>
      </c>
      <c r="J593" t="s">
        <v>3147</v>
      </c>
      <c r="K593">
        <v>10452</v>
      </c>
      <c r="L593" t="s">
        <v>3185</v>
      </c>
      <c r="M593" t="s">
        <v>3189</v>
      </c>
      <c r="N593" t="s">
        <v>3186</v>
      </c>
      <c r="Q593" t="s">
        <v>3634</v>
      </c>
      <c r="R593" t="s">
        <v>3642</v>
      </c>
      <c r="T593" t="s">
        <v>3660</v>
      </c>
      <c r="U593" t="s">
        <v>3184</v>
      </c>
      <c r="W593" t="s">
        <v>3670</v>
      </c>
      <c r="Y593">
        <v>684.47</v>
      </c>
      <c r="Z593" t="s">
        <v>3690</v>
      </c>
      <c r="AA593" t="s">
        <v>3700</v>
      </c>
      <c r="AB593" t="s">
        <v>3712</v>
      </c>
      <c r="AC593" t="s">
        <v>4249</v>
      </c>
      <c r="AE593" t="s">
        <v>5356</v>
      </c>
      <c r="AF593">
        <v>131</v>
      </c>
      <c r="AG593" t="s">
        <v>5813</v>
      </c>
      <c r="AH593" t="s">
        <v>5831</v>
      </c>
      <c r="AI593">
        <v>12</v>
      </c>
      <c r="AJ593">
        <v>1</v>
      </c>
      <c r="AK593">
        <v>0</v>
      </c>
      <c r="AL593">
        <v>57.65</v>
      </c>
      <c r="AO593" t="s">
        <v>5843</v>
      </c>
      <c r="AP593">
        <v>7200</v>
      </c>
      <c r="AV593">
        <v>0.75</v>
      </c>
      <c r="AW593" t="s">
        <v>196</v>
      </c>
      <c r="AX593" t="s">
        <v>78</v>
      </c>
    </row>
    <row r="594" spans="1:50">
      <c r="A594" s="1">
        <f>HYPERLINK("https://lsnyc.legalserver.org/matter/dynamic-profile/view/1907752","19-1907752")</f>
        <v>0</v>
      </c>
      <c r="B594" t="s">
        <v>138</v>
      </c>
      <c r="C594" t="s">
        <v>192</v>
      </c>
      <c r="D594" t="s">
        <v>225</v>
      </c>
      <c r="E594" t="s">
        <v>196</v>
      </c>
      <c r="F594" t="s">
        <v>851</v>
      </c>
      <c r="G594" t="s">
        <v>1475</v>
      </c>
      <c r="H594" t="s">
        <v>2387</v>
      </c>
      <c r="I594" t="s">
        <v>3014</v>
      </c>
      <c r="J594" t="s">
        <v>3147</v>
      </c>
      <c r="K594">
        <v>10456</v>
      </c>
      <c r="L594" t="s">
        <v>3185</v>
      </c>
      <c r="M594" t="s">
        <v>3189</v>
      </c>
      <c r="N594" t="s">
        <v>3186</v>
      </c>
      <c r="Q594" t="s">
        <v>3634</v>
      </c>
      <c r="R594" t="s">
        <v>3642</v>
      </c>
      <c r="T594" t="s">
        <v>3660</v>
      </c>
      <c r="U594" t="s">
        <v>3184</v>
      </c>
      <c r="W594" t="s">
        <v>3670</v>
      </c>
      <c r="Y594">
        <v>845</v>
      </c>
      <c r="Z594" t="s">
        <v>3690</v>
      </c>
      <c r="AA594" t="s">
        <v>3700</v>
      </c>
      <c r="AB594" t="s">
        <v>3712</v>
      </c>
      <c r="AC594" t="s">
        <v>4250</v>
      </c>
      <c r="AE594" t="s">
        <v>5357</v>
      </c>
      <c r="AF594">
        <v>112</v>
      </c>
      <c r="AG594" t="s">
        <v>5813</v>
      </c>
      <c r="AH594" t="s">
        <v>3188</v>
      </c>
      <c r="AI594">
        <v>6</v>
      </c>
      <c r="AJ594">
        <v>1</v>
      </c>
      <c r="AK594">
        <v>2</v>
      </c>
      <c r="AL594">
        <v>65.64</v>
      </c>
      <c r="AO594" t="s">
        <v>5843</v>
      </c>
      <c r="AP594">
        <v>14000</v>
      </c>
      <c r="AV594">
        <v>0.25</v>
      </c>
      <c r="AW594" t="s">
        <v>196</v>
      </c>
      <c r="AX594" t="s">
        <v>6024</v>
      </c>
    </row>
    <row r="595" spans="1:50">
      <c r="A595" s="1">
        <f>HYPERLINK("https://lsnyc.legalserver.org/matter/dynamic-profile/view/1909961","19-1909961")</f>
        <v>0</v>
      </c>
      <c r="B595" t="s">
        <v>138</v>
      </c>
      <c r="C595" t="s">
        <v>192</v>
      </c>
      <c r="D595" t="s">
        <v>211</v>
      </c>
      <c r="E595" t="s">
        <v>199</v>
      </c>
      <c r="F595" t="s">
        <v>852</v>
      </c>
      <c r="G595" t="s">
        <v>1616</v>
      </c>
      <c r="H595" t="s">
        <v>2388</v>
      </c>
      <c r="I595" t="s">
        <v>2860</v>
      </c>
      <c r="J595" t="s">
        <v>3147</v>
      </c>
      <c r="K595">
        <v>10452</v>
      </c>
      <c r="L595" t="s">
        <v>3185</v>
      </c>
      <c r="M595" t="s">
        <v>3189</v>
      </c>
      <c r="N595" t="s">
        <v>3186</v>
      </c>
      <c r="Q595" t="s">
        <v>3634</v>
      </c>
      <c r="R595" t="s">
        <v>3642</v>
      </c>
      <c r="T595" t="s">
        <v>3660</v>
      </c>
      <c r="U595" t="s">
        <v>3184</v>
      </c>
      <c r="W595" t="s">
        <v>3670</v>
      </c>
      <c r="Y595">
        <v>0</v>
      </c>
      <c r="Z595" t="s">
        <v>3690</v>
      </c>
      <c r="AA595" t="s">
        <v>3700</v>
      </c>
      <c r="AB595" t="s">
        <v>3712</v>
      </c>
      <c r="AC595" t="s">
        <v>4251</v>
      </c>
      <c r="AF595">
        <v>63</v>
      </c>
      <c r="AG595" t="s">
        <v>5813</v>
      </c>
      <c r="AH595" t="s">
        <v>5825</v>
      </c>
      <c r="AI595">
        <v>15</v>
      </c>
      <c r="AJ595">
        <v>2</v>
      </c>
      <c r="AK595">
        <v>0</v>
      </c>
      <c r="AL595">
        <v>66.70999999999999</v>
      </c>
      <c r="AO595" t="s">
        <v>5844</v>
      </c>
      <c r="AP595">
        <v>11280</v>
      </c>
      <c r="AV595">
        <v>0.25</v>
      </c>
      <c r="AW595" t="s">
        <v>252</v>
      </c>
      <c r="AX595" t="s">
        <v>83</v>
      </c>
    </row>
    <row r="596" spans="1:50">
      <c r="A596" s="1">
        <f>HYPERLINK("https://lsnyc.legalserver.org/matter/dynamic-profile/view/1909950","19-1909950")</f>
        <v>0</v>
      </c>
      <c r="B596" t="s">
        <v>138</v>
      </c>
      <c r="C596" t="s">
        <v>192</v>
      </c>
      <c r="D596" t="s">
        <v>211</v>
      </c>
      <c r="E596" t="s">
        <v>199</v>
      </c>
      <c r="F596" t="s">
        <v>853</v>
      </c>
      <c r="G596" t="s">
        <v>713</v>
      </c>
      <c r="H596" t="s">
        <v>2389</v>
      </c>
      <c r="I596" t="s">
        <v>2821</v>
      </c>
      <c r="J596" t="s">
        <v>3147</v>
      </c>
      <c r="K596">
        <v>10451</v>
      </c>
      <c r="L596" t="s">
        <v>3185</v>
      </c>
      <c r="M596" t="s">
        <v>3189</v>
      </c>
      <c r="N596" t="s">
        <v>3186</v>
      </c>
      <c r="Q596" t="s">
        <v>3634</v>
      </c>
      <c r="R596" t="s">
        <v>3642</v>
      </c>
      <c r="T596" t="s">
        <v>3660</v>
      </c>
      <c r="W596" t="s">
        <v>3670</v>
      </c>
      <c r="Y596">
        <v>1284.38</v>
      </c>
      <c r="Z596" t="s">
        <v>3690</v>
      </c>
      <c r="AA596" t="s">
        <v>3700</v>
      </c>
      <c r="AB596" t="s">
        <v>3712</v>
      </c>
      <c r="AC596" t="s">
        <v>4252</v>
      </c>
      <c r="AF596">
        <v>81</v>
      </c>
      <c r="AG596" t="s">
        <v>5813</v>
      </c>
      <c r="AH596" t="s">
        <v>5826</v>
      </c>
      <c r="AI596">
        <v>10</v>
      </c>
      <c r="AJ596">
        <v>1</v>
      </c>
      <c r="AK596">
        <v>0</v>
      </c>
      <c r="AL596">
        <v>105.68</v>
      </c>
      <c r="AP596">
        <v>13200</v>
      </c>
      <c r="AV596">
        <v>0.5</v>
      </c>
      <c r="AW596" t="s">
        <v>252</v>
      </c>
      <c r="AX596" t="s">
        <v>83</v>
      </c>
    </row>
    <row r="597" spans="1:50">
      <c r="A597" s="1">
        <f>HYPERLINK("https://lsnyc.legalserver.org/matter/dynamic-profile/view/1909955","19-1909955")</f>
        <v>0</v>
      </c>
      <c r="B597" t="s">
        <v>138</v>
      </c>
      <c r="C597" t="s">
        <v>192</v>
      </c>
      <c r="D597" t="s">
        <v>211</v>
      </c>
      <c r="E597" t="s">
        <v>199</v>
      </c>
      <c r="F597" t="s">
        <v>854</v>
      </c>
      <c r="G597" t="s">
        <v>1274</v>
      </c>
      <c r="H597" t="s">
        <v>2390</v>
      </c>
      <c r="I597" t="s">
        <v>2900</v>
      </c>
      <c r="J597" t="s">
        <v>3147</v>
      </c>
      <c r="K597">
        <v>10457</v>
      </c>
      <c r="L597" t="s">
        <v>3185</v>
      </c>
      <c r="M597" t="s">
        <v>3189</v>
      </c>
      <c r="N597" t="s">
        <v>3186</v>
      </c>
      <c r="Q597" t="s">
        <v>3634</v>
      </c>
      <c r="R597" t="s">
        <v>3642</v>
      </c>
      <c r="T597" t="s">
        <v>3660</v>
      </c>
      <c r="W597" t="s">
        <v>3670</v>
      </c>
      <c r="Y597">
        <v>964</v>
      </c>
      <c r="Z597" t="s">
        <v>3690</v>
      </c>
      <c r="AA597" t="s">
        <v>3700</v>
      </c>
      <c r="AB597" t="s">
        <v>3712</v>
      </c>
      <c r="AC597" t="s">
        <v>4253</v>
      </c>
      <c r="AE597" t="s">
        <v>5358</v>
      </c>
      <c r="AF597">
        <v>36</v>
      </c>
      <c r="AG597" t="s">
        <v>5813</v>
      </c>
      <c r="AH597" t="s">
        <v>3188</v>
      </c>
      <c r="AI597">
        <v>2</v>
      </c>
      <c r="AJ597">
        <v>2</v>
      </c>
      <c r="AK597">
        <v>0</v>
      </c>
      <c r="AL597">
        <v>206.98</v>
      </c>
      <c r="AO597" t="s">
        <v>5844</v>
      </c>
      <c r="AP597">
        <v>35000</v>
      </c>
      <c r="AV597">
        <v>0.1</v>
      </c>
      <c r="AW597" t="s">
        <v>199</v>
      </c>
      <c r="AX597" t="s">
        <v>83</v>
      </c>
    </row>
    <row r="598" spans="1:50">
      <c r="A598" s="1">
        <f>HYPERLINK("https://lsnyc.legalserver.org/matter/dynamic-profile/view/1907717","19-1907717")</f>
        <v>0</v>
      </c>
      <c r="B598" t="s">
        <v>138</v>
      </c>
      <c r="C598" t="s">
        <v>192</v>
      </c>
      <c r="D598" t="s">
        <v>246</v>
      </c>
      <c r="E598" t="s">
        <v>196</v>
      </c>
      <c r="F598" t="s">
        <v>855</v>
      </c>
      <c r="G598" t="s">
        <v>1577</v>
      </c>
      <c r="H598" t="s">
        <v>2391</v>
      </c>
      <c r="I598" t="s">
        <v>2814</v>
      </c>
      <c r="J598" t="s">
        <v>3147</v>
      </c>
      <c r="K598">
        <v>10457</v>
      </c>
      <c r="L598" t="s">
        <v>3185</v>
      </c>
      <c r="M598" t="s">
        <v>3188</v>
      </c>
      <c r="N598" t="s">
        <v>3186</v>
      </c>
      <c r="Q598" t="s">
        <v>3634</v>
      </c>
      <c r="R598" t="s">
        <v>3643</v>
      </c>
      <c r="T598" t="s">
        <v>3660</v>
      </c>
      <c r="U598" t="s">
        <v>3184</v>
      </c>
      <c r="W598" t="s">
        <v>3670</v>
      </c>
      <c r="Y598">
        <v>675</v>
      </c>
      <c r="Z598" t="s">
        <v>3690</v>
      </c>
      <c r="AA598" t="s">
        <v>3700</v>
      </c>
      <c r="AB598" t="s">
        <v>3716</v>
      </c>
      <c r="AC598" t="s">
        <v>4254</v>
      </c>
      <c r="AE598" t="s">
        <v>5359</v>
      </c>
      <c r="AF598">
        <v>60</v>
      </c>
      <c r="AG598" t="s">
        <v>3263</v>
      </c>
      <c r="AH598" t="s">
        <v>3188</v>
      </c>
      <c r="AI598">
        <v>8</v>
      </c>
      <c r="AJ598">
        <v>1</v>
      </c>
      <c r="AK598">
        <v>0</v>
      </c>
      <c r="AL598">
        <v>192.15</v>
      </c>
      <c r="AO598" t="s">
        <v>5844</v>
      </c>
      <c r="AP598">
        <v>24000</v>
      </c>
      <c r="AV598">
        <v>1.75</v>
      </c>
      <c r="AW598" t="s">
        <v>196</v>
      </c>
      <c r="AX598" t="s">
        <v>6024</v>
      </c>
    </row>
    <row r="599" spans="1:50">
      <c r="A599" s="1">
        <f>HYPERLINK("https://lsnyc.legalserver.org/matter/dynamic-profile/view/1890394","18-1890394")</f>
        <v>0</v>
      </c>
      <c r="B599" t="s">
        <v>138</v>
      </c>
      <c r="C599" t="s">
        <v>191</v>
      </c>
      <c r="D599" t="s">
        <v>339</v>
      </c>
      <c r="F599" t="s">
        <v>856</v>
      </c>
      <c r="G599" t="s">
        <v>1617</v>
      </c>
      <c r="H599" t="s">
        <v>2392</v>
      </c>
      <c r="I599" t="s">
        <v>2904</v>
      </c>
      <c r="J599" t="s">
        <v>3147</v>
      </c>
      <c r="K599">
        <v>10453</v>
      </c>
      <c r="L599" t="s">
        <v>3185</v>
      </c>
      <c r="N599" t="s">
        <v>3185</v>
      </c>
      <c r="P599" t="s">
        <v>3257</v>
      </c>
      <c r="Q599" t="s">
        <v>3635</v>
      </c>
      <c r="S599" t="s">
        <v>3659</v>
      </c>
      <c r="T599" t="s">
        <v>3660</v>
      </c>
      <c r="U599" t="s">
        <v>3185</v>
      </c>
      <c r="W599" t="s">
        <v>3670</v>
      </c>
      <c r="Y599">
        <v>187</v>
      </c>
      <c r="Z599" t="s">
        <v>3690</v>
      </c>
      <c r="AA599" t="s">
        <v>3700</v>
      </c>
      <c r="AC599" t="s">
        <v>4255</v>
      </c>
      <c r="AE599" t="s">
        <v>5360</v>
      </c>
      <c r="AF599">
        <v>44</v>
      </c>
      <c r="AG599" t="s">
        <v>5813</v>
      </c>
      <c r="AH599" t="s">
        <v>5827</v>
      </c>
      <c r="AI599">
        <v>25</v>
      </c>
      <c r="AJ599">
        <v>1</v>
      </c>
      <c r="AK599">
        <v>0</v>
      </c>
      <c r="AL599">
        <v>63.95</v>
      </c>
      <c r="AO599" t="s">
        <v>5844</v>
      </c>
      <c r="AP599">
        <v>7764</v>
      </c>
      <c r="AV599">
        <v>0</v>
      </c>
      <c r="AX599" t="s">
        <v>83</v>
      </c>
    </row>
    <row r="600" spans="1:50">
      <c r="A600" s="1">
        <f>HYPERLINK("https://lsnyc.legalserver.org/matter/dynamic-profile/view/1909991","19-1909991")</f>
        <v>0</v>
      </c>
      <c r="B600" t="s">
        <v>138</v>
      </c>
      <c r="C600" t="s">
        <v>191</v>
      </c>
      <c r="D600" t="s">
        <v>228</v>
      </c>
      <c r="F600" t="s">
        <v>565</v>
      </c>
      <c r="G600" t="s">
        <v>1470</v>
      </c>
      <c r="H600" t="s">
        <v>2393</v>
      </c>
      <c r="J600" t="s">
        <v>3147</v>
      </c>
      <c r="K600">
        <v>10451</v>
      </c>
      <c r="L600" t="s">
        <v>3185</v>
      </c>
      <c r="M600" t="s">
        <v>3189</v>
      </c>
      <c r="N600" t="s">
        <v>3186</v>
      </c>
      <c r="Q600" t="s">
        <v>3634</v>
      </c>
      <c r="T600" t="s">
        <v>3660</v>
      </c>
      <c r="W600" t="s">
        <v>3670</v>
      </c>
      <c r="Y600">
        <v>0</v>
      </c>
      <c r="Z600" t="s">
        <v>3690</v>
      </c>
      <c r="AA600" t="s">
        <v>3700</v>
      </c>
      <c r="AC600" t="s">
        <v>4256</v>
      </c>
      <c r="AE600" t="s">
        <v>5361</v>
      </c>
      <c r="AF600">
        <v>0</v>
      </c>
      <c r="AG600" t="s">
        <v>3263</v>
      </c>
      <c r="AH600" t="s">
        <v>3188</v>
      </c>
      <c r="AI600">
        <v>2</v>
      </c>
      <c r="AJ600">
        <v>2</v>
      </c>
      <c r="AK600">
        <v>0</v>
      </c>
      <c r="AL600">
        <v>25.43</v>
      </c>
      <c r="AO600" t="s">
        <v>5843</v>
      </c>
      <c r="AP600">
        <v>4300</v>
      </c>
      <c r="AV600">
        <v>0</v>
      </c>
      <c r="AX600" t="s">
        <v>83</v>
      </c>
    </row>
    <row r="601" spans="1:50">
      <c r="A601" s="1">
        <f>HYPERLINK("https://lsnyc.legalserver.org/matter/dynamic-profile/view/1907400","19-1907400")</f>
        <v>0</v>
      </c>
      <c r="B601" t="s">
        <v>138</v>
      </c>
      <c r="C601" t="s">
        <v>191</v>
      </c>
      <c r="D601" t="s">
        <v>227</v>
      </c>
      <c r="F601" t="s">
        <v>857</v>
      </c>
      <c r="G601" t="s">
        <v>1618</v>
      </c>
      <c r="H601" t="s">
        <v>2394</v>
      </c>
      <c r="I601" t="s">
        <v>2843</v>
      </c>
      <c r="J601" t="s">
        <v>3147</v>
      </c>
      <c r="K601">
        <v>10454</v>
      </c>
      <c r="L601" t="s">
        <v>3185</v>
      </c>
      <c r="M601" t="s">
        <v>3189</v>
      </c>
      <c r="N601" t="s">
        <v>3186</v>
      </c>
      <c r="Q601" t="s">
        <v>3638</v>
      </c>
      <c r="T601" t="s">
        <v>3660</v>
      </c>
      <c r="U601" t="s">
        <v>3184</v>
      </c>
      <c r="W601" t="s">
        <v>3670</v>
      </c>
      <c r="X601" t="s">
        <v>3681</v>
      </c>
      <c r="Y601">
        <v>970.58</v>
      </c>
      <c r="Z601" t="s">
        <v>3690</v>
      </c>
      <c r="AA601" t="s">
        <v>3700</v>
      </c>
      <c r="AC601" t="s">
        <v>4257</v>
      </c>
      <c r="AE601" t="s">
        <v>5362</v>
      </c>
      <c r="AF601">
        <v>419</v>
      </c>
      <c r="AG601" t="s">
        <v>5813</v>
      </c>
      <c r="AH601" t="s">
        <v>5831</v>
      </c>
      <c r="AI601">
        <v>6</v>
      </c>
      <c r="AJ601">
        <v>1</v>
      </c>
      <c r="AK601">
        <v>0</v>
      </c>
      <c r="AL601">
        <v>48.04</v>
      </c>
      <c r="AO601" t="s">
        <v>5843</v>
      </c>
      <c r="AP601">
        <v>6000</v>
      </c>
      <c r="AV601">
        <v>0.5</v>
      </c>
      <c r="AW601" t="s">
        <v>228</v>
      </c>
      <c r="AX601" t="s">
        <v>83</v>
      </c>
    </row>
    <row r="602" spans="1:50">
      <c r="A602" s="1">
        <f>HYPERLINK("https://lsnyc.legalserver.org/matter/dynamic-profile/view/1907083","19-1907083")</f>
        <v>0</v>
      </c>
      <c r="B602" t="s">
        <v>138</v>
      </c>
      <c r="C602" t="s">
        <v>191</v>
      </c>
      <c r="D602" t="s">
        <v>281</v>
      </c>
      <c r="F602" t="s">
        <v>650</v>
      </c>
      <c r="G602" t="s">
        <v>1619</v>
      </c>
      <c r="H602" t="s">
        <v>2143</v>
      </c>
      <c r="I602">
        <v>2</v>
      </c>
      <c r="J602" t="s">
        <v>3147</v>
      </c>
      <c r="K602">
        <v>10473</v>
      </c>
      <c r="L602" t="s">
        <v>3185</v>
      </c>
      <c r="M602" t="s">
        <v>3189</v>
      </c>
      <c r="N602" t="s">
        <v>3186</v>
      </c>
      <c r="P602" t="s">
        <v>3613</v>
      </c>
      <c r="Q602" t="s">
        <v>3638</v>
      </c>
      <c r="T602" t="s">
        <v>3660</v>
      </c>
      <c r="U602" t="s">
        <v>3184</v>
      </c>
      <c r="W602" t="s">
        <v>3670</v>
      </c>
      <c r="X602" t="s">
        <v>3681</v>
      </c>
      <c r="Y602">
        <v>0</v>
      </c>
      <c r="Z602" t="s">
        <v>3690</v>
      </c>
      <c r="AA602" t="s">
        <v>3700</v>
      </c>
      <c r="AC602" t="s">
        <v>3963</v>
      </c>
      <c r="AF602">
        <v>0</v>
      </c>
      <c r="AG602" t="s">
        <v>3263</v>
      </c>
      <c r="AH602" t="s">
        <v>5828</v>
      </c>
      <c r="AI602">
        <v>2</v>
      </c>
      <c r="AJ602">
        <v>1</v>
      </c>
      <c r="AK602">
        <v>0</v>
      </c>
      <c r="AL602">
        <v>76.86</v>
      </c>
      <c r="AO602" t="s">
        <v>5843</v>
      </c>
      <c r="AP602">
        <v>9600</v>
      </c>
      <c r="AV602">
        <v>14.8</v>
      </c>
      <c r="AW602" t="s">
        <v>196</v>
      </c>
      <c r="AX602" t="s">
        <v>83</v>
      </c>
    </row>
    <row r="603" spans="1:50">
      <c r="A603" s="1">
        <f>HYPERLINK("https://lsnyc.legalserver.org/matter/dynamic-profile/view/1907058","19-1907058")</f>
        <v>0</v>
      </c>
      <c r="B603" t="s">
        <v>138</v>
      </c>
      <c r="C603" t="s">
        <v>191</v>
      </c>
      <c r="D603" t="s">
        <v>277</v>
      </c>
      <c r="F603" t="s">
        <v>650</v>
      </c>
      <c r="G603" t="s">
        <v>1619</v>
      </c>
      <c r="H603" t="s">
        <v>2143</v>
      </c>
      <c r="I603">
        <v>2</v>
      </c>
      <c r="J603" t="s">
        <v>3147</v>
      </c>
      <c r="K603">
        <v>10473</v>
      </c>
      <c r="L603" t="s">
        <v>3185</v>
      </c>
      <c r="M603" t="s">
        <v>3189</v>
      </c>
      <c r="N603" t="s">
        <v>3186</v>
      </c>
      <c r="P603" t="s">
        <v>3612</v>
      </c>
      <c r="Q603" t="s">
        <v>3638</v>
      </c>
      <c r="T603" t="s">
        <v>3660</v>
      </c>
      <c r="U603" t="s">
        <v>3184</v>
      </c>
      <c r="W603" t="s">
        <v>3670</v>
      </c>
      <c r="Y603">
        <v>0</v>
      </c>
      <c r="Z603" t="s">
        <v>3690</v>
      </c>
      <c r="AA603" t="s">
        <v>3700</v>
      </c>
      <c r="AC603" t="s">
        <v>3963</v>
      </c>
      <c r="AF603">
        <v>3</v>
      </c>
      <c r="AG603" t="s">
        <v>3263</v>
      </c>
      <c r="AH603" t="s">
        <v>5828</v>
      </c>
      <c r="AI603">
        <v>2</v>
      </c>
      <c r="AJ603">
        <v>1</v>
      </c>
      <c r="AK603">
        <v>0</v>
      </c>
      <c r="AL603">
        <v>76.86</v>
      </c>
      <c r="AO603" t="s">
        <v>5843</v>
      </c>
      <c r="AP603">
        <v>9600</v>
      </c>
      <c r="AV603">
        <v>4.5</v>
      </c>
      <c r="AW603" t="s">
        <v>269</v>
      </c>
      <c r="AX603" t="s">
        <v>83</v>
      </c>
    </row>
    <row r="604" spans="1:50">
      <c r="A604" s="1">
        <f>HYPERLINK("https://lsnyc.legalserver.org/matter/dynamic-profile/view/1909957","19-1909957")</f>
        <v>0</v>
      </c>
      <c r="B604" t="s">
        <v>138</v>
      </c>
      <c r="C604" t="s">
        <v>191</v>
      </c>
      <c r="D604" t="s">
        <v>228</v>
      </c>
      <c r="F604" t="s">
        <v>605</v>
      </c>
      <c r="G604" t="s">
        <v>1620</v>
      </c>
      <c r="H604" t="s">
        <v>2395</v>
      </c>
      <c r="I604">
        <v>7</v>
      </c>
      <c r="J604" t="s">
        <v>3147</v>
      </c>
      <c r="K604">
        <v>10454</v>
      </c>
      <c r="L604" t="s">
        <v>3185</v>
      </c>
      <c r="M604" t="s">
        <v>3189</v>
      </c>
      <c r="N604" t="s">
        <v>3186</v>
      </c>
      <c r="Q604" t="s">
        <v>3634</v>
      </c>
      <c r="T604" t="s">
        <v>3660</v>
      </c>
      <c r="U604" t="s">
        <v>3184</v>
      </c>
      <c r="W604" t="s">
        <v>3670</v>
      </c>
      <c r="Y604">
        <v>500</v>
      </c>
      <c r="Z604" t="s">
        <v>3690</v>
      </c>
      <c r="AA604" t="s">
        <v>3700</v>
      </c>
      <c r="AC604" t="s">
        <v>4258</v>
      </c>
      <c r="AE604" t="s">
        <v>5363</v>
      </c>
      <c r="AF604">
        <v>1</v>
      </c>
      <c r="AG604" t="s">
        <v>5824</v>
      </c>
      <c r="AH604" t="s">
        <v>3188</v>
      </c>
      <c r="AI604">
        <v>14</v>
      </c>
      <c r="AJ604">
        <v>1</v>
      </c>
      <c r="AK604">
        <v>0</v>
      </c>
      <c r="AL604">
        <v>99.34</v>
      </c>
      <c r="AO604" t="s">
        <v>5843</v>
      </c>
      <c r="AP604">
        <v>12408</v>
      </c>
      <c r="AV604">
        <v>1.25</v>
      </c>
      <c r="AW604" t="s">
        <v>199</v>
      </c>
      <c r="AX604" t="s">
        <v>83</v>
      </c>
    </row>
    <row r="605" spans="1:50">
      <c r="A605" s="1">
        <f>HYPERLINK("https://lsnyc.legalserver.org/matter/dynamic-profile/view/1909953","19-1909953")</f>
        <v>0</v>
      </c>
      <c r="B605" t="s">
        <v>138</v>
      </c>
      <c r="C605" t="s">
        <v>191</v>
      </c>
      <c r="D605" t="s">
        <v>211</v>
      </c>
      <c r="F605" t="s">
        <v>515</v>
      </c>
      <c r="G605" t="s">
        <v>1621</v>
      </c>
      <c r="H605" t="s">
        <v>2396</v>
      </c>
      <c r="I605" t="s">
        <v>2897</v>
      </c>
      <c r="J605" t="s">
        <v>3147</v>
      </c>
      <c r="K605">
        <v>10453</v>
      </c>
      <c r="L605" t="s">
        <v>3185</v>
      </c>
      <c r="N605" t="s">
        <v>3186</v>
      </c>
      <c r="Q605" t="s">
        <v>3634</v>
      </c>
      <c r="T605" t="s">
        <v>3660</v>
      </c>
      <c r="U605" t="s">
        <v>3184</v>
      </c>
      <c r="W605" t="s">
        <v>3670</v>
      </c>
      <c r="Y605">
        <v>0</v>
      </c>
      <c r="Z605" t="s">
        <v>3690</v>
      </c>
      <c r="AA605" t="s">
        <v>3700</v>
      </c>
      <c r="AC605" t="s">
        <v>4259</v>
      </c>
      <c r="AE605" t="s">
        <v>5364</v>
      </c>
      <c r="AF605">
        <v>101</v>
      </c>
      <c r="AH605" t="s">
        <v>3188</v>
      </c>
      <c r="AI605">
        <v>11</v>
      </c>
      <c r="AJ605">
        <v>1</v>
      </c>
      <c r="AK605">
        <v>0</v>
      </c>
      <c r="AL605">
        <v>101.59</v>
      </c>
      <c r="AO605" t="s">
        <v>5843</v>
      </c>
      <c r="AP605">
        <v>12688</v>
      </c>
      <c r="AV605">
        <v>0</v>
      </c>
      <c r="AX605" t="s">
        <v>83</v>
      </c>
    </row>
    <row r="606" spans="1:50">
      <c r="A606" s="1">
        <f>HYPERLINK("https://lsnyc.legalserver.org/matter/dynamic-profile/view/1906746","19-1906746")</f>
        <v>0</v>
      </c>
      <c r="B606" t="s">
        <v>138</v>
      </c>
      <c r="C606" t="s">
        <v>191</v>
      </c>
      <c r="D606" t="s">
        <v>290</v>
      </c>
      <c r="F606" t="s">
        <v>858</v>
      </c>
      <c r="G606" t="s">
        <v>1622</v>
      </c>
      <c r="H606" t="s">
        <v>2013</v>
      </c>
      <c r="I606" t="s">
        <v>2820</v>
      </c>
      <c r="J606" t="s">
        <v>3147</v>
      </c>
      <c r="K606">
        <v>10452</v>
      </c>
      <c r="L606" t="s">
        <v>3185</v>
      </c>
      <c r="N606" t="s">
        <v>3186</v>
      </c>
      <c r="T606" t="s">
        <v>3660</v>
      </c>
      <c r="W606" t="s">
        <v>3670</v>
      </c>
      <c r="Y606">
        <v>1063</v>
      </c>
      <c r="Z606" t="s">
        <v>3690</v>
      </c>
      <c r="AA606" t="s">
        <v>3704</v>
      </c>
      <c r="AC606" t="s">
        <v>4260</v>
      </c>
      <c r="AE606" t="s">
        <v>5365</v>
      </c>
      <c r="AF606">
        <v>65</v>
      </c>
      <c r="AG606" t="s">
        <v>3263</v>
      </c>
      <c r="AH606" t="s">
        <v>5827</v>
      </c>
      <c r="AI606">
        <v>18</v>
      </c>
      <c r="AJ606">
        <v>3</v>
      </c>
      <c r="AK606">
        <v>0</v>
      </c>
      <c r="AL606">
        <v>0</v>
      </c>
      <c r="AO606" t="s">
        <v>5844</v>
      </c>
      <c r="AP606">
        <v>0</v>
      </c>
      <c r="AV606">
        <v>0</v>
      </c>
      <c r="AX606" t="s">
        <v>78</v>
      </c>
    </row>
    <row r="607" spans="1:50">
      <c r="A607" s="1">
        <f>HYPERLINK("https://lsnyc.legalserver.org/matter/dynamic-profile/view/1906780","19-1906780")</f>
        <v>0</v>
      </c>
      <c r="B607" t="s">
        <v>138</v>
      </c>
      <c r="C607" t="s">
        <v>191</v>
      </c>
      <c r="D607" t="s">
        <v>226</v>
      </c>
      <c r="F607" t="s">
        <v>440</v>
      </c>
      <c r="G607" t="s">
        <v>1340</v>
      </c>
      <c r="H607" t="s">
        <v>2013</v>
      </c>
      <c r="I607" t="s">
        <v>2896</v>
      </c>
      <c r="J607" t="s">
        <v>3147</v>
      </c>
      <c r="K607">
        <v>10452</v>
      </c>
      <c r="L607" t="s">
        <v>3185</v>
      </c>
      <c r="N607" t="s">
        <v>3186</v>
      </c>
      <c r="T607" t="s">
        <v>3660</v>
      </c>
      <c r="U607" t="s">
        <v>3185</v>
      </c>
      <c r="W607" t="s">
        <v>3670</v>
      </c>
      <c r="Y607">
        <v>1724.69</v>
      </c>
      <c r="Z607" t="s">
        <v>3690</v>
      </c>
      <c r="AA607" t="s">
        <v>3704</v>
      </c>
      <c r="AC607" t="s">
        <v>4261</v>
      </c>
      <c r="AE607" t="s">
        <v>5366</v>
      </c>
      <c r="AF607">
        <v>65</v>
      </c>
      <c r="AG607" t="s">
        <v>5813</v>
      </c>
      <c r="AH607" t="s">
        <v>3188</v>
      </c>
      <c r="AI607">
        <v>25</v>
      </c>
      <c r="AJ607">
        <v>3</v>
      </c>
      <c r="AK607">
        <v>0</v>
      </c>
      <c r="AL607">
        <v>59.07</v>
      </c>
      <c r="AO607" t="s">
        <v>5844</v>
      </c>
      <c r="AP607">
        <v>12600</v>
      </c>
      <c r="AV607">
        <v>0</v>
      </c>
      <c r="AX607" t="s">
        <v>78</v>
      </c>
    </row>
    <row r="608" spans="1:50">
      <c r="A608" s="1">
        <f>HYPERLINK("https://lsnyc.legalserver.org/matter/dynamic-profile/view/1906591","19-1906591")</f>
        <v>0</v>
      </c>
      <c r="B608" t="s">
        <v>138</v>
      </c>
      <c r="C608" t="s">
        <v>191</v>
      </c>
      <c r="D608" t="s">
        <v>277</v>
      </c>
      <c r="F608" t="s">
        <v>859</v>
      </c>
      <c r="G608" t="s">
        <v>1512</v>
      </c>
      <c r="H608" t="s">
        <v>2013</v>
      </c>
      <c r="I608" t="s">
        <v>2904</v>
      </c>
      <c r="J608" t="s">
        <v>3147</v>
      </c>
      <c r="K608">
        <v>10452</v>
      </c>
      <c r="L608" t="s">
        <v>3185</v>
      </c>
      <c r="N608" t="s">
        <v>3186</v>
      </c>
      <c r="T608" t="s">
        <v>3660</v>
      </c>
      <c r="U608" t="s">
        <v>3185</v>
      </c>
      <c r="W608" t="s">
        <v>3670</v>
      </c>
      <c r="Y608">
        <v>1260</v>
      </c>
      <c r="Z608" t="s">
        <v>3690</v>
      </c>
      <c r="AA608" t="s">
        <v>3704</v>
      </c>
      <c r="AC608" t="s">
        <v>4262</v>
      </c>
      <c r="AE608" t="s">
        <v>5367</v>
      </c>
      <c r="AF608">
        <v>65</v>
      </c>
      <c r="AG608" t="s">
        <v>5813</v>
      </c>
      <c r="AH608" t="s">
        <v>5825</v>
      </c>
      <c r="AI608">
        <v>44</v>
      </c>
      <c r="AJ608">
        <v>1</v>
      </c>
      <c r="AK608">
        <v>0</v>
      </c>
      <c r="AL608">
        <v>67.25</v>
      </c>
      <c r="AO608" t="s">
        <v>5844</v>
      </c>
      <c r="AP608">
        <v>8400</v>
      </c>
      <c r="AV608">
        <v>16.65</v>
      </c>
      <c r="AW608" t="s">
        <v>199</v>
      </c>
      <c r="AX608" t="s">
        <v>78</v>
      </c>
    </row>
    <row r="609" spans="1:50">
      <c r="A609" s="1">
        <f>HYPERLINK("https://lsnyc.legalserver.org/matter/dynamic-profile/view/1906891","19-1906891")</f>
        <v>0</v>
      </c>
      <c r="B609" t="s">
        <v>138</v>
      </c>
      <c r="C609" t="s">
        <v>191</v>
      </c>
      <c r="D609" t="s">
        <v>226</v>
      </c>
      <c r="F609" t="s">
        <v>860</v>
      </c>
      <c r="G609" t="s">
        <v>1623</v>
      </c>
      <c r="H609" t="s">
        <v>2013</v>
      </c>
      <c r="I609" t="s">
        <v>2900</v>
      </c>
      <c r="J609" t="s">
        <v>3147</v>
      </c>
      <c r="K609">
        <v>10452</v>
      </c>
      <c r="L609" t="s">
        <v>3185</v>
      </c>
      <c r="N609" t="s">
        <v>3186</v>
      </c>
      <c r="T609" t="s">
        <v>3660</v>
      </c>
      <c r="U609" t="s">
        <v>3185</v>
      </c>
      <c r="W609" t="s">
        <v>3670</v>
      </c>
      <c r="Y609">
        <v>0</v>
      </c>
      <c r="Z609" t="s">
        <v>3690</v>
      </c>
      <c r="AA609" t="s">
        <v>3696</v>
      </c>
      <c r="AC609" t="s">
        <v>4263</v>
      </c>
      <c r="AE609" t="s">
        <v>5368</v>
      </c>
      <c r="AF609">
        <v>65</v>
      </c>
      <c r="AG609" t="s">
        <v>3263</v>
      </c>
      <c r="AH609" t="s">
        <v>5827</v>
      </c>
      <c r="AI609">
        <v>18</v>
      </c>
      <c r="AJ609">
        <v>1</v>
      </c>
      <c r="AK609">
        <v>0</v>
      </c>
      <c r="AL609">
        <v>67.25</v>
      </c>
      <c r="AO609" t="s">
        <v>5844</v>
      </c>
      <c r="AP609">
        <v>8400</v>
      </c>
      <c r="AV609">
        <v>0</v>
      </c>
      <c r="AX609" t="s">
        <v>78</v>
      </c>
    </row>
    <row r="610" spans="1:50">
      <c r="A610" s="1">
        <f>HYPERLINK("https://lsnyc.legalserver.org/matter/dynamic-profile/view/1906941","19-1906941")</f>
        <v>0</v>
      </c>
      <c r="B610" t="s">
        <v>138</v>
      </c>
      <c r="C610" t="s">
        <v>191</v>
      </c>
      <c r="D610" t="s">
        <v>226</v>
      </c>
      <c r="F610" t="s">
        <v>861</v>
      </c>
      <c r="G610" t="s">
        <v>1624</v>
      </c>
      <c r="H610" t="s">
        <v>2013</v>
      </c>
      <c r="I610" t="s">
        <v>2908</v>
      </c>
      <c r="J610" t="s">
        <v>3147</v>
      </c>
      <c r="K610">
        <v>10452</v>
      </c>
      <c r="L610" t="s">
        <v>3185</v>
      </c>
      <c r="N610" t="s">
        <v>3186</v>
      </c>
      <c r="T610" t="s">
        <v>3660</v>
      </c>
      <c r="U610" t="s">
        <v>3185</v>
      </c>
      <c r="W610" t="s">
        <v>3670</v>
      </c>
      <c r="Y610">
        <v>1659</v>
      </c>
      <c r="Z610" t="s">
        <v>3690</v>
      </c>
      <c r="AA610" t="s">
        <v>3704</v>
      </c>
      <c r="AC610" t="s">
        <v>4264</v>
      </c>
      <c r="AE610" t="s">
        <v>5369</v>
      </c>
      <c r="AF610">
        <v>65</v>
      </c>
      <c r="AG610" t="s">
        <v>3263</v>
      </c>
      <c r="AH610" t="s">
        <v>5827</v>
      </c>
      <c r="AI610">
        <v>19</v>
      </c>
      <c r="AJ610">
        <v>1</v>
      </c>
      <c r="AK610">
        <v>0</v>
      </c>
      <c r="AL610">
        <v>72.92</v>
      </c>
      <c r="AO610" t="s">
        <v>5844</v>
      </c>
      <c r="AP610">
        <v>9108</v>
      </c>
      <c r="AV610">
        <v>0</v>
      </c>
      <c r="AX610" t="s">
        <v>78</v>
      </c>
    </row>
    <row r="611" spans="1:50">
      <c r="A611" s="1">
        <f>HYPERLINK("https://lsnyc.legalserver.org/matter/dynamic-profile/view/1906928","19-1906928")</f>
        <v>0</v>
      </c>
      <c r="B611" t="s">
        <v>138</v>
      </c>
      <c r="C611" t="s">
        <v>191</v>
      </c>
      <c r="D611" t="s">
        <v>226</v>
      </c>
      <c r="F611" t="s">
        <v>862</v>
      </c>
      <c r="G611" t="s">
        <v>1625</v>
      </c>
      <c r="H611" t="s">
        <v>2013</v>
      </c>
      <c r="I611" t="s">
        <v>2901</v>
      </c>
      <c r="J611" t="s">
        <v>3147</v>
      </c>
      <c r="K611">
        <v>10452</v>
      </c>
      <c r="L611" t="s">
        <v>3185</v>
      </c>
      <c r="N611" t="s">
        <v>3186</v>
      </c>
      <c r="T611" t="s">
        <v>3660</v>
      </c>
      <c r="U611" t="s">
        <v>3185</v>
      </c>
      <c r="W611" t="s">
        <v>3670</v>
      </c>
      <c r="Y611">
        <v>0</v>
      </c>
      <c r="Z611" t="s">
        <v>3690</v>
      </c>
      <c r="AA611" t="s">
        <v>3704</v>
      </c>
      <c r="AC611" t="s">
        <v>4265</v>
      </c>
      <c r="AE611" t="s">
        <v>5370</v>
      </c>
      <c r="AF611">
        <v>65</v>
      </c>
      <c r="AG611" t="s">
        <v>3263</v>
      </c>
      <c r="AH611" t="s">
        <v>5827</v>
      </c>
      <c r="AI611">
        <v>20</v>
      </c>
      <c r="AJ611">
        <v>1</v>
      </c>
      <c r="AK611">
        <v>0</v>
      </c>
      <c r="AL611">
        <v>77.34</v>
      </c>
      <c r="AO611" t="s">
        <v>5844</v>
      </c>
      <c r="AP611">
        <v>9660</v>
      </c>
      <c r="AV611">
        <v>0</v>
      </c>
      <c r="AX611" t="s">
        <v>78</v>
      </c>
    </row>
    <row r="612" spans="1:50">
      <c r="A612" s="1">
        <f>HYPERLINK("https://lsnyc.legalserver.org/matter/dynamic-profile/view/1906755","19-1906755")</f>
        <v>0</v>
      </c>
      <c r="B612" t="s">
        <v>138</v>
      </c>
      <c r="C612" t="s">
        <v>191</v>
      </c>
      <c r="D612" t="s">
        <v>290</v>
      </c>
      <c r="F612" t="s">
        <v>634</v>
      </c>
      <c r="G612" t="s">
        <v>1626</v>
      </c>
      <c r="H612" t="s">
        <v>2013</v>
      </c>
      <c r="I612" t="s">
        <v>2903</v>
      </c>
      <c r="J612" t="s">
        <v>3147</v>
      </c>
      <c r="K612">
        <v>10452</v>
      </c>
      <c r="L612" t="s">
        <v>3185</v>
      </c>
      <c r="N612" t="s">
        <v>3186</v>
      </c>
      <c r="T612" t="s">
        <v>3660</v>
      </c>
      <c r="U612" t="s">
        <v>3185</v>
      </c>
      <c r="W612" t="s">
        <v>3670</v>
      </c>
      <c r="Y612">
        <v>450</v>
      </c>
      <c r="Z612" t="s">
        <v>3690</v>
      </c>
      <c r="AA612" t="s">
        <v>3704</v>
      </c>
      <c r="AC612" t="s">
        <v>4266</v>
      </c>
      <c r="AE612" t="s">
        <v>5371</v>
      </c>
      <c r="AF612">
        <v>65</v>
      </c>
      <c r="AG612" t="s">
        <v>5813</v>
      </c>
      <c r="AH612" t="s">
        <v>5827</v>
      </c>
      <c r="AI612">
        <v>28</v>
      </c>
      <c r="AJ612">
        <v>1</v>
      </c>
      <c r="AK612">
        <v>0</v>
      </c>
      <c r="AL612">
        <v>78.20999999999999</v>
      </c>
      <c r="AO612" t="s">
        <v>5844</v>
      </c>
      <c r="AP612">
        <v>9768</v>
      </c>
      <c r="AV612">
        <v>0</v>
      </c>
      <c r="AX612" t="s">
        <v>78</v>
      </c>
    </row>
    <row r="613" spans="1:50">
      <c r="A613" s="1">
        <f>HYPERLINK("https://lsnyc.legalserver.org/matter/dynamic-profile/view/1907341","19-1907341")</f>
        <v>0</v>
      </c>
      <c r="B613" t="s">
        <v>138</v>
      </c>
      <c r="C613" t="s">
        <v>191</v>
      </c>
      <c r="D613" t="s">
        <v>253</v>
      </c>
      <c r="F613" t="s">
        <v>863</v>
      </c>
      <c r="G613" t="s">
        <v>1627</v>
      </c>
      <c r="H613" t="s">
        <v>2397</v>
      </c>
      <c r="I613">
        <v>1205</v>
      </c>
      <c r="J613" t="s">
        <v>3147</v>
      </c>
      <c r="K613">
        <v>10456</v>
      </c>
      <c r="L613" t="s">
        <v>3185</v>
      </c>
      <c r="N613" t="s">
        <v>3186</v>
      </c>
      <c r="T613" t="s">
        <v>3660</v>
      </c>
      <c r="U613" t="s">
        <v>3184</v>
      </c>
      <c r="W613" t="s">
        <v>3670</v>
      </c>
      <c r="Y613">
        <v>257.4</v>
      </c>
      <c r="Z613" t="s">
        <v>3690</v>
      </c>
      <c r="AA613" t="s">
        <v>3632</v>
      </c>
      <c r="AC613" t="s">
        <v>4267</v>
      </c>
      <c r="AE613" t="s">
        <v>5372</v>
      </c>
      <c r="AF613">
        <v>154</v>
      </c>
      <c r="AG613" t="s">
        <v>3263</v>
      </c>
      <c r="AH613" t="s">
        <v>5828</v>
      </c>
      <c r="AI613">
        <v>-1</v>
      </c>
      <c r="AJ613">
        <v>1</v>
      </c>
      <c r="AK613">
        <v>0</v>
      </c>
      <c r="AL613">
        <v>82.43000000000001</v>
      </c>
      <c r="AO613" t="s">
        <v>5843</v>
      </c>
      <c r="AP613">
        <v>10296</v>
      </c>
      <c r="AV613">
        <v>5</v>
      </c>
      <c r="AW613" t="s">
        <v>228</v>
      </c>
      <c r="AX613" t="s">
        <v>78</v>
      </c>
    </row>
    <row r="614" spans="1:50">
      <c r="A614" s="1">
        <f>HYPERLINK("https://lsnyc.legalserver.org/matter/dynamic-profile/view/1908894","19-1908894")</f>
        <v>0</v>
      </c>
      <c r="B614" t="s">
        <v>138</v>
      </c>
      <c r="C614" t="s">
        <v>191</v>
      </c>
      <c r="D614" t="s">
        <v>211</v>
      </c>
      <c r="F614" t="s">
        <v>864</v>
      </c>
      <c r="G614" t="s">
        <v>1203</v>
      </c>
      <c r="H614" t="s">
        <v>2398</v>
      </c>
      <c r="I614">
        <v>26</v>
      </c>
      <c r="J614" t="s">
        <v>3147</v>
      </c>
      <c r="K614">
        <v>10458</v>
      </c>
      <c r="L614" t="s">
        <v>3185</v>
      </c>
      <c r="N614" t="s">
        <v>3186</v>
      </c>
      <c r="T614" t="s">
        <v>3660</v>
      </c>
      <c r="U614" t="s">
        <v>3184</v>
      </c>
      <c r="W614" t="s">
        <v>3670</v>
      </c>
      <c r="Y614">
        <v>986.4</v>
      </c>
      <c r="Z614" t="s">
        <v>3690</v>
      </c>
      <c r="AA614" t="s">
        <v>3700</v>
      </c>
      <c r="AC614" t="s">
        <v>4268</v>
      </c>
      <c r="AD614" t="s">
        <v>4821</v>
      </c>
      <c r="AE614" t="s">
        <v>5373</v>
      </c>
      <c r="AF614">
        <v>30</v>
      </c>
      <c r="AG614" t="s">
        <v>5813</v>
      </c>
      <c r="AH614" t="s">
        <v>5828</v>
      </c>
      <c r="AI614">
        <v>5</v>
      </c>
      <c r="AJ614">
        <v>1</v>
      </c>
      <c r="AK614">
        <v>0</v>
      </c>
      <c r="AL614">
        <v>99.92</v>
      </c>
      <c r="AO614" t="s">
        <v>5844</v>
      </c>
      <c r="AP614">
        <v>12480</v>
      </c>
      <c r="AV614">
        <v>0</v>
      </c>
      <c r="AX614" t="s">
        <v>78</v>
      </c>
    </row>
    <row r="615" spans="1:50">
      <c r="A615" s="1">
        <f>HYPERLINK("https://lsnyc.legalserver.org/matter/dynamic-profile/view/1906955","19-1906955")</f>
        <v>0</v>
      </c>
      <c r="B615" t="s">
        <v>138</v>
      </c>
      <c r="C615" t="s">
        <v>191</v>
      </c>
      <c r="D615" t="s">
        <v>226</v>
      </c>
      <c r="F615" t="s">
        <v>865</v>
      </c>
      <c r="G615" t="s">
        <v>1628</v>
      </c>
      <c r="H615" t="s">
        <v>2013</v>
      </c>
      <c r="I615" t="s">
        <v>2926</v>
      </c>
      <c r="J615" t="s">
        <v>3147</v>
      </c>
      <c r="K615">
        <v>10452</v>
      </c>
      <c r="L615" t="s">
        <v>3185</v>
      </c>
      <c r="N615" t="s">
        <v>3186</v>
      </c>
      <c r="T615" t="s">
        <v>3660</v>
      </c>
      <c r="U615" t="s">
        <v>3185</v>
      </c>
      <c r="W615" t="s">
        <v>3670</v>
      </c>
      <c r="Y615">
        <v>979.97</v>
      </c>
      <c r="Z615" t="s">
        <v>3690</v>
      </c>
      <c r="AA615" t="s">
        <v>3704</v>
      </c>
      <c r="AC615" t="s">
        <v>4269</v>
      </c>
      <c r="AE615" t="s">
        <v>5374</v>
      </c>
      <c r="AF615">
        <v>65</v>
      </c>
      <c r="AG615" t="s">
        <v>5813</v>
      </c>
      <c r="AH615" t="s">
        <v>3188</v>
      </c>
      <c r="AI615">
        <v>45</v>
      </c>
      <c r="AJ615">
        <v>1</v>
      </c>
      <c r="AK615">
        <v>0</v>
      </c>
      <c r="AL615">
        <v>164.68</v>
      </c>
      <c r="AO615" t="s">
        <v>5843</v>
      </c>
      <c r="AP615">
        <v>20569.08</v>
      </c>
      <c r="AV615">
        <v>0</v>
      </c>
      <c r="AX615" t="s">
        <v>78</v>
      </c>
    </row>
    <row r="616" spans="1:50">
      <c r="A616" s="1">
        <f>HYPERLINK("https://lsnyc.legalserver.org/matter/dynamic-profile/view/1906998","19-1906998")</f>
        <v>0</v>
      </c>
      <c r="B616" t="s">
        <v>138</v>
      </c>
      <c r="C616" t="s">
        <v>191</v>
      </c>
      <c r="D616" t="s">
        <v>281</v>
      </c>
      <c r="F616" t="s">
        <v>866</v>
      </c>
      <c r="G616" t="s">
        <v>1629</v>
      </c>
      <c r="H616" t="s">
        <v>2013</v>
      </c>
      <c r="I616" t="s">
        <v>2902</v>
      </c>
      <c r="J616" t="s">
        <v>3147</v>
      </c>
      <c r="K616">
        <v>10452</v>
      </c>
      <c r="L616" t="s">
        <v>3185</v>
      </c>
      <c r="N616" t="s">
        <v>3186</v>
      </c>
      <c r="T616" t="s">
        <v>3660</v>
      </c>
      <c r="U616" t="s">
        <v>3185</v>
      </c>
      <c r="W616" t="s">
        <v>3670</v>
      </c>
      <c r="Y616">
        <v>794.86</v>
      </c>
      <c r="Z616" t="s">
        <v>3690</v>
      </c>
      <c r="AA616" t="s">
        <v>3704</v>
      </c>
      <c r="AC616" t="s">
        <v>4270</v>
      </c>
      <c r="AE616" t="s">
        <v>5375</v>
      </c>
      <c r="AF616">
        <v>65</v>
      </c>
      <c r="AG616" t="s">
        <v>5813</v>
      </c>
      <c r="AH616" t="s">
        <v>3188</v>
      </c>
      <c r="AI616">
        <v>30</v>
      </c>
      <c r="AJ616">
        <v>1</v>
      </c>
      <c r="AK616">
        <v>0</v>
      </c>
      <c r="AL616">
        <v>208.17</v>
      </c>
      <c r="AO616" t="s">
        <v>5843</v>
      </c>
      <c r="AP616">
        <v>26000</v>
      </c>
      <c r="AV616">
        <v>0</v>
      </c>
      <c r="AX616" t="s">
        <v>78</v>
      </c>
    </row>
    <row r="617" spans="1:50">
      <c r="A617" s="1">
        <f>HYPERLINK("https://lsnyc.legalserver.org/matter/dynamic-profile/view/1906660","19-1906660")</f>
        <v>0</v>
      </c>
      <c r="B617" t="s">
        <v>138</v>
      </c>
      <c r="C617" t="s">
        <v>191</v>
      </c>
      <c r="D617" t="s">
        <v>277</v>
      </c>
      <c r="F617" t="s">
        <v>867</v>
      </c>
      <c r="G617" t="s">
        <v>1630</v>
      </c>
      <c r="H617" t="s">
        <v>2013</v>
      </c>
      <c r="I617" t="s">
        <v>2906</v>
      </c>
      <c r="J617" t="s">
        <v>3147</v>
      </c>
      <c r="K617">
        <v>10452</v>
      </c>
      <c r="L617" t="s">
        <v>3185</v>
      </c>
      <c r="N617" t="s">
        <v>3186</v>
      </c>
      <c r="T617" t="s">
        <v>3660</v>
      </c>
      <c r="U617" t="s">
        <v>3185</v>
      </c>
      <c r="W617" t="s">
        <v>3670</v>
      </c>
      <c r="Y617">
        <v>15</v>
      </c>
      <c r="Z617" t="s">
        <v>3690</v>
      </c>
      <c r="AA617" t="s">
        <v>3704</v>
      </c>
      <c r="AC617" t="s">
        <v>4271</v>
      </c>
      <c r="AE617" t="s">
        <v>5376</v>
      </c>
      <c r="AF617">
        <v>65</v>
      </c>
      <c r="AG617" t="s">
        <v>5813</v>
      </c>
      <c r="AH617" t="s">
        <v>3188</v>
      </c>
      <c r="AI617">
        <v>15</v>
      </c>
      <c r="AJ617">
        <v>2</v>
      </c>
      <c r="AK617">
        <v>0</v>
      </c>
      <c r="AL617">
        <v>354.82</v>
      </c>
      <c r="AO617" t="s">
        <v>5843</v>
      </c>
      <c r="AP617">
        <v>60000</v>
      </c>
      <c r="AV617">
        <v>9</v>
      </c>
      <c r="AW617" t="s">
        <v>280</v>
      </c>
      <c r="AX617" t="s">
        <v>78</v>
      </c>
    </row>
    <row r="618" spans="1:50">
      <c r="A618" s="1">
        <f>HYPERLINK("https://lsnyc.legalserver.org/matter/dynamic-profile/view/1904772","19-1904772")</f>
        <v>0</v>
      </c>
      <c r="B618" t="s">
        <v>72</v>
      </c>
      <c r="C618" t="s">
        <v>192</v>
      </c>
      <c r="D618" t="s">
        <v>245</v>
      </c>
      <c r="E618" t="s">
        <v>286</v>
      </c>
      <c r="F618" t="s">
        <v>855</v>
      </c>
      <c r="G618" t="s">
        <v>1631</v>
      </c>
      <c r="H618" t="s">
        <v>2399</v>
      </c>
      <c r="I618" t="s">
        <v>2822</v>
      </c>
      <c r="J618" t="s">
        <v>3147</v>
      </c>
      <c r="K618">
        <v>10460</v>
      </c>
      <c r="L618" t="s">
        <v>3185</v>
      </c>
      <c r="M618" t="s">
        <v>3189</v>
      </c>
      <c r="N618" t="s">
        <v>3186</v>
      </c>
      <c r="Q618" t="s">
        <v>3634</v>
      </c>
      <c r="R618" t="s">
        <v>3642</v>
      </c>
      <c r="T618" t="s">
        <v>3660</v>
      </c>
      <c r="U618" t="s">
        <v>3184</v>
      </c>
      <c r="W618" t="s">
        <v>3670</v>
      </c>
      <c r="Y618">
        <v>208</v>
      </c>
      <c r="Z618" t="s">
        <v>3690</v>
      </c>
      <c r="AA618" t="s">
        <v>3700</v>
      </c>
      <c r="AB618" t="s">
        <v>3712</v>
      </c>
      <c r="AC618" t="s">
        <v>4272</v>
      </c>
      <c r="AE618" t="s">
        <v>5377</v>
      </c>
      <c r="AF618">
        <v>35</v>
      </c>
      <c r="AG618" t="s">
        <v>3263</v>
      </c>
      <c r="AH618" t="s">
        <v>3188</v>
      </c>
      <c r="AI618">
        <v>10</v>
      </c>
      <c r="AJ618">
        <v>1</v>
      </c>
      <c r="AK618">
        <v>0</v>
      </c>
      <c r="AL618">
        <v>85.22</v>
      </c>
      <c r="AO618" t="s">
        <v>5844</v>
      </c>
      <c r="AP618">
        <v>10644</v>
      </c>
      <c r="AV618">
        <v>1.9</v>
      </c>
      <c r="AW618" t="s">
        <v>195</v>
      </c>
      <c r="AX618" t="s">
        <v>6024</v>
      </c>
    </row>
    <row r="619" spans="1:50">
      <c r="A619" s="1">
        <f>HYPERLINK("https://lsnyc.legalserver.org/matter/dynamic-profile/view/1904812","19-1904812")</f>
        <v>0</v>
      </c>
      <c r="B619" t="s">
        <v>72</v>
      </c>
      <c r="C619" t="s">
        <v>192</v>
      </c>
      <c r="D619" t="s">
        <v>245</v>
      </c>
      <c r="E619" t="s">
        <v>195</v>
      </c>
      <c r="F619" t="s">
        <v>868</v>
      </c>
      <c r="G619" t="s">
        <v>1632</v>
      </c>
      <c r="H619" t="s">
        <v>2400</v>
      </c>
      <c r="I619">
        <v>602</v>
      </c>
      <c r="J619" t="s">
        <v>3147</v>
      </c>
      <c r="K619">
        <v>10452</v>
      </c>
      <c r="L619" t="s">
        <v>3185</v>
      </c>
      <c r="M619" t="s">
        <v>3189</v>
      </c>
      <c r="N619" t="s">
        <v>3186</v>
      </c>
      <c r="P619" t="s">
        <v>3615</v>
      </c>
      <c r="Q619" t="s">
        <v>3634</v>
      </c>
      <c r="R619" t="s">
        <v>3642</v>
      </c>
      <c r="T619" t="s">
        <v>3660</v>
      </c>
      <c r="U619" t="s">
        <v>3184</v>
      </c>
      <c r="W619" t="s">
        <v>3670</v>
      </c>
      <c r="Y619">
        <v>557</v>
      </c>
      <c r="Z619" t="s">
        <v>3690</v>
      </c>
      <c r="AA619" t="s">
        <v>3700</v>
      </c>
      <c r="AB619" t="s">
        <v>3712</v>
      </c>
      <c r="AC619" t="s">
        <v>4273</v>
      </c>
      <c r="AE619" t="s">
        <v>5378</v>
      </c>
      <c r="AF619">
        <v>82</v>
      </c>
      <c r="AG619" t="s">
        <v>3263</v>
      </c>
      <c r="AH619" t="s">
        <v>3188</v>
      </c>
      <c r="AI619">
        <v>5</v>
      </c>
      <c r="AJ619">
        <v>2</v>
      </c>
      <c r="AK619">
        <v>2</v>
      </c>
      <c r="AL619">
        <v>100.97</v>
      </c>
      <c r="AP619">
        <v>26000</v>
      </c>
      <c r="AV619">
        <v>1.5</v>
      </c>
      <c r="AW619" t="s">
        <v>233</v>
      </c>
      <c r="AX619" t="s">
        <v>6024</v>
      </c>
    </row>
    <row r="620" spans="1:50">
      <c r="A620" s="1">
        <f>HYPERLINK("https://lsnyc.legalserver.org/matter/dynamic-profile/view/1903259","19-1903259")</f>
        <v>0</v>
      </c>
      <c r="B620" t="s">
        <v>72</v>
      </c>
      <c r="C620" t="s">
        <v>191</v>
      </c>
      <c r="D620" t="s">
        <v>340</v>
      </c>
      <c r="F620" t="s">
        <v>869</v>
      </c>
      <c r="G620" t="s">
        <v>1341</v>
      </c>
      <c r="H620" t="s">
        <v>2401</v>
      </c>
      <c r="I620" t="s">
        <v>2829</v>
      </c>
      <c r="J620" t="s">
        <v>3147</v>
      </c>
      <c r="K620">
        <v>10462</v>
      </c>
      <c r="L620" t="s">
        <v>3185</v>
      </c>
      <c r="M620" t="s">
        <v>3190</v>
      </c>
      <c r="N620" t="s">
        <v>3186</v>
      </c>
      <c r="O620" t="s">
        <v>3420</v>
      </c>
      <c r="P620" t="s">
        <v>3610</v>
      </c>
      <c r="Q620" t="s">
        <v>3637</v>
      </c>
      <c r="T620" t="s">
        <v>3661</v>
      </c>
      <c r="U620" t="s">
        <v>3184</v>
      </c>
      <c r="W620" t="s">
        <v>3670</v>
      </c>
      <c r="X620" t="s">
        <v>3681</v>
      </c>
      <c r="Y620">
        <v>1700</v>
      </c>
      <c r="Z620" t="s">
        <v>3690</v>
      </c>
      <c r="AA620" t="s">
        <v>3706</v>
      </c>
      <c r="AC620" t="s">
        <v>4274</v>
      </c>
      <c r="AD620" t="s">
        <v>4822</v>
      </c>
      <c r="AE620" t="s">
        <v>5379</v>
      </c>
      <c r="AF620">
        <v>4</v>
      </c>
      <c r="AG620" t="s">
        <v>3263</v>
      </c>
      <c r="AH620" t="s">
        <v>3188</v>
      </c>
      <c r="AI620">
        <v>3</v>
      </c>
      <c r="AJ620">
        <v>1</v>
      </c>
      <c r="AK620">
        <v>1</v>
      </c>
      <c r="AL620">
        <v>0</v>
      </c>
      <c r="AM620" t="s">
        <v>5835</v>
      </c>
      <c r="AN620" t="s">
        <v>5840</v>
      </c>
      <c r="AO620" t="s">
        <v>5844</v>
      </c>
      <c r="AP620">
        <v>0</v>
      </c>
      <c r="AV620">
        <v>1.1</v>
      </c>
      <c r="AW620" t="s">
        <v>340</v>
      </c>
      <c r="AX620" t="s">
        <v>78</v>
      </c>
    </row>
    <row r="621" spans="1:50">
      <c r="A621" s="1">
        <f>HYPERLINK("https://lsnyc.legalserver.org/matter/dynamic-profile/view/1905892","19-1905892")</f>
        <v>0</v>
      </c>
      <c r="B621" t="s">
        <v>72</v>
      </c>
      <c r="C621" t="s">
        <v>191</v>
      </c>
      <c r="D621" t="s">
        <v>265</v>
      </c>
      <c r="F621" t="s">
        <v>455</v>
      </c>
      <c r="G621" t="s">
        <v>1633</v>
      </c>
      <c r="H621" t="s">
        <v>2402</v>
      </c>
      <c r="I621" t="s">
        <v>2829</v>
      </c>
      <c r="J621" t="s">
        <v>3147</v>
      </c>
      <c r="K621">
        <v>10452</v>
      </c>
      <c r="L621" t="s">
        <v>3185</v>
      </c>
      <c r="M621" t="s">
        <v>3189</v>
      </c>
      <c r="N621" t="s">
        <v>3186</v>
      </c>
      <c r="Q621" t="s">
        <v>3634</v>
      </c>
      <c r="T621" t="s">
        <v>3660</v>
      </c>
      <c r="U621" t="s">
        <v>3184</v>
      </c>
      <c r="W621" t="s">
        <v>3670</v>
      </c>
      <c r="Y621">
        <v>1557</v>
      </c>
      <c r="Z621" t="s">
        <v>3690</v>
      </c>
      <c r="AA621" t="s">
        <v>3696</v>
      </c>
      <c r="AC621" t="s">
        <v>4275</v>
      </c>
      <c r="AE621" t="s">
        <v>5380</v>
      </c>
      <c r="AF621">
        <v>18</v>
      </c>
      <c r="AG621" t="s">
        <v>5820</v>
      </c>
      <c r="AH621" t="s">
        <v>5827</v>
      </c>
      <c r="AI621">
        <v>10</v>
      </c>
      <c r="AJ621">
        <v>1</v>
      </c>
      <c r="AK621">
        <v>0</v>
      </c>
      <c r="AL621">
        <v>23.83</v>
      </c>
      <c r="AO621" t="s">
        <v>5843</v>
      </c>
      <c r="AP621">
        <v>2976</v>
      </c>
      <c r="AV621">
        <v>0</v>
      </c>
      <c r="AX621" t="s">
        <v>6024</v>
      </c>
    </row>
    <row r="622" spans="1:50">
      <c r="A622" s="1">
        <f>HYPERLINK("https://lsnyc.legalserver.org/matter/dynamic-profile/view/1868237","18-1868237")</f>
        <v>0</v>
      </c>
      <c r="B622" t="s">
        <v>131</v>
      </c>
      <c r="C622" t="s">
        <v>191</v>
      </c>
      <c r="D622" t="s">
        <v>341</v>
      </c>
      <c r="F622" t="s">
        <v>463</v>
      </c>
      <c r="G622" t="s">
        <v>1634</v>
      </c>
      <c r="H622" t="s">
        <v>2403</v>
      </c>
      <c r="I622">
        <v>14</v>
      </c>
      <c r="J622" t="s">
        <v>3148</v>
      </c>
      <c r="K622">
        <v>11215</v>
      </c>
      <c r="L622" t="s">
        <v>3186</v>
      </c>
      <c r="N622" t="s">
        <v>3186</v>
      </c>
      <c r="T622" t="s">
        <v>3660</v>
      </c>
      <c r="W622" t="s">
        <v>3672</v>
      </c>
      <c r="Y622">
        <v>0</v>
      </c>
      <c r="Z622" t="s">
        <v>3691</v>
      </c>
      <c r="AC622" t="s">
        <v>4105</v>
      </c>
      <c r="AE622" t="s">
        <v>5381</v>
      </c>
      <c r="AF622">
        <v>0</v>
      </c>
      <c r="AI622">
        <v>0</v>
      </c>
      <c r="AJ622">
        <v>3</v>
      </c>
      <c r="AK622">
        <v>0</v>
      </c>
      <c r="AL622">
        <v>0</v>
      </c>
      <c r="AO622" t="s">
        <v>5843</v>
      </c>
      <c r="AP622">
        <v>0</v>
      </c>
      <c r="AV622">
        <v>7.1</v>
      </c>
      <c r="AW622" t="s">
        <v>254</v>
      </c>
      <c r="AX622" t="s">
        <v>131</v>
      </c>
    </row>
    <row r="623" spans="1:50">
      <c r="A623" s="1">
        <f>HYPERLINK("https://lsnyc.legalserver.org/matter/dynamic-profile/view/1899700","19-1899700")</f>
        <v>0</v>
      </c>
      <c r="B623" t="s">
        <v>131</v>
      </c>
      <c r="C623" t="s">
        <v>191</v>
      </c>
      <c r="D623" t="s">
        <v>342</v>
      </c>
      <c r="F623" t="s">
        <v>771</v>
      </c>
      <c r="G623" t="s">
        <v>1635</v>
      </c>
      <c r="H623" t="s">
        <v>2404</v>
      </c>
      <c r="I623" t="s">
        <v>2838</v>
      </c>
      <c r="J623" t="s">
        <v>3148</v>
      </c>
      <c r="K623">
        <v>11206</v>
      </c>
      <c r="L623" t="s">
        <v>3186</v>
      </c>
      <c r="N623" t="s">
        <v>3186</v>
      </c>
      <c r="T623" t="s">
        <v>3660</v>
      </c>
      <c r="W623" t="s">
        <v>3672</v>
      </c>
      <c r="Y623">
        <v>0</v>
      </c>
      <c r="Z623" t="s">
        <v>3691</v>
      </c>
      <c r="AC623" t="s">
        <v>4276</v>
      </c>
      <c r="AF623">
        <v>0</v>
      </c>
      <c r="AI623">
        <v>0</v>
      </c>
      <c r="AJ623">
        <v>1</v>
      </c>
      <c r="AK623">
        <v>2</v>
      </c>
      <c r="AL623">
        <v>0</v>
      </c>
      <c r="AO623" t="s">
        <v>5843</v>
      </c>
      <c r="AP623">
        <v>0</v>
      </c>
      <c r="AV623">
        <v>5.3</v>
      </c>
      <c r="AW623" t="s">
        <v>254</v>
      </c>
      <c r="AX623" t="s">
        <v>131</v>
      </c>
    </row>
    <row r="624" spans="1:50">
      <c r="A624" s="1">
        <f>HYPERLINK("https://lsnyc.legalserver.org/matter/dynamic-profile/view/1905286","19-1905286")</f>
        <v>0</v>
      </c>
      <c r="B624" t="s">
        <v>131</v>
      </c>
      <c r="C624" t="s">
        <v>191</v>
      </c>
      <c r="D624" t="s">
        <v>254</v>
      </c>
      <c r="F624" t="s">
        <v>481</v>
      </c>
      <c r="G624" t="s">
        <v>1636</v>
      </c>
      <c r="H624" t="s">
        <v>2405</v>
      </c>
      <c r="I624">
        <v>4</v>
      </c>
      <c r="J624" t="s">
        <v>3148</v>
      </c>
      <c r="K624">
        <v>11206</v>
      </c>
      <c r="L624" t="s">
        <v>3186</v>
      </c>
      <c r="N624" t="s">
        <v>3186</v>
      </c>
      <c r="T624" t="s">
        <v>3660</v>
      </c>
      <c r="W624" t="s">
        <v>3670</v>
      </c>
      <c r="Y624">
        <v>0</v>
      </c>
      <c r="Z624" t="s">
        <v>3691</v>
      </c>
      <c r="AC624" t="s">
        <v>4277</v>
      </c>
      <c r="AE624" t="s">
        <v>5382</v>
      </c>
      <c r="AF624">
        <v>0</v>
      </c>
      <c r="AI624">
        <v>0</v>
      </c>
      <c r="AJ624">
        <v>2</v>
      </c>
      <c r="AK624">
        <v>0</v>
      </c>
      <c r="AL624">
        <v>0</v>
      </c>
      <c r="AO624" t="s">
        <v>5843</v>
      </c>
      <c r="AP624">
        <v>0</v>
      </c>
      <c r="AV624">
        <v>0.9</v>
      </c>
      <c r="AW624" t="s">
        <v>203</v>
      </c>
      <c r="AX624" t="s">
        <v>131</v>
      </c>
    </row>
    <row r="625" spans="1:50">
      <c r="A625" s="1">
        <f>HYPERLINK("https://lsnyc.legalserver.org/matter/dynamic-profile/view/1905894","19-1905894")</f>
        <v>0</v>
      </c>
      <c r="B625" t="s">
        <v>72</v>
      </c>
      <c r="C625" t="s">
        <v>191</v>
      </c>
      <c r="D625" t="s">
        <v>265</v>
      </c>
      <c r="F625" t="s">
        <v>870</v>
      </c>
      <c r="G625" t="s">
        <v>1637</v>
      </c>
      <c r="H625" t="s">
        <v>2406</v>
      </c>
      <c r="I625" t="s">
        <v>2860</v>
      </c>
      <c r="J625" t="s">
        <v>3147</v>
      </c>
      <c r="K625">
        <v>10456</v>
      </c>
      <c r="L625" t="s">
        <v>3185</v>
      </c>
      <c r="M625" t="s">
        <v>3189</v>
      </c>
      <c r="N625" t="s">
        <v>3186</v>
      </c>
      <c r="Q625" t="s">
        <v>3634</v>
      </c>
      <c r="T625" t="s">
        <v>3660</v>
      </c>
      <c r="U625" t="s">
        <v>3184</v>
      </c>
      <c r="W625" t="s">
        <v>3670</v>
      </c>
      <c r="Y625">
        <v>1511.88</v>
      </c>
      <c r="Z625" t="s">
        <v>3690</v>
      </c>
      <c r="AA625" t="s">
        <v>3700</v>
      </c>
      <c r="AC625" t="s">
        <v>4278</v>
      </c>
      <c r="AE625" t="s">
        <v>5383</v>
      </c>
      <c r="AF625">
        <v>30</v>
      </c>
      <c r="AG625" t="s">
        <v>5813</v>
      </c>
      <c r="AH625" t="s">
        <v>3188</v>
      </c>
      <c r="AI625">
        <v>5</v>
      </c>
      <c r="AJ625">
        <v>1</v>
      </c>
      <c r="AK625">
        <v>1</v>
      </c>
      <c r="AL625">
        <v>76.88</v>
      </c>
      <c r="AO625" t="s">
        <v>5843</v>
      </c>
      <c r="AP625">
        <v>13000</v>
      </c>
      <c r="AV625">
        <v>0</v>
      </c>
      <c r="AX625" t="s">
        <v>6024</v>
      </c>
    </row>
    <row r="626" spans="1:50">
      <c r="A626" s="1">
        <f>HYPERLINK("https://lsnyc.legalserver.org/matter/dynamic-profile/view/1909847","19-1909847")</f>
        <v>0</v>
      </c>
      <c r="B626" t="s">
        <v>72</v>
      </c>
      <c r="C626" t="s">
        <v>191</v>
      </c>
      <c r="D626" t="s">
        <v>275</v>
      </c>
      <c r="F626" t="s">
        <v>871</v>
      </c>
      <c r="G626" t="s">
        <v>1637</v>
      </c>
      <c r="H626" t="s">
        <v>2407</v>
      </c>
      <c r="I626" t="s">
        <v>3015</v>
      </c>
      <c r="J626" t="s">
        <v>3147</v>
      </c>
      <c r="K626">
        <v>10452</v>
      </c>
      <c r="L626" t="s">
        <v>3185</v>
      </c>
      <c r="N626" t="s">
        <v>3186</v>
      </c>
      <c r="O626" t="s">
        <v>3421</v>
      </c>
      <c r="P626" t="s">
        <v>3627</v>
      </c>
      <c r="Q626" t="s">
        <v>3639</v>
      </c>
      <c r="T626" t="s">
        <v>3660</v>
      </c>
      <c r="U626" t="s">
        <v>3185</v>
      </c>
      <c r="W626" t="s">
        <v>3670</v>
      </c>
      <c r="Y626">
        <v>0</v>
      </c>
      <c r="Z626" t="s">
        <v>3690</v>
      </c>
      <c r="AA626" t="s">
        <v>3697</v>
      </c>
      <c r="AC626" t="s">
        <v>4279</v>
      </c>
      <c r="AF626">
        <v>70</v>
      </c>
      <c r="AG626" t="s">
        <v>5813</v>
      </c>
      <c r="AI626">
        <v>0</v>
      </c>
      <c r="AJ626">
        <v>3</v>
      </c>
      <c r="AK626">
        <v>0</v>
      </c>
      <c r="AL626">
        <v>84.39</v>
      </c>
      <c r="AO626" t="s">
        <v>3263</v>
      </c>
      <c r="AP626">
        <v>18000</v>
      </c>
      <c r="AV626">
        <v>2.8</v>
      </c>
      <c r="AW626" t="s">
        <v>197</v>
      </c>
      <c r="AX626" t="s">
        <v>72</v>
      </c>
    </row>
    <row r="627" spans="1:50">
      <c r="A627" s="1">
        <f>HYPERLINK("https://lsnyc.legalserver.org/matter/dynamic-profile/view/1869943","18-1869943")</f>
        <v>0</v>
      </c>
      <c r="B627" t="s">
        <v>131</v>
      </c>
      <c r="C627" t="s">
        <v>191</v>
      </c>
      <c r="D627" t="s">
        <v>343</v>
      </c>
      <c r="F627" t="s">
        <v>872</v>
      </c>
      <c r="G627" t="s">
        <v>1285</v>
      </c>
      <c r="H627" t="s">
        <v>2408</v>
      </c>
      <c r="I627" t="s">
        <v>2838</v>
      </c>
      <c r="J627" t="s">
        <v>3148</v>
      </c>
      <c r="K627">
        <v>11216</v>
      </c>
      <c r="L627" t="s">
        <v>3186</v>
      </c>
      <c r="N627" t="s">
        <v>3186</v>
      </c>
      <c r="T627" t="s">
        <v>3660</v>
      </c>
      <c r="W627" t="s">
        <v>3672</v>
      </c>
      <c r="Y627">
        <v>0</v>
      </c>
      <c r="Z627" t="s">
        <v>3691</v>
      </c>
      <c r="AC627" t="s">
        <v>4280</v>
      </c>
      <c r="AF627">
        <v>0</v>
      </c>
      <c r="AI627">
        <v>0</v>
      </c>
      <c r="AJ627">
        <v>2</v>
      </c>
      <c r="AK627">
        <v>0</v>
      </c>
      <c r="AL627">
        <v>54.68</v>
      </c>
      <c r="AO627" t="s">
        <v>5844</v>
      </c>
      <c r="AP627">
        <v>9000</v>
      </c>
      <c r="AV627">
        <v>1.7</v>
      </c>
      <c r="AW627" t="s">
        <v>5988</v>
      </c>
      <c r="AX627" t="s">
        <v>131</v>
      </c>
    </row>
    <row r="628" spans="1:50">
      <c r="A628" s="1">
        <f>HYPERLINK("https://lsnyc.legalserver.org/matter/dynamic-profile/view/1905901","19-1905901")</f>
        <v>0</v>
      </c>
      <c r="B628" t="s">
        <v>72</v>
      </c>
      <c r="C628" t="s">
        <v>191</v>
      </c>
      <c r="D628" t="s">
        <v>265</v>
      </c>
      <c r="F628" t="s">
        <v>873</v>
      </c>
      <c r="G628" t="s">
        <v>1638</v>
      </c>
      <c r="H628" t="s">
        <v>2409</v>
      </c>
      <c r="I628">
        <v>2</v>
      </c>
      <c r="J628" t="s">
        <v>3147</v>
      </c>
      <c r="K628">
        <v>10456</v>
      </c>
      <c r="L628" t="s">
        <v>3185</v>
      </c>
      <c r="M628" t="s">
        <v>3189</v>
      </c>
      <c r="N628" t="s">
        <v>3186</v>
      </c>
      <c r="Q628" t="s">
        <v>3634</v>
      </c>
      <c r="T628" t="s">
        <v>3660</v>
      </c>
      <c r="U628" t="s">
        <v>3184</v>
      </c>
      <c r="W628" t="s">
        <v>3670</v>
      </c>
      <c r="Y628">
        <v>1800.2</v>
      </c>
      <c r="Z628" t="s">
        <v>3690</v>
      </c>
      <c r="AA628" t="s">
        <v>3700</v>
      </c>
      <c r="AC628" t="s">
        <v>4281</v>
      </c>
      <c r="AF628">
        <v>6</v>
      </c>
      <c r="AG628" t="s">
        <v>5813</v>
      </c>
      <c r="AH628" t="s">
        <v>5828</v>
      </c>
      <c r="AI628">
        <v>1</v>
      </c>
      <c r="AJ628">
        <v>2</v>
      </c>
      <c r="AK628">
        <v>1</v>
      </c>
      <c r="AL628">
        <v>180.23</v>
      </c>
      <c r="AO628" t="s">
        <v>5843</v>
      </c>
      <c r="AP628">
        <v>38444</v>
      </c>
      <c r="AV628">
        <v>0</v>
      </c>
      <c r="AX628" t="s">
        <v>6024</v>
      </c>
    </row>
    <row r="629" spans="1:50">
      <c r="A629" s="1">
        <f>HYPERLINK("https://lsnyc.legalserver.org/matter/dynamic-profile/view/1904774","19-1904774")</f>
        <v>0</v>
      </c>
      <c r="B629" t="s">
        <v>72</v>
      </c>
      <c r="C629" t="s">
        <v>191</v>
      </c>
      <c r="D629" t="s">
        <v>245</v>
      </c>
      <c r="F629" t="s">
        <v>874</v>
      </c>
      <c r="G629" t="s">
        <v>1639</v>
      </c>
      <c r="H629" t="s">
        <v>2410</v>
      </c>
      <c r="I629" t="s">
        <v>2908</v>
      </c>
      <c r="J629" t="s">
        <v>3147</v>
      </c>
      <c r="K629">
        <v>10456</v>
      </c>
      <c r="L629" t="s">
        <v>3185</v>
      </c>
      <c r="M629" t="s">
        <v>3189</v>
      </c>
      <c r="N629" t="s">
        <v>3186</v>
      </c>
      <c r="Q629" t="s">
        <v>3634</v>
      </c>
      <c r="T629" t="s">
        <v>3660</v>
      </c>
      <c r="U629" t="s">
        <v>3184</v>
      </c>
      <c r="W629" t="s">
        <v>3670</v>
      </c>
      <c r="Y629">
        <v>982.92</v>
      </c>
      <c r="Z629" t="s">
        <v>3690</v>
      </c>
      <c r="AA629" t="s">
        <v>3700</v>
      </c>
      <c r="AC629" t="s">
        <v>4282</v>
      </c>
      <c r="AE629" t="s">
        <v>5384</v>
      </c>
      <c r="AF629">
        <v>56</v>
      </c>
      <c r="AH629" t="s">
        <v>3188</v>
      </c>
      <c r="AI629">
        <v>48</v>
      </c>
      <c r="AJ629">
        <v>2</v>
      </c>
      <c r="AK629">
        <v>0</v>
      </c>
      <c r="AL629">
        <v>454.17</v>
      </c>
      <c r="AP629">
        <v>76800</v>
      </c>
      <c r="AV629">
        <v>1.4</v>
      </c>
      <c r="AW629" t="s">
        <v>251</v>
      </c>
      <c r="AX629" t="s">
        <v>6024</v>
      </c>
    </row>
    <row r="630" spans="1:50">
      <c r="A630" s="1">
        <f>HYPERLINK("https://lsnyc.legalserver.org/matter/dynamic-profile/view/1883887","18-1883887")</f>
        <v>0</v>
      </c>
      <c r="B630" t="s">
        <v>131</v>
      </c>
      <c r="C630" t="s">
        <v>191</v>
      </c>
      <c r="D630" t="s">
        <v>344</v>
      </c>
      <c r="F630" t="s">
        <v>573</v>
      </c>
      <c r="G630" t="s">
        <v>1640</v>
      </c>
      <c r="H630" t="s">
        <v>2380</v>
      </c>
      <c r="I630" t="s">
        <v>2899</v>
      </c>
      <c r="J630" t="s">
        <v>3148</v>
      </c>
      <c r="K630">
        <v>11226</v>
      </c>
      <c r="L630" t="s">
        <v>3186</v>
      </c>
      <c r="N630" t="s">
        <v>3186</v>
      </c>
      <c r="T630" t="s">
        <v>3660</v>
      </c>
      <c r="V630" t="s">
        <v>3663</v>
      </c>
      <c r="W630" t="s">
        <v>3670</v>
      </c>
      <c r="Y630">
        <v>0</v>
      </c>
      <c r="Z630" t="s">
        <v>3691</v>
      </c>
      <c r="AC630" t="s">
        <v>4283</v>
      </c>
      <c r="AE630" t="s">
        <v>5385</v>
      </c>
      <c r="AF630">
        <v>0</v>
      </c>
      <c r="AI630">
        <v>0</v>
      </c>
      <c r="AJ630">
        <v>2</v>
      </c>
      <c r="AK630">
        <v>0</v>
      </c>
      <c r="AL630">
        <v>67.58</v>
      </c>
      <c r="AO630" t="s">
        <v>5843</v>
      </c>
      <c r="AP630">
        <v>11124</v>
      </c>
      <c r="AV630">
        <v>12.7</v>
      </c>
      <c r="AW630" t="s">
        <v>251</v>
      </c>
      <c r="AX630" t="s">
        <v>131</v>
      </c>
    </row>
    <row r="631" spans="1:50">
      <c r="A631" s="1">
        <f>HYPERLINK("https://lsnyc.legalserver.org/matter/dynamic-profile/view/1887364","19-1887364")</f>
        <v>0</v>
      </c>
      <c r="B631" t="s">
        <v>131</v>
      </c>
      <c r="C631" t="s">
        <v>191</v>
      </c>
      <c r="D631" t="s">
        <v>345</v>
      </c>
      <c r="F631" t="s">
        <v>697</v>
      </c>
      <c r="G631" t="s">
        <v>1641</v>
      </c>
      <c r="H631" t="s">
        <v>2411</v>
      </c>
      <c r="I631" t="s">
        <v>3002</v>
      </c>
      <c r="J631" t="s">
        <v>3148</v>
      </c>
      <c r="K631">
        <v>11216</v>
      </c>
      <c r="L631" t="s">
        <v>3186</v>
      </c>
      <c r="N631" t="s">
        <v>3186</v>
      </c>
      <c r="T631" t="s">
        <v>3660</v>
      </c>
      <c r="W631" t="s">
        <v>3672</v>
      </c>
      <c r="Y631">
        <v>0</v>
      </c>
      <c r="Z631" t="s">
        <v>3691</v>
      </c>
      <c r="AC631" t="s">
        <v>4284</v>
      </c>
      <c r="AE631" t="s">
        <v>5386</v>
      </c>
      <c r="AF631">
        <v>0</v>
      </c>
      <c r="AI631">
        <v>0</v>
      </c>
      <c r="AJ631">
        <v>2</v>
      </c>
      <c r="AK631">
        <v>7</v>
      </c>
      <c r="AL631">
        <v>69.17</v>
      </c>
      <c r="AO631" t="s">
        <v>5844</v>
      </c>
      <c r="AP631">
        <v>32304</v>
      </c>
      <c r="AV631">
        <v>2</v>
      </c>
      <c r="AW631" t="s">
        <v>254</v>
      </c>
      <c r="AX631" t="s">
        <v>131</v>
      </c>
    </row>
    <row r="632" spans="1:50">
      <c r="A632" s="1">
        <f>HYPERLINK("https://lsnyc.legalserver.org/matter/dynamic-profile/view/1905470","19-1905470")</f>
        <v>0</v>
      </c>
      <c r="B632" t="s">
        <v>131</v>
      </c>
      <c r="C632" t="s">
        <v>191</v>
      </c>
      <c r="D632" t="s">
        <v>217</v>
      </c>
      <c r="F632" t="s">
        <v>495</v>
      </c>
      <c r="G632" t="s">
        <v>1642</v>
      </c>
      <c r="H632" t="s">
        <v>2412</v>
      </c>
      <c r="I632" t="s">
        <v>2845</v>
      </c>
      <c r="J632" t="s">
        <v>3148</v>
      </c>
      <c r="K632">
        <v>11230</v>
      </c>
      <c r="L632" t="s">
        <v>3186</v>
      </c>
      <c r="N632" t="s">
        <v>3186</v>
      </c>
      <c r="T632" t="s">
        <v>3660</v>
      </c>
      <c r="W632" t="s">
        <v>3670</v>
      </c>
      <c r="Y632">
        <v>0</v>
      </c>
      <c r="Z632" t="s">
        <v>3691</v>
      </c>
      <c r="AC632" t="s">
        <v>4285</v>
      </c>
      <c r="AE632" t="s">
        <v>5387</v>
      </c>
      <c r="AF632">
        <v>0</v>
      </c>
      <c r="AI632">
        <v>0</v>
      </c>
      <c r="AJ632">
        <v>2</v>
      </c>
      <c r="AK632">
        <v>0</v>
      </c>
      <c r="AL632">
        <v>70.73</v>
      </c>
      <c r="AO632" t="s">
        <v>5843</v>
      </c>
      <c r="AP632">
        <v>11960</v>
      </c>
      <c r="AV632">
        <v>0.7</v>
      </c>
      <c r="AW632" t="s">
        <v>203</v>
      </c>
      <c r="AX632" t="s">
        <v>131</v>
      </c>
    </row>
    <row r="633" spans="1:50">
      <c r="A633" s="1">
        <f>HYPERLINK("https://lsnyc.legalserver.org/matter/dynamic-profile/view/1901370","19-1901370")</f>
        <v>0</v>
      </c>
      <c r="B633" t="s">
        <v>131</v>
      </c>
      <c r="C633" t="s">
        <v>191</v>
      </c>
      <c r="D633" t="s">
        <v>320</v>
      </c>
      <c r="F633" t="s">
        <v>875</v>
      </c>
      <c r="G633" t="s">
        <v>1643</v>
      </c>
      <c r="H633" t="s">
        <v>2413</v>
      </c>
      <c r="I633" t="s">
        <v>2905</v>
      </c>
      <c r="J633" t="s">
        <v>3148</v>
      </c>
      <c r="K633">
        <v>11218</v>
      </c>
      <c r="L633" t="s">
        <v>3186</v>
      </c>
      <c r="N633" t="s">
        <v>3186</v>
      </c>
      <c r="P633" t="s">
        <v>3257</v>
      </c>
      <c r="T633" t="s">
        <v>3660</v>
      </c>
      <c r="U633" t="s">
        <v>3184</v>
      </c>
      <c r="W633" t="s">
        <v>3670</v>
      </c>
      <c r="Y633">
        <v>1100</v>
      </c>
      <c r="Z633" t="s">
        <v>3691</v>
      </c>
      <c r="AA633" t="s">
        <v>3697</v>
      </c>
      <c r="AC633" t="s">
        <v>4286</v>
      </c>
      <c r="AE633" t="s">
        <v>5388</v>
      </c>
      <c r="AF633">
        <v>6</v>
      </c>
      <c r="AG633" t="s">
        <v>5813</v>
      </c>
      <c r="AH633" t="s">
        <v>3188</v>
      </c>
      <c r="AI633">
        <v>25</v>
      </c>
      <c r="AJ633">
        <v>2</v>
      </c>
      <c r="AK633">
        <v>0</v>
      </c>
      <c r="AL633">
        <v>106.45</v>
      </c>
      <c r="AO633" t="s">
        <v>5843</v>
      </c>
      <c r="AP633">
        <v>18000</v>
      </c>
      <c r="AV633">
        <v>2.4</v>
      </c>
      <c r="AW633" t="s">
        <v>206</v>
      </c>
      <c r="AX633" t="s">
        <v>6011</v>
      </c>
    </row>
    <row r="634" spans="1:50">
      <c r="A634" s="1">
        <f>HYPERLINK("https://lsnyc.legalserver.org/matter/dynamic-profile/view/1900865","19-1900865")</f>
        <v>0</v>
      </c>
      <c r="B634" t="s">
        <v>131</v>
      </c>
      <c r="C634" t="s">
        <v>191</v>
      </c>
      <c r="D634" t="s">
        <v>324</v>
      </c>
      <c r="F634" t="s">
        <v>876</v>
      </c>
      <c r="G634" t="s">
        <v>1644</v>
      </c>
      <c r="H634" t="s">
        <v>2414</v>
      </c>
      <c r="I634" t="s">
        <v>3016</v>
      </c>
      <c r="J634" t="s">
        <v>3148</v>
      </c>
      <c r="K634">
        <v>11225</v>
      </c>
      <c r="L634" t="s">
        <v>3186</v>
      </c>
      <c r="N634" t="s">
        <v>3186</v>
      </c>
      <c r="T634" t="s">
        <v>3660</v>
      </c>
      <c r="W634" t="s">
        <v>3670</v>
      </c>
      <c r="Y634">
        <v>0</v>
      </c>
      <c r="Z634" t="s">
        <v>3691</v>
      </c>
      <c r="AC634" t="s">
        <v>4287</v>
      </c>
      <c r="AE634" t="s">
        <v>5389</v>
      </c>
      <c r="AF634">
        <v>0</v>
      </c>
      <c r="AI634">
        <v>0</v>
      </c>
      <c r="AJ634">
        <v>1</v>
      </c>
      <c r="AK634">
        <v>2</v>
      </c>
      <c r="AL634">
        <v>109.7</v>
      </c>
      <c r="AO634" t="s">
        <v>5843</v>
      </c>
      <c r="AP634">
        <v>23400</v>
      </c>
      <c r="AV634">
        <v>1</v>
      </c>
      <c r="AW634" t="s">
        <v>324</v>
      </c>
      <c r="AX634" t="s">
        <v>131</v>
      </c>
    </row>
    <row r="635" spans="1:50">
      <c r="A635" s="1">
        <f>HYPERLINK("https://lsnyc.legalserver.org/matter/dynamic-profile/view/1875242","18-1875242")</f>
        <v>0</v>
      </c>
      <c r="B635" t="s">
        <v>131</v>
      </c>
      <c r="C635" t="s">
        <v>191</v>
      </c>
      <c r="D635" t="s">
        <v>346</v>
      </c>
      <c r="F635" t="s">
        <v>877</v>
      </c>
      <c r="G635" t="s">
        <v>1486</v>
      </c>
      <c r="H635" t="s">
        <v>2415</v>
      </c>
      <c r="I635" t="s">
        <v>2979</v>
      </c>
      <c r="J635" t="s">
        <v>3148</v>
      </c>
      <c r="K635">
        <v>11226</v>
      </c>
      <c r="L635" t="s">
        <v>3186</v>
      </c>
      <c r="N635" t="s">
        <v>3186</v>
      </c>
      <c r="T635" t="s">
        <v>3660</v>
      </c>
      <c r="W635" t="s">
        <v>3670</v>
      </c>
      <c r="Y635">
        <v>0</v>
      </c>
      <c r="Z635" t="s">
        <v>3691</v>
      </c>
      <c r="AC635" t="s">
        <v>4288</v>
      </c>
      <c r="AE635" t="s">
        <v>5390</v>
      </c>
      <c r="AF635">
        <v>0</v>
      </c>
      <c r="AI635">
        <v>0</v>
      </c>
      <c r="AJ635">
        <v>2</v>
      </c>
      <c r="AK635">
        <v>0</v>
      </c>
      <c r="AL635">
        <v>157.96</v>
      </c>
      <c r="AO635" t="s">
        <v>5843</v>
      </c>
      <c r="AP635">
        <v>26000</v>
      </c>
      <c r="AV635">
        <v>0</v>
      </c>
      <c r="AX635" t="s">
        <v>131</v>
      </c>
    </row>
    <row r="636" spans="1:50">
      <c r="A636" s="1">
        <f>HYPERLINK("https://lsnyc.legalserver.org/matter/dynamic-profile/view/1909733","19-1909733")</f>
        <v>0</v>
      </c>
      <c r="B636" t="s">
        <v>131</v>
      </c>
      <c r="C636" t="s">
        <v>191</v>
      </c>
      <c r="D636" t="s">
        <v>252</v>
      </c>
      <c r="F636" t="s">
        <v>533</v>
      </c>
      <c r="G636" t="s">
        <v>1645</v>
      </c>
      <c r="H636" t="s">
        <v>2416</v>
      </c>
      <c r="I636" t="s">
        <v>2992</v>
      </c>
      <c r="J636" t="s">
        <v>3148</v>
      </c>
      <c r="K636">
        <v>11228</v>
      </c>
      <c r="L636" t="s">
        <v>3186</v>
      </c>
      <c r="N636" t="s">
        <v>3186</v>
      </c>
      <c r="T636" t="s">
        <v>3660</v>
      </c>
      <c r="W636" t="s">
        <v>3670</v>
      </c>
      <c r="Y636">
        <v>0</v>
      </c>
      <c r="Z636" t="s">
        <v>3691</v>
      </c>
      <c r="AC636" t="s">
        <v>4289</v>
      </c>
      <c r="AE636" t="s">
        <v>5391</v>
      </c>
      <c r="AF636">
        <v>0</v>
      </c>
      <c r="AI636">
        <v>0</v>
      </c>
      <c r="AJ636">
        <v>1</v>
      </c>
      <c r="AK636">
        <v>0</v>
      </c>
      <c r="AL636">
        <v>178.13</v>
      </c>
      <c r="AO636" t="s">
        <v>5843</v>
      </c>
      <c r="AP636">
        <v>22248</v>
      </c>
      <c r="AV636">
        <v>0.3</v>
      </c>
      <c r="AW636" t="s">
        <v>252</v>
      </c>
      <c r="AX636" t="s">
        <v>131</v>
      </c>
    </row>
    <row r="637" spans="1:50">
      <c r="A637" s="1">
        <f>HYPERLINK("https://lsnyc.legalserver.org/matter/dynamic-profile/view/1904791","19-1904791")</f>
        <v>0</v>
      </c>
      <c r="B637" t="s">
        <v>139</v>
      </c>
      <c r="C637" t="s">
        <v>192</v>
      </c>
      <c r="D637" t="s">
        <v>245</v>
      </c>
      <c r="E637" t="s">
        <v>195</v>
      </c>
      <c r="F637" t="s">
        <v>878</v>
      </c>
      <c r="G637" t="s">
        <v>1646</v>
      </c>
      <c r="H637" t="s">
        <v>2417</v>
      </c>
      <c r="I637">
        <v>1</v>
      </c>
      <c r="J637" t="s">
        <v>3148</v>
      </c>
      <c r="K637">
        <v>11208</v>
      </c>
      <c r="L637" t="s">
        <v>3186</v>
      </c>
      <c r="N637" t="s">
        <v>3186</v>
      </c>
      <c r="Q637" t="s">
        <v>3634</v>
      </c>
      <c r="R637" t="s">
        <v>3642</v>
      </c>
      <c r="T637" t="s">
        <v>3660</v>
      </c>
      <c r="W637" t="s">
        <v>3670</v>
      </c>
      <c r="Y637">
        <v>1530</v>
      </c>
      <c r="Z637" t="s">
        <v>3691</v>
      </c>
      <c r="AA637" t="s">
        <v>3695</v>
      </c>
      <c r="AB637" t="s">
        <v>3718</v>
      </c>
      <c r="AC637" t="s">
        <v>4290</v>
      </c>
      <c r="AE637" t="s">
        <v>5392</v>
      </c>
      <c r="AF637">
        <v>3</v>
      </c>
      <c r="AI637">
        <v>6</v>
      </c>
      <c r="AJ637">
        <v>2</v>
      </c>
      <c r="AK637">
        <v>2</v>
      </c>
      <c r="AL637">
        <v>118.14</v>
      </c>
      <c r="AO637" t="s">
        <v>5844</v>
      </c>
      <c r="AP637">
        <v>30420</v>
      </c>
      <c r="AV637">
        <v>1.9</v>
      </c>
      <c r="AW637" t="s">
        <v>251</v>
      </c>
      <c r="AX637" t="s">
        <v>6015</v>
      </c>
    </row>
    <row r="638" spans="1:50">
      <c r="A638" s="1">
        <f>HYPERLINK("https://lsnyc.legalserver.org/matter/dynamic-profile/view/1872816","18-1872816")</f>
        <v>0</v>
      </c>
      <c r="B638" t="s">
        <v>139</v>
      </c>
      <c r="C638" t="s">
        <v>192</v>
      </c>
      <c r="D638" t="s">
        <v>347</v>
      </c>
      <c r="E638" t="s">
        <v>252</v>
      </c>
      <c r="F638" t="s">
        <v>879</v>
      </c>
      <c r="G638" t="s">
        <v>1647</v>
      </c>
      <c r="J638" t="s">
        <v>3148</v>
      </c>
      <c r="K638">
        <v>11201</v>
      </c>
      <c r="L638" t="s">
        <v>3186</v>
      </c>
      <c r="N638" t="s">
        <v>3186</v>
      </c>
      <c r="R638" t="s">
        <v>3643</v>
      </c>
      <c r="T638" t="s">
        <v>3660</v>
      </c>
      <c r="W638" t="s">
        <v>3679</v>
      </c>
      <c r="Y638">
        <v>0</v>
      </c>
      <c r="Z638" t="s">
        <v>3691</v>
      </c>
      <c r="AB638" t="s">
        <v>3722</v>
      </c>
      <c r="AC638" t="s">
        <v>4291</v>
      </c>
      <c r="AE638" t="s">
        <v>5393</v>
      </c>
      <c r="AF638">
        <v>0</v>
      </c>
      <c r="AI638">
        <v>0</v>
      </c>
      <c r="AJ638">
        <v>1</v>
      </c>
      <c r="AK638">
        <v>0</v>
      </c>
      <c r="AL638">
        <v>119.97</v>
      </c>
      <c r="AO638" t="s">
        <v>5843</v>
      </c>
      <c r="AP638">
        <v>14564</v>
      </c>
      <c r="AV638">
        <v>13.3</v>
      </c>
      <c r="AW638" t="s">
        <v>5983</v>
      </c>
      <c r="AX638" t="s">
        <v>139</v>
      </c>
    </row>
    <row r="639" spans="1:50">
      <c r="A639" s="1">
        <f>HYPERLINK("https://lsnyc.legalserver.org/matter/dynamic-profile/view/1908828","19-1908828")</f>
        <v>0</v>
      </c>
      <c r="B639" t="s">
        <v>139</v>
      </c>
      <c r="C639" t="s">
        <v>191</v>
      </c>
      <c r="D639" t="s">
        <v>280</v>
      </c>
      <c r="F639" t="s">
        <v>880</v>
      </c>
      <c r="G639" t="s">
        <v>1648</v>
      </c>
      <c r="H639" t="s">
        <v>2418</v>
      </c>
      <c r="I639">
        <v>2</v>
      </c>
      <c r="J639" t="s">
        <v>3148</v>
      </c>
      <c r="K639">
        <v>11215</v>
      </c>
      <c r="L639" t="s">
        <v>3186</v>
      </c>
      <c r="N639" t="s">
        <v>3186</v>
      </c>
      <c r="T639" t="s">
        <v>3660</v>
      </c>
      <c r="W639" t="s">
        <v>3679</v>
      </c>
      <c r="Y639">
        <v>0</v>
      </c>
      <c r="Z639" t="s">
        <v>3691</v>
      </c>
      <c r="AC639" t="s">
        <v>4292</v>
      </c>
      <c r="AE639" t="s">
        <v>5394</v>
      </c>
      <c r="AF639">
        <v>0</v>
      </c>
      <c r="AI639">
        <v>0</v>
      </c>
      <c r="AJ639">
        <v>1</v>
      </c>
      <c r="AK639">
        <v>0</v>
      </c>
      <c r="AL639">
        <v>371.82</v>
      </c>
      <c r="AO639" t="s">
        <v>5843</v>
      </c>
      <c r="AP639">
        <v>46440</v>
      </c>
      <c r="AV639">
        <v>0.75</v>
      </c>
      <c r="AW639" t="s">
        <v>280</v>
      </c>
      <c r="AX639" t="s">
        <v>6038</v>
      </c>
    </row>
    <row r="640" spans="1:50">
      <c r="A640" s="1">
        <f>HYPERLINK("https://lsnyc.legalserver.org/matter/dynamic-profile/view/1875000","18-1875000")</f>
        <v>0</v>
      </c>
      <c r="B640" t="s">
        <v>140</v>
      </c>
      <c r="C640" t="s">
        <v>191</v>
      </c>
      <c r="D640" t="s">
        <v>348</v>
      </c>
      <c r="F640" t="s">
        <v>611</v>
      </c>
      <c r="G640" t="s">
        <v>1649</v>
      </c>
      <c r="H640" t="s">
        <v>2419</v>
      </c>
      <c r="I640" t="s">
        <v>3017</v>
      </c>
      <c r="J640" t="s">
        <v>3148</v>
      </c>
      <c r="K640">
        <v>11214</v>
      </c>
      <c r="L640" t="s">
        <v>3186</v>
      </c>
      <c r="N640" t="s">
        <v>3186</v>
      </c>
      <c r="P640" t="s">
        <v>3613</v>
      </c>
      <c r="Q640" t="s">
        <v>3638</v>
      </c>
      <c r="T640" t="s">
        <v>3660</v>
      </c>
      <c r="U640" t="s">
        <v>3184</v>
      </c>
      <c r="W640" t="s">
        <v>3670</v>
      </c>
      <c r="Y640">
        <v>600</v>
      </c>
      <c r="Z640" t="s">
        <v>3691</v>
      </c>
      <c r="AC640" t="s">
        <v>4293</v>
      </c>
      <c r="AF640">
        <v>0</v>
      </c>
      <c r="AG640" t="s">
        <v>5810</v>
      </c>
      <c r="AH640" t="s">
        <v>3188</v>
      </c>
      <c r="AI640">
        <v>4</v>
      </c>
      <c r="AJ640">
        <v>2</v>
      </c>
      <c r="AK640">
        <v>0</v>
      </c>
      <c r="AL640">
        <v>124.67</v>
      </c>
      <c r="AP640">
        <v>20520</v>
      </c>
      <c r="AV640">
        <v>58.45</v>
      </c>
      <c r="AW640" t="s">
        <v>261</v>
      </c>
      <c r="AX640" t="s">
        <v>6043</v>
      </c>
    </row>
    <row r="641" spans="1:50">
      <c r="A641" s="1">
        <f>HYPERLINK("https://lsnyc.legalserver.org/matter/dynamic-profile/view/1908812","19-1908812")</f>
        <v>0</v>
      </c>
      <c r="B641" t="s">
        <v>141</v>
      </c>
      <c r="C641" t="s">
        <v>192</v>
      </c>
      <c r="D641" t="s">
        <v>280</v>
      </c>
      <c r="E641" t="s">
        <v>280</v>
      </c>
      <c r="F641" t="s">
        <v>881</v>
      </c>
      <c r="G641" t="s">
        <v>1650</v>
      </c>
      <c r="H641" t="s">
        <v>2420</v>
      </c>
      <c r="I641" t="s">
        <v>2884</v>
      </c>
      <c r="J641" t="s">
        <v>3147</v>
      </c>
      <c r="K641">
        <v>10467</v>
      </c>
      <c r="L641" t="s">
        <v>3185</v>
      </c>
      <c r="M641" t="s">
        <v>3189</v>
      </c>
      <c r="N641" t="s">
        <v>3186</v>
      </c>
      <c r="O641" t="s">
        <v>3422</v>
      </c>
      <c r="P641" t="s">
        <v>3610</v>
      </c>
      <c r="Q641" t="s">
        <v>3638</v>
      </c>
      <c r="R641" t="s">
        <v>3644</v>
      </c>
      <c r="T641" t="s">
        <v>3660</v>
      </c>
      <c r="U641" t="s">
        <v>3184</v>
      </c>
      <c r="W641" t="s">
        <v>3670</v>
      </c>
      <c r="X641" t="s">
        <v>3681</v>
      </c>
      <c r="Y641">
        <v>1500</v>
      </c>
      <c r="Z641" t="s">
        <v>3690</v>
      </c>
      <c r="AA641" t="s">
        <v>3696</v>
      </c>
      <c r="AB641" t="s">
        <v>3714</v>
      </c>
      <c r="AC641" t="s">
        <v>4294</v>
      </c>
      <c r="AE641" t="s">
        <v>5395</v>
      </c>
      <c r="AF641">
        <v>64</v>
      </c>
      <c r="AG641" t="s">
        <v>5813</v>
      </c>
      <c r="AH641" t="s">
        <v>3188</v>
      </c>
      <c r="AI641">
        <v>0</v>
      </c>
      <c r="AJ641">
        <v>2</v>
      </c>
      <c r="AK641">
        <v>1</v>
      </c>
      <c r="AL641">
        <v>73.14</v>
      </c>
      <c r="AO641" t="s">
        <v>5844</v>
      </c>
      <c r="AP641">
        <v>15600</v>
      </c>
      <c r="AV641">
        <v>1.6</v>
      </c>
      <c r="AW641" t="s">
        <v>280</v>
      </c>
      <c r="AX641" t="s">
        <v>6034</v>
      </c>
    </row>
    <row r="642" spans="1:50">
      <c r="A642" s="1">
        <f>HYPERLINK("https://lsnyc.legalserver.org/matter/dynamic-profile/view/1902243","19-1902243")</f>
        <v>0</v>
      </c>
      <c r="B642" t="s">
        <v>103</v>
      </c>
      <c r="C642" t="s">
        <v>192</v>
      </c>
      <c r="D642" t="s">
        <v>283</v>
      </c>
      <c r="E642" t="s">
        <v>196</v>
      </c>
      <c r="F642" t="s">
        <v>882</v>
      </c>
      <c r="G642" t="s">
        <v>1651</v>
      </c>
      <c r="H642" t="s">
        <v>2421</v>
      </c>
      <c r="I642" t="s">
        <v>3018</v>
      </c>
      <c r="J642" t="s">
        <v>3148</v>
      </c>
      <c r="K642">
        <v>11234</v>
      </c>
      <c r="L642" t="s">
        <v>3185</v>
      </c>
      <c r="M642" t="s">
        <v>3189</v>
      </c>
      <c r="N642" t="s">
        <v>3186</v>
      </c>
      <c r="O642" t="s">
        <v>3423</v>
      </c>
      <c r="P642" t="s">
        <v>3612</v>
      </c>
      <c r="Q642" t="s">
        <v>3634</v>
      </c>
      <c r="R642" t="s">
        <v>3642</v>
      </c>
      <c r="S642" t="s">
        <v>285</v>
      </c>
      <c r="T642" t="s">
        <v>3660</v>
      </c>
      <c r="U642" t="s">
        <v>3184</v>
      </c>
      <c r="W642" t="s">
        <v>3670</v>
      </c>
      <c r="X642" t="s">
        <v>3681</v>
      </c>
      <c r="Y642">
        <v>0</v>
      </c>
      <c r="Z642" t="s">
        <v>3691</v>
      </c>
      <c r="AA642" t="s">
        <v>3698</v>
      </c>
      <c r="AB642" t="s">
        <v>3712</v>
      </c>
      <c r="AC642" t="s">
        <v>4295</v>
      </c>
      <c r="AD642" t="s">
        <v>4823</v>
      </c>
      <c r="AE642" t="s">
        <v>5357</v>
      </c>
      <c r="AF642">
        <v>710</v>
      </c>
      <c r="AG642" t="s">
        <v>3263</v>
      </c>
      <c r="AI642">
        <v>0</v>
      </c>
      <c r="AJ642">
        <v>1</v>
      </c>
      <c r="AK642">
        <v>1</v>
      </c>
      <c r="AL642">
        <v>162.67</v>
      </c>
      <c r="AO642" t="s">
        <v>5843</v>
      </c>
      <c r="AP642">
        <v>27508</v>
      </c>
      <c r="AV642">
        <v>0.1</v>
      </c>
      <c r="AW642" t="s">
        <v>201</v>
      </c>
      <c r="AX642" t="s">
        <v>6032</v>
      </c>
    </row>
    <row r="643" spans="1:50">
      <c r="A643" s="1">
        <f>HYPERLINK("https://lsnyc.legalserver.org/matter/dynamic-profile/view/1902627","19-1902627")</f>
        <v>0</v>
      </c>
      <c r="B643" t="s">
        <v>103</v>
      </c>
      <c r="C643" t="s">
        <v>192</v>
      </c>
      <c r="D643" t="s">
        <v>201</v>
      </c>
      <c r="E643" t="s">
        <v>196</v>
      </c>
      <c r="F643" t="s">
        <v>883</v>
      </c>
      <c r="G643" t="s">
        <v>1652</v>
      </c>
      <c r="H643" t="s">
        <v>2422</v>
      </c>
      <c r="I643" t="s">
        <v>3019</v>
      </c>
      <c r="J643" t="s">
        <v>3148</v>
      </c>
      <c r="K643">
        <v>11210</v>
      </c>
      <c r="L643" t="s">
        <v>3185</v>
      </c>
      <c r="M643" t="s">
        <v>3189</v>
      </c>
      <c r="N643" t="s">
        <v>3186</v>
      </c>
      <c r="O643" t="s">
        <v>3257</v>
      </c>
      <c r="P643" t="s">
        <v>3257</v>
      </c>
      <c r="Q643" t="s">
        <v>3634</v>
      </c>
      <c r="R643" t="s">
        <v>3642</v>
      </c>
      <c r="S643" t="s">
        <v>285</v>
      </c>
      <c r="T643" t="s">
        <v>3660</v>
      </c>
      <c r="U643" t="s">
        <v>3184</v>
      </c>
      <c r="W643" t="s">
        <v>3670</v>
      </c>
      <c r="Y643">
        <v>800</v>
      </c>
      <c r="Z643" t="s">
        <v>3691</v>
      </c>
      <c r="AA643" t="s">
        <v>3700</v>
      </c>
      <c r="AB643" t="s">
        <v>3712</v>
      </c>
      <c r="AC643" t="s">
        <v>4296</v>
      </c>
      <c r="AE643" t="s">
        <v>5396</v>
      </c>
      <c r="AF643">
        <v>3</v>
      </c>
      <c r="AG643" t="s">
        <v>5814</v>
      </c>
      <c r="AH643" t="s">
        <v>3188</v>
      </c>
      <c r="AI643">
        <v>0</v>
      </c>
      <c r="AJ643">
        <v>1</v>
      </c>
      <c r="AK643">
        <v>0</v>
      </c>
      <c r="AL643">
        <v>333.07</v>
      </c>
      <c r="AO643" t="s">
        <v>5843</v>
      </c>
      <c r="AP643">
        <v>41600</v>
      </c>
      <c r="AV643">
        <v>1.1</v>
      </c>
      <c r="AW643" t="s">
        <v>232</v>
      </c>
      <c r="AX643" t="s">
        <v>6036</v>
      </c>
    </row>
    <row r="644" spans="1:50">
      <c r="A644" s="1">
        <f>HYPERLINK("https://lsnyc.legalserver.org/matter/dynamic-profile/view/1907979","19-1907979")</f>
        <v>0</v>
      </c>
      <c r="B644" t="s">
        <v>103</v>
      </c>
      <c r="C644" t="s">
        <v>192</v>
      </c>
      <c r="D644" t="s">
        <v>251</v>
      </c>
      <c r="E644" t="s">
        <v>231</v>
      </c>
      <c r="F644" t="s">
        <v>884</v>
      </c>
      <c r="G644" t="s">
        <v>1528</v>
      </c>
      <c r="H644" t="s">
        <v>2423</v>
      </c>
      <c r="I644" t="s">
        <v>3020</v>
      </c>
      <c r="J644" t="s">
        <v>3148</v>
      </c>
      <c r="K644">
        <v>11225</v>
      </c>
      <c r="L644" t="s">
        <v>3185</v>
      </c>
      <c r="M644" t="s">
        <v>3189</v>
      </c>
      <c r="N644" t="s">
        <v>3186</v>
      </c>
      <c r="O644" t="s">
        <v>3424</v>
      </c>
      <c r="P644" t="s">
        <v>3613</v>
      </c>
      <c r="Q644" t="s">
        <v>3634</v>
      </c>
      <c r="R644" t="s">
        <v>3642</v>
      </c>
      <c r="S644" t="s">
        <v>251</v>
      </c>
      <c r="T644" t="s">
        <v>3660</v>
      </c>
      <c r="U644" t="s">
        <v>3184</v>
      </c>
      <c r="W644" t="s">
        <v>3670</v>
      </c>
      <c r="X644" t="s">
        <v>3684</v>
      </c>
      <c r="Y644">
        <v>800</v>
      </c>
      <c r="Z644" t="s">
        <v>3691</v>
      </c>
      <c r="AA644" t="s">
        <v>3706</v>
      </c>
      <c r="AB644" t="s">
        <v>3712</v>
      </c>
      <c r="AC644" t="s">
        <v>4297</v>
      </c>
      <c r="AD644" t="s">
        <v>4779</v>
      </c>
      <c r="AE644" t="s">
        <v>5397</v>
      </c>
      <c r="AF644">
        <v>3</v>
      </c>
      <c r="AG644" t="s">
        <v>3263</v>
      </c>
      <c r="AH644" t="s">
        <v>3188</v>
      </c>
      <c r="AI644">
        <v>5</v>
      </c>
      <c r="AJ644">
        <v>1</v>
      </c>
      <c r="AK644">
        <v>0</v>
      </c>
      <c r="AL644">
        <v>80.51000000000001</v>
      </c>
      <c r="AO644" t="s">
        <v>5843</v>
      </c>
      <c r="AP644">
        <v>10056</v>
      </c>
      <c r="AV644">
        <v>0.6</v>
      </c>
      <c r="AW644" t="s">
        <v>251</v>
      </c>
      <c r="AX644" t="s">
        <v>6032</v>
      </c>
    </row>
    <row r="645" spans="1:50">
      <c r="A645" s="1">
        <f>HYPERLINK("https://lsnyc.legalserver.org/matter/dynamic-profile/view/1907437","19-1907437")</f>
        <v>0</v>
      </c>
      <c r="B645" t="s">
        <v>103</v>
      </c>
      <c r="C645" t="s">
        <v>192</v>
      </c>
      <c r="D645" t="s">
        <v>234</v>
      </c>
      <c r="E645" t="s">
        <v>222</v>
      </c>
      <c r="F645" t="s">
        <v>885</v>
      </c>
      <c r="G645" t="s">
        <v>1653</v>
      </c>
      <c r="H645" t="s">
        <v>2424</v>
      </c>
      <c r="I645" t="s">
        <v>2830</v>
      </c>
      <c r="J645" t="s">
        <v>3148</v>
      </c>
      <c r="K645">
        <v>11222</v>
      </c>
      <c r="L645" t="s">
        <v>3185</v>
      </c>
      <c r="M645" t="s">
        <v>3190</v>
      </c>
      <c r="N645" t="s">
        <v>3186</v>
      </c>
      <c r="O645" t="s">
        <v>3218</v>
      </c>
      <c r="P645" t="s">
        <v>3612</v>
      </c>
      <c r="Q645" t="s">
        <v>3634</v>
      </c>
      <c r="R645" t="s">
        <v>3642</v>
      </c>
      <c r="S645" t="s">
        <v>228</v>
      </c>
      <c r="T645" t="s">
        <v>3660</v>
      </c>
      <c r="U645" t="s">
        <v>3184</v>
      </c>
      <c r="W645" t="s">
        <v>3670</v>
      </c>
      <c r="X645" t="s">
        <v>3681</v>
      </c>
      <c r="Y645">
        <v>2400</v>
      </c>
      <c r="Z645" t="s">
        <v>3691</v>
      </c>
      <c r="AA645" t="s">
        <v>3632</v>
      </c>
      <c r="AB645" t="s">
        <v>3712</v>
      </c>
      <c r="AC645" t="s">
        <v>4298</v>
      </c>
      <c r="AD645" t="s">
        <v>3218</v>
      </c>
      <c r="AE645" t="s">
        <v>5398</v>
      </c>
      <c r="AF645">
        <v>4</v>
      </c>
      <c r="AG645" t="s">
        <v>5813</v>
      </c>
      <c r="AH645" t="s">
        <v>3188</v>
      </c>
      <c r="AI645">
        <v>10</v>
      </c>
      <c r="AJ645">
        <v>1</v>
      </c>
      <c r="AK645">
        <v>0</v>
      </c>
      <c r="AL645">
        <v>0</v>
      </c>
      <c r="AO645" t="s">
        <v>5843</v>
      </c>
      <c r="AP645">
        <v>0</v>
      </c>
      <c r="AV645">
        <v>1.8</v>
      </c>
      <c r="AW645" t="s">
        <v>228</v>
      </c>
      <c r="AX645" t="s">
        <v>6011</v>
      </c>
    </row>
    <row r="646" spans="1:50">
      <c r="A646" s="1">
        <f>HYPERLINK("https://lsnyc.legalserver.org/matter/dynamic-profile/view/1883384","18-1883384")</f>
        <v>0</v>
      </c>
      <c r="B646" t="s">
        <v>142</v>
      </c>
      <c r="C646" t="s">
        <v>192</v>
      </c>
      <c r="D646" t="s">
        <v>325</v>
      </c>
      <c r="E646" t="s">
        <v>195</v>
      </c>
      <c r="F646" t="s">
        <v>886</v>
      </c>
      <c r="G646" t="s">
        <v>1654</v>
      </c>
      <c r="H646" t="s">
        <v>2425</v>
      </c>
      <c r="I646" t="s">
        <v>2816</v>
      </c>
      <c r="J646" t="s">
        <v>3148</v>
      </c>
      <c r="K646">
        <v>11210</v>
      </c>
      <c r="L646" t="s">
        <v>3186</v>
      </c>
      <c r="N646" t="s">
        <v>3186</v>
      </c>
      <c r="R646" t="s">
        <v>3642</v>
      </c>
      <c r="T646" t="s">
        <v>3660</v>
      </c>
      <c r="W646" t="s">
        <v>3679</v>
      </c>
      <c r="Y646">
        <v>0</v>
      </c>
      <c r="Z646" t="s">
        <v>3691</v>
      </c>
      <c r="AB646" t="s">
        <v>3722</v>
      </c>
      <c r="AC646" t="s">
        <v>4299</v>
      </c>
      <c r="AE646" t="s">
        <v>5399</v>
      </c>
      <c r="AF646">
        <v>0</v>
      </c>
      <c r="AI646">
        <v>0</v>
      </c>
      <c r="AJ646">
        <v>1</v>
      </c>
      <c r="AK646">
        <v>1</v>
      </c>
      <c r="AL646">
        <v>212.64</v>
      </c>
      <c r="AO646" t="s">
        <v>5843</v>
      </c>
      <c r="AP646">
        <v>35000</v>
      </c>
      <c r="AV646">
        <v>0.75</v>
      </c>
      <c r="AW646" t="s">
        <v>195</v>
      </c>
      <c r="AX646" t="s">
        <v>6015</v>
      </c>
    </row>
    <row r="647" spans="1:50">
      <c r="A647" s="1">
        <f>HYPERLINK("https://lsnyc.legalserver.org/matter/dynamic-profile/view/1900863","19-1900863")</f>
        <v>0</v>
      </c>
      <c r="B647" t="s">
        <v>143</v>
      </c>
      <c r="C647" t="s">
        <v>192</v>
      </c>
      <c r="D647" t="s">
        <v>324</v>
      </c>
      <c r="E647" t="s">
        <v>245</v>
      </c>
      <c r="F647" t="s">
        <v>887</v>
      </c>
      <c r="G647" t="s">
        <v>1365</v>
      </c>
      <c r="H647" t="s">
        <v>2426</v>
      </c>
      <c r="I647">
        <v>303</v>
      </c>
      <c r="J647" t="s">
        <v>3148</v>
      </c>
      <c r="K647">
        <v>11212</v>
      </c>
      <c r="L647" t="s">
        <v>3186</v>
      </c>
      <c r="N647" t="s">
        <v>3186</v>
      </c>
      <c r="P647" t="s">
        <v>3257</v>
      </c>
      <c r="R647" t="s">
        <v>3642</v>
      </c>
      <c r="T647" t="s">
        <v>3660</v>
      </c>
      <c r="W647" t="s">
        <v>3670</v>
      </c>
      <c r="Y647">
        <v>3000</v>
      </c>
      <c r="Z647" t="s">
        <v>3691</v>
      </c>
      <c r="AB647" t="s">
        <v>3712</v>
      </c>
      <c r="AC647" t="s">
        <v>4300</v>
      </c>
      <c r="AE647" t="s">
        <v>5400</v>
      </c>
      <c r="AF647">
        <v>0</v>
      </c>
      <c r="AH647" t="s">
        <v>5831</v>
      </c>
      <c r="AI647">
        <v>3</v>
      </c>
      <c r="AJ647">
        <v>1</v>
      </c>
      <c r="AK647">
        <v>3</v>
      </c>
      <c r="AL647">
        <v>64.87</v>
      </c>
      <c r="AO647" t="s">
        <v>5843</v>
      </c>
      <c r="AP647">
        <v>16704</v>
      </c>
      <c r="AV647">
        <v>3</v>
      </c>
      <c r="AW647" t="s">
        <v>245</v>
      </c>
      <c r="AX647" t="s">
        <v>6030</v>
      </c>
    </row>
    <row r="648" spans="1:50">
      <c r="A648" s="1">
        <f>HYPERLINK("https://lsnyc.legalserver.org/matter/dynamic-profile/view/1909484","19-1909484")</f>
        <v>0</v>
      </c>
      <c r="B648" t="s">
        <v>103</v>
      </c>
      <c r="C648" t="s">
        <v>192</v>
      </c>
      <c r="D648" t="s">
        <v>197</v>
      </c>
      <c r="E648" t="s">
        <v>197</v>
      </c>
      <c r="F648" t="s">
        <v>888</v>
      </c>
      <c r="G648" t="s">
        <v>1309</v>
      </c>
      <c r="H648" t="s">
        <v>2427</v>
      </c>
      <c r="I648" t="s">
        <v>3021</v>
      </c>
      <c r="J648" t="s">
        <v>3148</v>
      </c>
      <c r="K648">
        <v>11208</v>
      </c>
      <c r="L648" t="s">
        <v>3185</v>
      </c>
      <c r="M648" t="s">
        <v>3189</v>
      </c>
      <c r="N648" t="s">
        <v>3186</v>
      </c>
      <c r="O648" t="s">
        <v>3425</v>
      </c>
      <c r="P648" t="s">
        <v>3613</v>
      </c>
      <c r="R648" t="s">
        <v>3642</v>
      </c>
      <c r="S648" t="s">
        <v>222</v>
      </c>
      <c r="T648" t="s">
        <v>3660</v>
      </c>
      <c r="U648" t="s">
        <v>3184</v>
      </c>
      <c r="W648" t="s">
        <v>3670</v>
      </c>
      <c r="Y648">
        <v>1064</v>
      </c>
      <c r="Z648" t="s">
        <v>3691</v>
      </c>
      <c r="AA648" t="s">
        <v>3704</v>
      </c>
      <c r="AB648" t="s">
        <v>3712</v>
      </c>
      <c r="AC648" t="s">
        <v>4301</v>
      </c>
      <c r="AE648" t="s">
        <v>5401</v>
      </c>
      <c r="AF648">
        <v>2</v>
      </c>
      <c r="AH648" t="s">
        <v>3188</v>
      </c>
      <c r="AI648">
        <v>15</v>
      </c>
      <c r="AJ648">
        <v>4</v>
      </c>
      <c r="AK648">
        <v>0</v>
      </c>
      <c r="AL648">
        <v>58.39</v>
      </c>
      <c r="AO648" t="s">
        <v>5844</v>
      </c>
      <c r="AP648">
        <v>15036</v>
      </c>
      <c r="AV648">
        <v>1</v>
      </c>
      <c r="AW648" t="s">
        <v>197</v>
      </c>
      <c r="AX648" t="s">
        <v>82</v>
      </c>
    </row>
    <row r="649" spans="1:50">
      <c r="A649" s="1">
        <f>HYPERLINK("https://lsnyc.legalserver.org/matter/dynamic-profile/view/1905606","19-1905606")</f>
        <v>0</v>
      </c>
      <c r="B649" t="s">
        <v>144</v>
      </c>
      <c r="C649" t="s">
        <v>192</v>
      </c>
      <c r="D649" t="s">
        <v>202</v>
      </c>
      <c r="E649" t="s">
        <v>202</v>
      </c>
      <c r="F649" t="s">
        <v>889</v>
      </c>
      <c r="G649" t="s">
        <v>1479</v>
      </c>
      <c r="H649" t="s">
        <v>2428</v>
      </c>
      <c r="I649">
        <v>1</v>
      </c>
      <c r="J649" t="s">
        <v>3148</v>
      </c>
      <c r="K649">
        <v>11207</v>
      </c>
      <c r="L649" t="s">
        <v>3186</v>
      </c>
      <c r="N649" t="s">
        <v>3186</v>
      </c>
      <c r="R649" t="s">
        <v>3646</v>
      </c>
      <c r="T649" t="s">
        <v>3660</v>
      </c>
      <c r="W649" t="s">
        <v>3672</v>
      </c>
      <c r="Y649">
        <v>0</v>
      </c>
      <c r="Z649" t="s">
        <v>3691</v>
      </c>
      <c r="AB649" t="s">
        <v>3715</v>
      </c>
      <c r="AC649" t="s">
        <v>4302</v>
      </c>
      <c r="AE649" t="s">
        <v>5402</v>
      </c>
      <c r="AF649">
        <v>0</v>
      </c>
      <c r="AI649">
        <v>0</v>
      </c>
      <c r="AJ649">
        <v>3</v>
      </c>
      <c r="AK649">
        <v>0</v>
      </c>
      <c r="AL649">
        <v>192.94</v>
      </c>
      <c r="AO649" t="s">
        <v>5843</v>
      </c>
      <c r="AP649">
        <v>41154.28</v>
      </c>
      <c r="AV649">
        <v>0.25</v>
      </c>
      <c r="AW649" t="s">
        <v>202</v>
      </c>
      <c r="AX649" t="s">
        <v>144</v>
      </c>
    </row>
    <row r="650" spans="1:50">
      <c r="A650" s="1">
        <f>HYPERLINK("https://lsnyc.legalserver.org/matter/dynamic-profile/view/1909416","19-1909416")</f>
        <v>0</v>
      </c>
      <c r="B650" t="s">
        <v>55</v>
      </c>
      <c r="C650" t="s">
        <v>191</v>
      </c>
      <c r="D650" t="s">
        <v>196</v>
      </c>
      <c r="F650" t="s">
        <v>890</v>
      </c>
      <c r="G650" t="s">
        <v>1655</v>
      </c>
      <c r="H650" t="s">
        <v>2429</v>
      </c>
      <c r="I650" t="s">
        <v>2823</v>
      </c>
      <c r="J650" t="s">
        <v>3148</v>
      </c>
      <c r="K650">
        <v>11207</v>
      </c>
      <c r="L650" t="s">
        <v>3184</v>
      </c>
      <c r="M650" t="s">
        <v>3188</v>
      </c>
      <c r="N650" t="s">
        <v>3186</v>
      </c>
      <c r="O650" t="s">
        <v>3426</v>
      </c>
      <c r="P650" t="s">
        <v>3613</v>
      </c>
      <c r="T650" t="s">
        <v>3660</v>
      </c>
      <c r="U650" t="s">
        <v>3662</v>
      </c>
      <c r="W650" t="s">
        <v>3670</v>
      </c>
      <c r="X650" t="s">
        <v>3681</v>
      </c>
      <c r="Y650">
        <v>1100</v>
      </c>
      <c r="Z650" t="s">
        <v>3691</v>
      </c>
      <c r="AA650" t="s">
        <v>3696</v>
      </c>
      <c r="AC650" t="s">
        <v>4303</v>
      </c>
      <c r="AD650" t="s">
        <v>3218</v>
      </c>
      <c r="AE650" t="s">
        <v>5403</v>
      </c>
      <c r="AF650">
        <v>3</v>
      </c>
      <c r="AG650" t="s">
        <v>3263</v>
      </c>
      <c r="AH650" t="s">
        <v>3188</v>
      </c>
      <c r="AI650">
        <v>14</v>
      </c>
      <c r="AJ650">
        <v>1</v>
      </c>
      <c r="AK650">
        <v>0</v>
      </c>
      <c r="AL650">
        <v>153.72</v>
      </c>
      <c r="AO650" t="s">
        <v>5843</v>
      </c>
      <c r="AP650">
        <v>19200</v>
      </c>
      <c r="AV650">
        <v>0.5</v>
      </c>
      <c r="AW650" t="s">
        <v>199</v>
      </c>
      <c r="AX650" t="s">
        <v>158</v>
      </c>
    </row>
    <row r="651" spans="1:50">
      <c r="A651" s="1">
        <f>HYPERLINK("https://lsnyc.legalserver.org/matter/dynamic-profile/view/1910038","19-1910038")</f>
        <v>0</v>
      </c>
      <c r="B651" t="s">
        <v>55</v>
      </c>
      <c r="C651" t="s">
        <v>191</v>
      </c>
      <c r="D651" t="s">
        <v>198</v>
      </c>
      <c r="F651" t="s">
        <v>891</v>
      </c>
      <c r="G651" t="s">
        <v>1219</v>
      </c>
      <c r="H651" t="s">
        <v>2430</v>
      </c>
      <c r="J651" t="s">
        <v>3148</v>
      </c>
      <c r="K651">
        <v>11212</v>
      </c>
      <c r="L651" t="s">
        <v>3184</v>
      </c>
      <c r="M651" t="s">
        <v>3188</v>
      </c>
      <c r="N651" t="s">
        <v>3186</v>
      </c>
      <c r="O651" t="s">
        <v>3427</v>
      </c>
      <c r="P651" t="s">
        <v>3613</v>
      </c>
      <c r="T651" t="s">
        <v>3660</v>
      </c>
      <c r="U651" t="s">
        <v>3184</v>
      </c>
      <c r="W651" t="s">
        <v>3670</v>
      </c>
      <c r="X651" t="s">
        <v>3681</v>
      </c>
      <c r="Y651">
        <v>900</v>
      </c>
      <c r="Z651" t="s">
        <v>3691</v>
      </c>
      <c r="AC651" t="s">
        <v>4304</v>
      </c>
      <c r="AD651" t="s">
        <v>4779</v>
      </c>
      <c r="AE651" t="s">
        <v>5404</v>
      </c>
      <c r="AF651">
        <v>2</v>
      </c>
      <c r="AG651" t="s">
        <v>5814</v>
      </c>
      <c r="AH651" t="s">
        <v>3632</v>
      </c>
      <c r="AI651">
        <v>17</v>
      </c>
      <c r="AJ651">
        <v>3</v>
      </c>
      <c r="AK651">
        <v>1</v>
      </c>
      <c r="AL651">
        <v>166.99</v>
      </c>
      <c r="AO651" t="s">
        <v>5843</v>
      </c>
      <c r="AP651">
        <v>43000</v>
      </c>
      <c r="AV651">
        <v>1</v>
      </c>
      <c r="AW651" t="s">
        <v>198</v>
      </c>
      <c r="AX651" t="s">
        <v>6012</v>
      </c>
    </row>
    <row r="652" spans="1:50">
      <c r="A652" s="1">
        <f>HYPERLINK("https://lsnyc.legalserver.org/matter/dynamic-profile/view/1894931","19-1894931")</f>
        <v>0</v>
      </c>
      <c r="B652" t="s">
        <v>55</v>
      </c>
      <c r="C652" t="s">
        <v>191</v>
      </c>
      <c r="D652" t="s">
        <v>293</v>
      </c>
      <c r="F652" t="s">
        <v>892</v>
      </c>
      <c r="G652" t="s">
        <v>1656</v>
      </c>
      <c r="H652" t="s">
        <v>2431</v>
      </c>
      <c r="I652" t="s">
        <v>3022</v>
      </c>
      <c r="J652" t="s">
        <v>3148</v>
      </c>
      <c r="K652">
        <v>11233</v>
      </c>
      <c r="L652" t="s">
        <v>3184</v>
      </c>
      <c r="N652" t="s">
        <v>3184</v>
      </c>
      <c r="O652" t="s">
        <v>3428</v>
      </c>
      <c r="P652" t="s">
        <v>3613</v>
      </c>
      <c r="Q652" t="s">
        <v>3637</v>
      </c>
      <c r="T652" t="s">
        <v>3660</v>
      </c>
      <c r="U652" t="s">
        <v>3184</v>
      </c>
      <c r="W652" t="s">
        <v>3670</v>
      </c>
      <c r="X652" t="s">
        <v>3682</v>
      </c>
      <c r="Y652">
        <v>700</v>
      </c>
      <c r="Z652" t="s">
        <v>3691</v>
      </c>
      <c r="AA652" t="s">
        <v>3706</v>
      </c>
      <c r="AC652" t="s">
        <v>4305</v>
      </c>
      <c r="AD652" t="s">
        <v>4824</v>
      </c>
      <c r="AF652">
        <v>3</v>
      </c>
      <c r="AG652" t="s">
        <v>3263</v>
      </c>
      <c r="AH652" t="s">
        <v>3188</v>
      </c>
      <c r="AI652">
        <v>17</v>
      </c>
      <c r="AJ652">
        <v>2</v>
      </c>
      <c r="AK652">
        <v>0</v>
      </c>
      <c r="AL652">
        <v>55.21</v>
      </c>
      <c r="AO652" t="s">
        <v>5843</v>
      </c>
      <c r="AP652">
        <v>9336</v>
      </c>
      <c r="AV652">
        <v>0</v>
      </c>
      <c r="AX652" t="s">
        <v>158</v>
      </c>
    </row>
    <row r="653" spans="1:50">
      <c r="A653" s="1">
        <f>HYPERLINK("https://lsnyc.legalserver.org/matter/dynamic-profile/view/1895591","19-1895591")</f>
        <v>0</v>
      </c>
      <c r="B653" t="s">
        <v>55</v>
      </c>
      <c r="C653" t="s">
        <v>191</v>
      </c>
      <c r="D653" t="s">
        <v>294</v>
      </c>
      <c r="F653" t="s">
        <v>893</v>
      </c>
      <c r="G653" t="s">
        <v>1657</v>
      </c>
      <c r="H653" t="s">
        <v>2432</v>
      </c>
      <c r="I653" t="s">
        <v>3023</v>
      </c>
      <c r="J653" t="s">
        <v>3148</v>
      </c>
      <c r="K653">
        <v>11207</v>
      </c>
      <c r="L653" t="s">
        <v>3184</v>
      </c>
      <c r="N653" t="s">
        <v>3184</v>
      </c>
      <c r="O653" t="s">
        <v>3429</v>
      </c>
      <c r="P653" t="s">
        <v>3613</v>
      </c>
      <c r="Q653" t="s">
        <v>3637</v>
      </c>
      <c r="T653" t="s">
        <v>3660</v>
      </c>
      <c r="W653" t="s">
        <v>3670</v>
      </c>
      <c r="X653" t="s">
        <v>3681</v>
      </c>
      <c r="Y653">
        <v>1000</v>
      </c>
      <c r="Z653" t="s">
        <v>3691</v>
      </c>
      <c r="AC653" t="s">
        <v>4306</v>
      </c>
      <c r="AE653" t="s">
        <v>5405</v>
      </c>
      <c r="AF653">
        <v>2</v>
      </c>
      <c r="AG653" t="s">
        <v>3263</v>
      </c>
      <c r="AH653" t="s">
        <v>3188</v>
      </c>
      <c r="AI653">
        <v>4</v>
      </c>
      <c r="AJ653">
        <v>1</v>
      </c>
      <c r="AK653">
        <v>0</v>
      </c>
      <c r="AL653">
        <v>145.72</v>
      </c>
      <c r="AO653" t="s">
        <v>5843</v>
      </c>
      <c r="AP653">
        <v>18200</v>
      </c>
      <c r="AV653">
        <v>1</v>
      </c>
      <c r="AW653" t="s">
        <v>294</v>
      </c>
      <c r="AX653" t="s">
        <v>6030</v>
      </c>
    </row>
    <row r="654" spans="1:50">
      <c r="A654" s="1">
        <f>HYPERLINK("https://lsnyc.legalserver.org/matter/dynamic-profile/view/0828584","17-0828584")</f>
        <v>0</v>
      </c>
      <c r="B654" t="s">
        <v>145</v>
      </c>
      <c r="C654" t="s">
        <v>192</v>
      </c>
      <c r="D654" t="s">
        <v>349</v>
      </c>
      <c r="E654" t="s">
        <v>227</v>
      </c>
      <c r="F654" t="s">
        <v>894</v>
      </c>
      <c r="G654" t="s">
        <v>1658</v>
      </c>
      <c r="H654" t="s">
        <v>2433</v>
      </c>
      <c r="I654" t="s">
        <v>3024</v>
      </c>
      <c r="J654" t="s">
        <v>3148</v>
      </c>
      <c r="K654">
        <v>11205</v>
      </c>
      <c r="L654" t="s">
        <v>3184</v>
      </c>
      <c r="N654" t="s">
        <v>3186</v>
      </c>
      <c r="Q654" t="s">
        <v>3638</v>
      </c>
      <c r="R654" t="s">
        <v>3644</v>
      </c>
      <c r="T654" t="s">
        <v>3660</v>
      </c>
      <c r="V654" t="s">
        <v>3664</v>
      </c>
      <c r="W654" t="s">
        <v>3670</v>
      </c>
      <c r="Y654">
        <v>0</v>
      </c>
      <c r="Z654" t="s">
        <v>3691</v>
      </c>
      <c r="AB654" t="s">
        <v>3714</v>
      </c>
      <c r="AC654" t="s">
        <v>4307</v>
      </c>
      <c r="AE654" t="s">
        <v>5406</v>
      </c>
      <c r="AF654">
        <v>0</v>
      </c>
      <c r="AI654">
        <v>0</v>
      </c>
      <c r="AJ654">
        <v>1</v>
      </c>
      <c r="AK654">
        <v>0</v>
      </c>
      <c r="AL654">
        <v>18.71</v>
      </c>
      <c r="AO654" t="s">
        <v>5843</v>
      </c>
      <c r="AP654">
        <v>2256</v>
      </c>
      <c r="AV654">
        <v>20.15</v>
      </c>
      <c r="AW654" t="s">
        <v>282</v>
      </c>
      <c r="AX654" t="s">
        <v>6048</v>
      </c>
    </row>
    <row r="655" spans="1:50">
      <c r="A655" s="1">
        <f>HYPERLINK("https://lsnyc.legalserver.org/matter/dynamic-profile/view/1906643","19-1906643")</f>
        <v>0</v>
      </c>
      <c r="B655" t="s">
        <v>82</v>
      </c>
      <c r="C655" t="s">
        <v>192</v>
      </c>
      <c r="D655" t="s">
        <v>277</v>
      </c>
      <c r="E655" t="s">
        <v>225</v>
      </c>
      <c r="F655" t="s">
        <v>895</v>
      </c>
      <c r="G655" t="s">
        <v>1268</v>
      </c>
      <c r="H655" t="s">
        <v>2434</v>
      </c>
      <c r="I655" t="s">
        <v>3000</v>
      </c>
      <c r="J655" t="s">
        <v>3148</v>
      </c>
      <c r="K655">
        <v>11233</v>
      </c>
      <c r="L655" t="s">
        <v>3184</v>
      </c>
      <c r="M655" t="s">
        <v>3188</v>
      </c>
      <c r="N655" t="s">
        <v>3186</v>
      </c>
      <c r="O655" t="s">
        <v>3430</v>
      </c>
      <c r="P655" t="s">
        <v>3610</v>
      </c>
      <c r="Q655" t="s">
        <v>3634</v>
      </c>
      <c r="R655" t="s">
        <v>3642</v>
      </c>
      <c r="T655" t="s">
        <v>3660</v>
      </c>
      <c r="U655" t="s">
        <v>3184</v>
      </c>
      <c r="W655" t="s">
        <v>3670</v>
      </c>
      <c r="Y655">
        <v>1592</v>
      </c>
      <c r="Z655" t="s">
        <v>3691</v>
      </c>
      <c r="AB655" t="s">
        <v>3712</v>
      </c>
      <c r="AC655" t="s">
        <v>4308</v>
      </c>
      <c r="AD655" t="s">
        <v>3188</v>
      </c>
      <c r="AE655" t="s">
        <v>5407</v>
      </c>
      <c r="AF655">
        <v>43</v>
      </c>
      <c r="AG655" t="s">
        <v>5813</v>
      </c>
      <c r="AH655" t="s">
        <v>3188</v>
      </c>
      <c r="AI655">
        <v>2</v>
      </c>
      <c r="AJ655">
        <v>1</v>
      </c>
      <c r="AK655">
        <v>2</v>
      </c>
      <c r="AL655">
        <v>0</v>
      </c>
      <c r="AO655" t="s">
        <v>5843</v>
      </c>
      <c r="AP655">
        <v>0</v>
      </c>
      <c r="AV655">
        <v>0.1</v>
      </c>
      <c r="AW655" t="s">
        <v>225</v>
      </c>
      <c r="AX655" t="s">
        <v>82</v>
      </c>
    </row>
    <row r="656" spans="1:50">
      <c r="A656" s="1">
        <f>HYPERLINK("https://lsnyc.legalserver.org/matter/dynamic-profile/view/1896717","19-1896717")</f>
        <v>0</v>
      </c>
      <c r="B656" t="s">
        <v>87</v>
      </c>
      <c r="C656" t="s">
        <v>191</v>
      </c>
      <c r="D656" t="s">
        <v>239</v>
      </c>
      <c r="F656" t="s">
        <v>896</v>
      </c>
      <c r="G656" t="s">
        <v>1659</v>
      </c>
      <c r="H656" t="s">
        <v>2435</v>
      </c>
      <c r="I656" t="s">
        <v>3025</v>
      </c>
      <c r="J656" t="s">
        <v>3148</v>
      </c>
      <c r="K656">
        <v>11220</v>
      </c>
      <c r="L656" t="s">
        <v>3184</v>
      </c>
      <c r="N656" t="s">
        <v>3185</v>
      </c>
      <c r="P656" t="s">
        <v>3613</v>
      </c>
      <c r="Q656" t="s">
        <v>3637</v>
      </c>
      <c r="T656" t="s">
        <v>3660</v>
      </c>
      <c r="W656" t="s">
        <v>3670</v>
      </c>
      <c r="Y656">
        <v>995</v>
      </c>
      <c r="Z656" t="s">
        <v>3691</v>
      </c>
      <c r="AC656" t="s">
        <v>4149</v>
      </c>
      <c r="AF656">
        <v>0</v>
      </c>
      <c r="AG656" t="s">
        <v>5813</v>
      </c>
      <c r="AI656">
        <v>25</v>
      </c>
      <c r="AJ656">
        <v>3</v>
      </c>
      <c r="AK656">
        <v>0</v>
      </c>
      <c r="AL656">
        <v>135.96</v>
      </c>
      <c r="AO656" t="s">
        <v>5843</v>
      </c>
      <c r="AP656">
        <v>29000</v>
      </c>
      <c r="AV656">
        <v>16.1</v>
      </c>
      <c r="AW656" t="s">
        <v>211</v>
      </c>
      <c r="AX656" t="s">
        <v>131</v>
      </c>
    </row>
    <row r="657" spans="1:50">
      <c r="A657" s="1">
        <f>HYPERLINK("https://lsnyc.legalserver.org/matter/dynamic-profile/view/1878035","18-1878035")</f>
        <v>0</v>
      </c>
      <c r="B657" t="s">
        <v>103</v>
      </c>
      <c r="C657" t="s">
        <v>192</v>
      </c>
      <c r="D657" t="s">
        <v>350</v>
      </c>
      <c r="E657" t="s">
        <v>243</v>
      </c>
      <c r="F657" t="s">
        <v>897</v>
      </c>
      <c r="G657" t="s">
        <v>1660</v>
      </c>
      <c r="H657" t="s">
        <v>2436</v>
      </c>
      <c r="I657">
        <v>21</v>
      </c>
      <c r="J657" t="s">
        <v>3148</v>
      </c>
      <c r="K657">
        <v>11206</v>
      </c>
      <c r="L657" t="s">
        <v>3185</v>
      </c>
      <c r="N657" t="s">
        <v>3185</v>
      </c>
      <c r="O657" t="s">
        <v>3431</v>
      </c>
      <c r="Q657" t="s">
        <v>3638</v>
      </c>
      <c r="R657" t="s">
        <v>3642</v>
      </c>
      <c r="T657" t="s">
        <v>3660</v>
      </c>
      <c r="W657" t="s">
        <v>3672</v>
      </c>
      <c r="Y657">
        <v>0</v>
      </c>
      <c r="Z657" t="s">
        <v>3691</v>
      </c>
      <c r="AB657" t="s">
        <v>3721</v>
      </c>
      <c r="AC657" t="s">
        <v>4309</v>
      </c>
      <c r="AE657" t="s">
        <v>5408</v>
      </c>
      <c r="AF657">
        <v>0</v>
      </c>
      <c r="AH657" t="s">
        <v>5827</v>
      </c>
      <c r="AI657">
        <v>15</v>
      </c>
      <c r="AJ657">
        <v>1</v>
      </c>
      <c r="AK657">
        <v>0</v>
      </c>
      <c r="AL657">
        <v>76.11</v>
      </c>
      <c r="AO657" t="s">
        <v>5843</v>
      </c>
      <c r="AP657">
        <v>9240</v>
      </c>
      <c r="AV657">
        <v>0.2</v>
      </c>
      <c r="AW657" t="s">
        <v>350</v>
      </c>
      <c r="AX657" t="s">
        <v>6029</v>
      </c>
    </row>
    <row r="658" spans="1:50">
      <c r="A658" s="1">
        <f>HYPERLINK("https://lsnyc.legalserver.org/matter/dynamic-profile/view/1894449","19-1894449")</f>
        <v>0</v>
      </c>
      <c r="B658" t="s">
        <v>89</v>
      </c>
      <c r="C658" t="s">
        <v>191</v>
      </c>
      <c r="D658" t="s">
        <v>241</v>
      </c>
      <c r="F658" t="s">
        <v>898</v>
      </c>
      <c r="G658" t="s">
        <v>1661</v>
      </c>
      <c r="H658" t="s">
        <v>2172</v>
      </c>
      <c r="I658" t="s">
        <v>2901</v>
      </c>
      <c r="J658" t="s">
        <v>3148</v>
      </c>
      <c r="K658">
        <v>11233</v>
      </c>
      <c r="L658" t="s">
        <v>3184</v>
      </c>
      <c r="N658" t="s">
        <v>3184</v>
      </c>
      <c r="O658" t="s">
        <v>3432</v>
      </c>
      <c r="P658" t="s">
        <v>3610</v>
      </c>
      <c r="T658" t="s">
        <v>3660</v>
      </c>
      <c r="U658" t="s">
        <v>3184</v>
      </c>
      <c r="W658" t="s">
        <v>3670</v>
      </c>
      <c r="X658" t="s">
        <v>3681</v>
      </c>
      <c r="Y658">
        <v>1200</v>
      </c>
      <c r="Z658" t="s">
        <v>3691</v>
      </c>
      <c r="AA658" t="s">
        <v>3696</v>
      </c>
      <c r="AC658" t="s">
        <v>4310</v>
      </c>
      <c r="AD658" t="s">
        <v>4825</v>
      </c>
      <c r="AE658" t="s">
        <v>5409</v>
      </c>
      <c r="AF658">
        <v>6</v>
      </c>
      <c r="AG658" t="s">
        <v>5813</v>
      </c>
      <c r="AH658" t="s">
        <v>3188</v>
      </c>
      <c r="AI658">
        <v>12</v>
      </c>
      <c r="AJ658">
        <v>1</v>
      </c>
      <c r="AK658">
        <v>3</v>
      </c>
      <c r="AL658">
        <v>35.93</v>
      </c>
      <c r="AO658" t="s">
        <v>5843</v>
      </c>
      <c r="AP658">
        <v>9252</v>
      </c>
      <c r="AV658">
        <v>0.3</v>
      </c>
      <c r="AW658" t="s">
        <v>264</v>
      </c>
      <c r="AX658" t="s">
        <v>158</v>
      </c>
    </row>
    <row r="659" spans="1:50">
      <c r="A659" s="1">
        <f>HYPERLINK("https://lsnyc.legalserver.org/matter/dynamic-profile/view/1898776","19-1898776")</f>
        <v>0</v>
      </c>
      <c r="B659" t="s">
        <v>89</v>
      </c>
      <c r="C659" t="s">
        <v>191</v>
      </c>
      <c r="D659" t="s">
        <v>264</v>
      </c>
      <c r="F659" t="s">
        <v>899</v>
      </c>
      <c r="G659" t="s">
        <v>1662</v>
      </c>
      <c r="H659" t="s">
        <v>2437</v>
      </c>
      <c r="I659" t="s">
        <v>2897</v>
      </c>
      <c r="J659" t="s">
        <v>3148</v>
      </c>
      <c r="K659">
        <v>11212</v>
      </c>
      <c r="L659" t="s">
        <v>3184</v>
      </c>
      <c r="N659" t="s">
        <v>3184</v>
      </c>
      <c r="O659" t="s">
        <v>3433</v>
      </c>
      <c r="P659" t="s">
        <v>3610</v>
      </c>
      <c r="T659" t="s">
        <v>3660</v>
      </c>
      <c r="U659" t="s">
        <v>3184</v>
      </c>
      <c r="W659" t="s">
        <v>3670</v>
      </c>
      <c r="X659" t="s">
        <v>3681</v>
      </c>
      <c r="Y659">
        <v>402</v>
      </c>
      <c r="Z659" t="s">
        <v>3691</v>
      </c>
      <c r="AA659" t="s">
        <v>3699</v>
      </c>
      <c r="AC659" t="s">
        <v>4311</v>
      </c>
      <c r="AD659" t="s">
        <v>4826</v>
      </c>
      <c r="AE659" t="s">
        <v>5410</v>
      </c>
      <c r="AF659">
        <v>24</v>
      </c>
      <c r="AG659" t="s">
        <v>5812</v>
      </c>
      <c r="AH659" t="s">
        <v>5827</v>
      </c>
      <c r="AI659">
        <v>34</v>
      </c>
      <c r="AJ659">
        <v>1</v>
      </c>
      <c r="AK659">
        <v>0</v>
      </c>
      <c r="AL659">
        <v>36.61</v>
      </c>
      <c r="AO659" t="s">
        <v>5843</v>
      </c>
      <c r="AP659">
        <v>4572</v>
      </c>
      <c r="AV659">
        <v>0.2</v>
      </c>
      <c r="AW659" t="s">
        <v>434</v>
      </c>
      <c r="AX659" t="s">
        <v>158</v>
      </c>
    </row>
    <row r="660" spans="1:50">
      <c r="A660" s="1">
        <f>HYPERLINK("https://lsnyc.legalserver.org/matter/dynamic-profile/view/1909734","19-1909734")</f>
        <v>0</v>
      </c>
      <c r="B660" t="s">
        <v>89</v>
      </c>
      <c r="C660" t="s">
        <v>191</v>
      </c>
      <c r="D660" t="s">
        <v>252</v>
      </c>
      <c r="F660" t="s">
        <v>900</v>
      </c>
      <c r="G660" t="s">
        <v>1663</v>
      </c>
      <c r="H660" t="s">
        <v>2438</v>
      </c>
      <c r="I660">
        <v>5</v>
      </c>
      <c r="J660" t="s">
        <v>3148</v>
      </c>
      <c r="K660">
        <v>11233</v>
      </c>
      <c r="L660" t="s">
        <v>3184</v>
      </c>
      <c r="M660" t="s">
        <v>3188</v>
      </c>
      <c r="N660" t="s">
        <v>3186</v>
      </c>
      <c r="O660" t="s">
        <v>3434</v>
      </c>
      <c r="P660" t="s">
        <v>3610</v>
      </c>
      <c r="T660" t="s">
        <v>3660</v>
      </c>
      <c r="U660" t="s">
        <v>3184</v>
      </c>
      <c r="W660" t="s">
        <v>3670</v>
      </c>
      <c r="X660" t="s">
        <v>3681</v>
      </c>
      <c r="Y660">
        <v>1200</v>
      </c>
      <c r="Z660" t="s">
        <v>3691</v>
      </c>
      <c r="AA660" t="s">
        <v>3696</v>
      </c>
      <c r="AC660" t="s">
        <v>4312</v>
      </c>
      <c r="AD660" t="s">
        <v>4827</v>
      </c>
      <c r="AE660" t="s">
        <v>5411</v>
      </c>
      <c r="AF660">
        <v>8</v>
      </c>
      <c r="AG660" t="s">
        <v>3263</v>
      </c>
      <c r="AH660" t="s">
        <v>5830</v>
      </c>
      <c r="AI660">
        <v>16</v>
      </c>
      <c r="AJ660">
        <v>2</v>
      </c>
      <c r="AK660">
        <v>0</v>
      </c>
      <c r="AL660">
        <v>99.34999999999999</v>
      </c>
      <c r="AO660" t="s">
        <v>5843</v>
      </c>
      <c r="AP660">
        <v>16800</v>
      </c>
      <c r="AV660">
        <v>0</v>
      </c>
      <c r="AX660" t="s">
        <v>158</v>
      </c>
    </row>
    <row r="661" spans="1:50">
      <c r="A661" s="1">
        <f>HYPERLINK("https://lsnyc.legalserver.org/matter/dynamic-profile/view/1891411","19-1891411")</f>
        <v>0</v>
      </c>
      <c r="B661" t="s">
        <v>89</v>
      </c>
      <c r="C661" t="s">
        <v>191</v>
      </c>
      <c r="D661" t="s">
        <v>351</v>
      </c>
      <c r="F661" t="s">
        <v>500</v>
      </c>
      <c r="G661" t="s">
        <v>1664</v>
      </c>
      <c r="H661" t="s">
        <v>2439</v>
      </c>
      <c r="I661" t="s">
        <v>3026</v>
      </c>
      <c r="J661" t="s">
        <v>3148</v>
      </c>
      <c r="K661">
        <v>11233</v>
      </c>
      <c r="L661" t="s">
        <v>3184</v>
      </c>
      <c r="N661" t="s">
        <v>3184</v>
      </c>
      <c r="O661" t="s">
        <v>3435</v>
      </c>
      <c r="P661" t="s">
        <v>3613</v>
      </c>
      <c r="T661" t="s">
        <v>3660</v>
      </c>
      <c r="U661" t="s">
        <v>3662</v>
      </c>
      <c r="W661" t="s">
        <v>3670</v>
      </c>
      <c r="X661" t="s">
        <v>3681</v>
      </c>
      <c r="Y661">
        <v>1350</v>
      </c>
      <c r="Z661" t="s">
        <v>3691</v>
      </c>
      <c r="AA661" t="s">
        <v>3706</v>
      </c>
      <c r="AC661" t="s">
        <v>4313</v>
      </c>
      <c r="AD661" t="s">
        <v>4828</v>
      </c>
      <c r="AE661" t="s">
        <v>5412</v>
      </c>
      <c r="AF661">
        <v>7</v>
      </c>
      <c r="AG661" t="s">
        <v>5814</v>
      </c>
      <c r="AH661" t="s">
        <v>3188</v>
      </c>
      <c r="AI661">
        <v>10</v>
      </c>
      <c r="AJ661">
        <v>2</v>
      </c>
      <c r="AK661">
        <v>4</v>
      </c>
      <c r="AL661">
        <v>108.99</v>
      </c>
      <c r="AO661" t="s">
        <v>5843</v>
      </c>
      <c r="AP661">
        <v>37700</v>
      </c>
      <c r="AV661">
        <v>0</v>
      </c>
      <c r="AX661" t="s">
        <v>158</v>
      </c>
    </row>
    <row r="662" spans="1:50">
      <c r="A662" s="1">
        <f>HYPERLINK("https://lsnyc.legalserver.org/matter/dynamic-profile/view/1889240","19-1889240")</f>
        <v>0</v>
      </c>
      <c r="B662" t="s">
        <v>89</v>
      </c>
      <c r="C662" t="s">
        <v>191</v>
      </c>
      <c r="D662" t="s">
        <v>352</v>
      </c>
      <c r="F662" t="s">
        <v>725</v>
      </c>
      <c r="G662" t="s">
        <v>1665</v>
      </c>
      <c r="H662" t="s">
        <v>2440</v>
      </c>
      <c r="I662" t="s">
        <v>3027</v>
      </c>
      <c r="J662" t="s">
        <v>3148</v>
      </c>
      <c r="K662">
        <v>11233</v>
      </c>
      <c r="L662" t="s">
        <v>3184</v>
      </c>
      <c r="N662" t="s">
        <v>3184</v>
      </c>
      <c r="O662" t="s">
        <v>3257</v>
      </c>
      <c r="P662" t="s">
        <v>3610</v>
      </c>
      <c r="T662" t="s">
        <v>3660</v>
      </c>
      <c r="U662" t="s">
        <v>3184</v>
      </c>
      <c r="W662" t="s">
        <v>3670</v>
      </c>
      <c r="X662" t="s">
        <v>3681</v>
      </c>
      <c r="Y662">
        <v>956</v>
      </c>
      <c r="Z662" t="s">
        <v>3691</v>
      </c>
      <c r="AA662" t="s">
        <v>3697</v>
      </c>
      <c r="AC662" t="s">
        <v>4314</v>
      </c>
      <c r="AD662" t="s">
        <v>3188</v>
      </c>
      <c r="AE662" t="s">
        <v>5413</v>
      </c>
      <c r="AF662">
        <v>34</v>
      </c>
      <c r="AG662" t="s">
        <v>5812</v>
      </c>
      <c r="AH662" t="s">
        <v>3188</v>
      </c>
      <c r="AI662">
        <v>5</v>
      </c>
      <c r="AJ662">
        <v>1</v>
      </c>
      <c r="AK662">
        <v>0</v>
      </c>
      <c r="AL662">
        <v>208.17</v>
      </c>
      <c r="AO662" t="s">
        <v>5843</v>
      </c>
      <c r="AP662">
        <v>26000</v>
      </c>
      <c r="AV662">
        <v>0</v>
      </c>
      <c r="AX662" t="s">
        <v>158</v>
      </c>
    </row>
    <row r="663" spans="1:50">
      <c r="A663" s="1">
        <f>HYPERLINK("https://lsnyc.legalserver.org/matter/dynamic-profile/view/1908740","19-1908740")</f>
        <v>0</v>
      </c>
      <c r="B663" t="s">
        <v>89</v>
      </c>
      <c r="C663" t="s">
        <v>191</v>
      </c>
      <c r="D663" t="s">
        <v>244</v>
      </c>
      <c r="F663" t="s">
        <v>465</v>
      </c>
      <c r="G663" t="s">
        <v>1666</v>
      </c>
      <c r="H663" t="s">
        <v>2441</v>
      </c>
      <c r="I663" t="s">
        <v>2860</v>
      </c>
      <c r="J663" t="s">
        <v>3148</v>
      </c>
      <c r="K663">
        <v>11233</v>
      </c>
      <c r="L663" t="s">
        <v>3184</v>
      </c>
      <c r="M663" t="s">
        <v>3188</v>
      </c>
      <c r="N663" t="s">
        <v>3186</v>
      </c>
      <c r="O663" t="s">
        <v>3436</v>
      </c>
      <c r="P663" t="s">
        <v>3613</v>
      </c>
      <c r="T663" t="s">
        <v>3660</v>
      </c>
      <c r="U663" t="s">
        <v>3184</v>
      </c>
      <c r="W663" t="s">
        <v>3670</v>
      </c>
      <c r="X663" t="s">
        <v>3681</v>
      </c>
      <c r="Y663">
        <v>1129</v>
      </c>
      <c r="Z663" t="s">
        <v>3691</v>
      </c>
      <c r="AC663" t="s">
        <v>4315</v>
      </c>
      <c r="AD663" t="s">
        <v>3218</v>
      </c>
      <c r="AE663" t="s">
        <v>5414</v>
      </c>
      <c r="AF663">
        <v>8</v>
      </c>
      <c r="AG663" t="s">
        <v>5813</v>
      </c>
      <c r="AH663" t="s">
        <v>3188</v>
      </c>
      <c r="AI663">
        <v>3</v>
      </c>
      <c r="AJ663">
        <v>1</v>
      </c>
      <c r="AK663">
        <v>0</v>
      </c>
      <c r="AL663">
        <v>272.22</v>
      </c>
      <c r="AO663" t="s">
        <v>5843</v>
      </c>
      <c r="AP663">
        <v>34000</v>
      </c>
      <c r="AV663">
        <v>0.7</v>
      </c>
      <c r="AW663" t="s">
        <v>198</v>
      </c>
      <c r="AX663" t="s">
        <v>158</v>
      </c>
    </row>
    <row r="664" spans="1:50">
      <c r="A664" s="1">
        <f>HYPERLINK("https://lsnyc.legalserver.org/matter/dynamic-profile/view/1903031","19-1903031")</f>
        <v>0</v>
      </c>
      <c r="B664" t="s">
        <v>89</v>
      </c>
      <c r="C664" t="s">
        <v>191</v>
      </c>
      <c r="D664" t="s">
        <v>205</v>
      </c>
      <c r="F664" t="s">
        <v>901</v>
      </c>
      <c r="G664" t="s">
        <v>1525</v>
      </c>
      <c r="H664" t="s">
        <v>2442</v>
      </c>
      <c r="I664">
        <v>318</v>
      </c>
      <c r="J664" t="s">
        <v>3148</v>
      </c>
      <c r="K664">
        <v>11208</v>
      </c>
      <c r="L664" t="s">
        <v>3184</v>
      </c>
      <c r="N664" t="s">
        <v>3186</v>
      </c>
      <c r="O664" t="s">
        <v>3437</v>
      </c>
      <c r="P664" t="s">
        <v>3610</v>
      </c>
      <c r="Q664" t="s">
        <v>3638</v>
      </c>
      <c r="T664" t="s">
        <v>3660</v>
      </c>
      <c r="U664" t="s">
        <v>3184</v>
      </c>
      <c r="W664" t="s">
        <v>3670</v>
      </c>
      <c r="Y664">
        <v>1348</v>
      </c>
      <c r="Z664" t="s">
        <v>3691</v>
      </c>
      <c r="AA664" t="s">
        <v>3696</v>
      </c>
      <c r="AC664" t="s">
        <v>4316</v>
      </c>
      <c r="AD664" t="s">
        <v>4829</v>
      </c>
      <c r="AE664" t="s">
        <v>5415</v>
      </c>
      <c r="AF664">
        <v>323</v>
      </c>
      <c r="AG664" t="s">
        <v>5813</v>
      </c>
      <c r="AH664" t="s">
        <v>5828</v>
      </c>
      <c r="AI664">
        <v>0</v>
      </c>
      <c r="AJ664">
        <v>1</v>
      </c>
      <c r="AK664">
        <v>0</v>
      </c>
      <c r="AL664">
        <v>0</v>
      </c>
      <c r="AO664" t="s">
        <v>5843</v>
      </c>
      <c r="AP664">
        <v>0</v>
      </c>
      <c r="AV664">
        <v>2.9</v>
      </c>
      <c r="AW664" t="s">
        <v>281</v>
      </c>
      <c r="AX664" t="s">
        <v>82</v>
      </c>
    </row>
    <row r="665" spans="1:50">
      <c r="A665" s="1">
        <f>HYPERLINK("https://lsnyc.legalserver.org/matter/dynamic-profile/view/1902184","19-1902184")</f>
        <v>0</v>
      </c>
      <c r="B665" t="s">
        <v>103</v>
      </c>
      <c r="C665" t="s">
        <v>192</v>
      </c>
      <c r="D665" t="s">
        <v>283</v>
      </c>
      <c r="E665" t="s">
        <v>228</v>
      </c>
      <c r="F665" t="s">
        <v>902</v>
      </c>
      <c r="G665" t="s">
        <v>1667</v>
      </c>
      <c r="H665" t="s">
        <v>2443</v>
      </c>
      <c r="I665">
        <v>2</v>
      </c>
      <c r="J665" t="s">
        <v>3148</v>
      </c>
      <c r="K665">
        <v>11207</v>
      </c>
      <c r="L665" t="s">
        <v>3185</v>
      </c>
      <c r="M665" t="s">
        <v>3189</v>
      </c>
      <c r="N665" t="s">
        <v>3186</v>
      </c>
      <c r="O665" t="s">
        <v>3438</v>
      </c>
      <c r="P665" t="s">
        <v>3612</v>
      </c>
      <c r="Q665" t="s">
        <v>3636</v>
      </c>
      <c r="R665" t="s">
        <v>3643</v>
      </c>
      <c r="S665" t="s">
        <v>285</v>
      </c>
      <c r="T665" t="s">
        <v>3660</v>
      </c>
      <c r="U665" t="s">
        <v>3184</v>
      </c>
      <c r="W665" t="s">
        <v>3670</v>
      </c>
      <c r="X665" t="s">
        <v>3681</v>
      </c>
      <c r="Y665">
        <v>2379</v>
      </c>
      <c r="Z665" t="s">
        <v>3691</v>
      </c>
      <c r="AA665" t="s">
        <v>3697</v>
      </c>
      <c r="AB665" t="s">
        <v>3713</v>
      </c>
      <c r="AC665" t="s">
        <v>4317</v>
      </c>
      <c r="AD665" t="s">
        <v>4762</v>
      </c>
      <c r="AE665" t="s">
        <v>5416</v>
      </c>
      <c r="AF665">
        <v>4</v>
      </c>
      <c r="AG665" t="s">
        <v>5814</v>
      </c>
      <c r="AH665" t="s">
        <v>5827</v>
      </c>
      <c r="AI665">
        <v>0</v>
      </c>
      <c r="AJ665">
        <v>2</v>
      </c>
      <c r="AK665">
        <v>2</v>
      </c>
      <c r="AL665">
        <v>143.69</v>
      </c>
      <c r="AO665" t="s">
        <v>5843</v>
      </c>
      <c r="AP665">
        <v>37000</v>
      </c>
      <c r="AV665">
        <v>1.7</v>
      </c>
      <c r="AW665" t="s">
        <v>232</v>
      </c>
      <c r="AX665" t="s">
        <v>6021</v>
      </c>
    </row>
    <row r="666" spans="1:50">
      <c r="A666" s="1">
        <f>HYPERLINK("https://lsnyc.legalserver.org/matter/dynamic-profile/view/1902323","19-1902323")</f>
        <v>0</v>
      </c>
      <c r="B666" t="s">
        <v>103</v>
      </c>
      <c r="C666" t="s">
        <v>192</v>
      </c>
      <c r="D666" t="s">
        <v>302</v>
      </c>
      <c r="E666" t="s">
        <v>196</v>
      </c>
      <c r="F666" t="s">
        <v>903</v>
      </c>
      <c r="G666" t="s">
        <v>1263</v>
      </c>
      <c r="H666" t="s">
        <v>2444</v>
      </c>
      <c r="I666" t="s">
        <v>2830</v>
      </c>
      <c r="J666" t="s">
        <v>3148</v>
      </c>
      <c r="K666">
        <v>11217</v>
      </c>
      <c r="L666" t="s">
        <v>3185</v>
      </c>
      <c r="M666" t="s">
        <v>3189</v>
      </c>
      <c r="N666" t="s">
        <v>3186</v>
      </c>
      <c r="O666" t="s">
        <v>3257</v>
      </c>
      <c r="P666" t="s">
        <v>3612</v>
      </c>
      <c r="Q666" t="s">
        <v>3636</v>
      </c>
      <c r="R666" t="s">
        <v>3643</v>
      </c>
      <c r="S666" t="s">
        <v>285</v>
      </c>
      <c r="T666" t="s">
        <v>3660</v>
      </c>
      <c r="U666" t="s">
        <v>3184</v>
      </c>
      <c r="W666" t="s">
        <v>3670</v>
      </c>
      <c r="Y666">
        <v>1550</v>
      </c>
      <c r="Z666" t="s">
        <v>3691</v>
      </c>
      <c r="AA666" t="s">
        <v>3632</v>
      </c>
      <c r="AB666" t="s">
        <v>3713</v>
      </c>
      <c r="AC666" t="s">
        <v>4318</v>
      </c>
      <c r="AE666" t="s">
        <v>5417</v>
      </c>
      <c r="AF666">
        <v>6</v>
      </c>
      <c r="AH666" t="s">
        <v>3188</v>
      </c>
      <c r="AI666">
        <v>9</v>
      </c>
      <c r="AJ666">
        <v>1</v>
      </c>
      <c r="AK666">
        <v>0</v>
      </c>
      <c r="AL666">
        <v>175.13</v>
      </c>
      <c r="AO666" t="s">
        <v>5843</v>
      </c>
      <c r="AP666">
        <v>21874</v>
      </c>
      <c r="AV666">
        <v>2.1</v>
      </c>
      <c r="AW666" t="s">
        <v>232</v>
      </c>
      <c r="AX666" t="s">
        <v>6013</v>
      </c>
    </row>
    <row r="667" spans="1:50">
      <c r="A667" s="1">
        <f>HYPERLINK("https://lsnyc.legalserver.org/matter/dynamic-profile/view/1888046","19-1888046")</f>
        <v>0</v>
      </c>
      <c r="B667" t="s">
        <v>103</v>
      </c>
      <c r="C667" t="s">
        <v>192</v>
      </c>
      <c r="D667" t="s">
        <v>274</v>
      </c>
      <c r="E667" t="s">
        <v>196</v>
      </c>
      <c r="F667" t="s">
        <v>904</v>
      </c>
      <c r="G667" t="s">
        <v>1668</v>
      </c>
      <c r="H667" t="s">
        <v>2445</v>
      </c>
      <c r="I667">
        <v>401</v>
      </c>
      <c r="J667" t="s">
        <v>3148</v>
      </c>
      <c r="K667">
        <v>11201</v>
      </c>
      <c r="L667" t="s">
        <v>3185</v>
      </c>
      <c r="M667" t="s">
        <v>3189</v>
      </c>
      <c r="N667" t="s">
        <v>3186</v>
      </c>
      <c r="O667" t="s">
        <v>3257</v>
      </c>
      <c r="P667" t="s">
        <v>3257</v>
      </c>
      <c r="Q667" t="s">
        <v>3636</v>
      </c>
      <c r="R667" t="s">
        <v>3643</v>
      </c>
      <c r="S667" t="s">
        <v>285</v>
      </c>
      <c r="T667" t="s">
        <v>3660</v>
      </c>
      <c r="U667" t="s">
        <v>3184</v>
      </c>
      <c r="V667" t="s">
        <v>3665</v>
      </c>
      <c r="W667" t="s">
        <v>3670</v>
      </c>
      <c r="Y667">
        <v>1096</v>
      </c>
      <c r="Z667" t="s">
        <v>3691</v>
      </c>
      <c r="AA667" t="s">
        <v>3699</v>
      </c>
      <c r="AB667" t="s">
        <v>3713</v>
      </c>
      <c r="AC667" t="s">
        <v>4319</v>
      </c>
      <c r="AE667" t="s">
        <v>5418</v>
      </c>
      <c r="AF667">
        <v>156</v>
      </c>
      <c r="AG667" t="s">
        <v>3263</v>
      </c>
      <c r="AH667" t="s">
        <v>3188</v>
      </c>
      <c r="AI667">
        <v>11</v>
      </c>
      <c r="AJ667">
        <v>2</v>
      </c>
      <c r="AK667">
        <v>0</v>
      </c>
      <c r="AL667">
        <v>182.26</v>
      </c>
      <c r="AO667" t="s">
        <v>5843</v>
      </c>
      <c r="AP667">
        <v>30000</v>
      </c>
      <c r="AV667">
        <v>2</v>
      </c>
      <c r="AW667" t="s">
        <v>232</v>
      </c>
      <c r="AX667" t="s">
        <v>6032</v>
      </c>
    </row>
    <row r="668" spans="1:50">
      <c r="A668" s="1">
        <f>HYPERLINK("https://lsnyc.legalserver.org/matter/dynamic-profile/view/1906244","19-1906244")</f>
        <v>0</v>
      </c>
      <c r="B668" t="s">
        <v>103</v>
      </c>
      <c r="C668" t="s">
        <v>192</v>
      </c>
      <c r="D668" t="s">
        <v>219</v>
      </c>
      <c r="E668" t="s">
        <v>197</v>
      </c>
      <c r="F668" t="s">
        <v>905</v>
      </c>
      <c r="G668" t="s">
        <v>1237</v>
      </c>
      <c r="H668" t="s">
        <v>2446</v>
      </c>
      <c r="I668" t="s">
        <v>2838</v>
      </c>
      <c r="J668" t="s">
        <v>3148</v>
      </c>
      <c r="K668">
        <v>11233</v>
      </c>
      <c r="L668" t="s">
        <v>3185</v>
      </c>
      <c r="M668" t="s">
        <v>3189</v>
      </c>
      <c r="N668" t="s">
        <v>3186</v>
      </c>
      <c r="O668" t="s">
        <v>3191</v>
      </c>
      <c r="P668" t="s">
        <v>3257</v>
      </c>
      <c r="Q668" t="s">
        <v>3636</v>
      </c>
      <c r="R668" t="s">
        <v>3643</v>
      </c>
      <c r="S668" t="s">
        <v>219</v>
      </c>
      <c r="T668" t="s">
        <v>3660</v>
      </c>
      <c r="U668" t="s">
        <v>3184</v>
      </c>
      <c r="W668" t="s">
        <v>3670</v>
      </c>
      <c r="Y668">
        <v>259</v>
      </c>
      <c r="Z668" t="s">
        <v>3691</v>
      </c>
      <c r="AA668" t="s">
        <v>3696</v>
      </c>
      <c r="AB668" t="s">
        <v>3713</v>
      </c>
      <c r="AC668" t="s">
        <v>4320</v>
      </c>
      <c r="AF668">
        <v>6</v>
      </c>
      <c r="AG668" t="s">
        <v>5813</v>
      </c>
      <c r="AI668">
        <v>9</v>
      </c>
      <c r="AJ668">
        <v>1</v>
      </c>
      <c r="AK668">
        <v>0</v>
      </c>
      <c r="AL668">
        <v>74.45999999999999</v>
      </c>
      <c r="AO668" t="s">
        <v>5843</v>
      </c>
      <c r="AP668">
        <v>9300</v>
      </c>
      <c r="AV668">
        <v>0.4</v>
      </c>
      <c r="AW668" t="s">
        <v>290</v>
      </c>
      <c r="AX668" t="s">
        <v>6036</v>
      </c>
    </row>
    <row r="669" spans="1:50">
      <c r="A669" s="1">
        <f>HYPERLINK("https://lsnyc.legalserver.org/matter/dynamic-profile/view/1905722","19-1905722")</f>
        <v>0</v>
      </c>
      <c r="B669" t="s">
        <v>103</v>
      </c>
      <c r="C669" t="s">
        <v>192</v>
      </c>
      <c r="D669" t="s">
        <v>203</v>
      </c>
      <c r="E669" t="s">
        <v>269</v>
      </c>
      <c r="F669" t="s">
        <v>906</v>
      </c>
      <c r="G669" t="s">
        <v>1669</v>
      </c>
      <c r="H669" t="s">
        <v>2447</v>
      </c>
      <c r="I669">
        <v>1</v>
      </c>
      <c r="J669" t="s">
        <v>3148</v>
      </c>
      <c r="K669">
        <v>11213</v>
      </c>
      <c r="L669" t="s">
        <v>3185</v>
      </c>
      <c r="M669" t="s">
        <v>3189</v>
      </c>
      <c r="N669" t="s">
        <v>3186</v>
      </c>
      <c r="O669" t="s">
        <v>3257</v>
      </c>
      <c r="P669" t="s">
        <v>3257</v>
      </c>
      <c r="Q669" t="s">
        <v>3636</v>
      </c>
      <c r="R669" t="s">
        <v>3643</v>
      </c>
      <c r="S669" t="s">
        <v>277</v>
      </c>
      <c r="T669" t="s">
        <v>3660</v>
      </c>
      <c r="U669" t="s">
        <v>3184</v>
      </c>
      <c r="W669" t="s">
        <v>3670</v>
      </c>
      <c r="Y669">
        <v>2000</v>
      </c>
      <c r="Z669" t="s">
        <v>3691</v>
      </c>
      <c r="AA669" t="s">
        <v>3632</v>
      </c>
      <c r="AB669" t="s">
        <v>3713</v>
      </c>
      <c r="AC669" t="s">
        <v>4321</v>
      </c>
      <c r="AE669" t="s">
        <v>5419</v>
      </c>
      <c r="AF669">
        <v>3</v>
      </c>
      <c r="AI669">
        <v>5</v>
      </c>
      <c r="AJ669">
        <v>1</v>
      </c>
      <c r="AK669">
        <v>0</v>
      </c>
      <c r="AL669">
        <v>0</v>
      </c>
      <c r="AO669" t="s">
        <v>5843</v>
      </c>
      <c r="AP669">
        <v>0</v>
      </c>
      <c r="AV669">
        <v>1.3</v>
      </c>
      <c r="AW669" t="s">
        <v>290</v>
      </c>
      <c r="AX669" t="s">
        <v>6012</v>
      </c>
    </row>
    <row r="670" spans="1:50">
      <c r="A670" s="1">
        <f>HYPERLINK("https://lsnyc.legalserver.org/matter/dynamic-profile/view/1906018","19-1906018")</f>
        <v>0</v>
      </c>
      <c r="B670" t="s">
        <v>103</v>
      </c>
      <c r="C670" t="s">
        <v>192</v>
      </c>
      <c r="D670" t="s">
        <v>200</v>
      </c>
      <c r="E670" t="s">
        <v>269</v>
      </c>
      <c r="F670" t="s">
        <v>716</v>
      </c>
      <c r="G670" t="s">
        <v>1670</v>
      </c>
      <c r="H670" t="s">
        <v>2448</v>
      </c>
      <c r="I670" t="s">
        <v>3028</v>
      </c>
      <c r="J670" t="s">
        <v>3148</v>
      </c>
      <c r="K670">
        <v>11233</v>
      </c>
      <c r="L670" t="s">
        <v>3185</v>
      </c>
      <c r="M670" t="s">
        <v>3189</v>
      </c>
      <c r="N670" t="s">
        <v>3186</v>
      </c>
      <c r="O670" t="s">
        <v>3257</v>
      </c>
      <c r="P670" t="s">
        <v>3257</v>
      </c>
      <c r="Q670" t="s">
        <v>3636</v>
      </c>
      <c r="R670" t="s">
        <v>3643</v>
      </c>
      <c r="S670" t="s">
        <v>277</v>
      </c>
      <c r="T670" t="s">
        <v>3660</v>
      </c>
      <c r="U670" t="s">
        <v>3184</v>
      </c>
      <c r="W670" t="s">
        <v>3670</v>
      </c>
      <c r="Y670">
        <v>1781</v>
      </c>
      <c r="Z670" t="s">
        <v>3691</v>
      </c>
      <c r="AA670" t="s">
        <v>3700</v>
      </c>
      <c r="AB670" t="s">
        <v>3713</v>
      </c>
      <c r="AC670" t="s">
        <v>4322</v>
      </c>
      <c r="AE670" t="s">
        <v>5420</v>
      </c>
      <c r="AF670">
        <v>8</v>
      </c>
      <c r="AG670" t="s">
        <v>5813</v>
      </c>
      <c r="AH670" t="s">
        <v>5831</v>
      </c>
      <c r="AI670">
        <v>14</v>
      </c>
      <c r="AJ670">
        <v>3</v>
      </c>
      <c r="AK670">
        <v>1</v>
      </c>
      <c r="AL670">
        <v>41.15</v>
      </c>
      <c r="AO670" t="s">
        <v>5843</v>
      </c>
      <c r="AP670">
        <v>10596</v>
      </c>
      <c r="AV670">
        <v>0.6</v>
      </c>
      <c r="AW670" t="s">
        <v>290</v>
      </c>
      <c r="AX670" t="s">
        <v>6032</v>
      </c>
    </row>
    <row r="671" spans="1:50">
      <c r="A671" s="1">
        <f>HYPERLINK("https://lsnyc.legalserver.org/matter/dynamic-profile/view/1905677","19-1905677")</f>
        <v>0</v>
      </c>
      <c r="B671" t="s">
        <v>89</v>
      </c>
      <c r="C671" t="s">
        <v>191</v>
      </c>
      <c r="D671" t="s">
        <v>203</v>
      </c>
      <c r="F671" t="s">
        <v>907</v>
      </c>
      <c r="G671" t="s">
        <v>1595</v>
      </c>
      <c r="H671" t="s">
        <v>2449</v>
      </c>
      <c r="I671" t="s">
        <v>2822</v>
      </c>
      <c r="J671" t="s">
        <v>3148</v>
      </c>
      <c r="K671">
        <v>11212</v>
      </c>
      <c r="L671" t="s">
        <v>3184</v>
      </c>
      <c r="M671" t="s">
        <v>3188</v>
      </c>
      <c r="N671" t="s">
        <v>3186</v>
      </c>
      <c r="O671" t="s">
        <v>3439</v>
      </c>
      <c r="P671" t="s">
        <v>3613</v>
      </c>
      <c r="Q671" t="s">
        <v>3634</v>
      </c>
      <c r="T671" t="s">
        <v>3660</v>
      </c>
      <c r="U671" t="s">
        <v>3184</v>
      </c>
      <c r="W671" t="s">
        <v>3670</v>
      </c>
      <c r="X671" t="s">
        <v>3681</v>
      </c>
      <c r="Y671">
        <v>1100</v>
      </c>
      <c r="Z671" t="s">
        <v>3691</v>
      </c>
      <c r="AA671" t="s">
        <v>3701</v>
      </c>
      <c r="AC671" t="s">
        <v>4323</v>
      </c>
      <c r="AD671" t="s">
        <v>3218</v>
      </c>
      <c r="AE671" t="s">
        <v>5421</v>
      </c>
      <c r="AF671">
        <v>4</v>
      </c>
      <c r="AG671" t="s">
        <v>5814</v>
      </c>
      <c r="AH671" t="s">
        <v>3188</v>
      </c>
      <c r="AI671">
        <v>13</v>
      </c>
      <c r="AJ671">
        <v>2</v>
      </c>
      <c r="AK671">
        <v>1</v>
      </c>
      <c r="AL671">
        <v>227.61</v>
      </c>
      <c r="AO671" t="s">
        <v>5843</v>
      </c>
      <c r="AP671">
        <v>48550</v>
      </c>
      <c r="AQ671" t="s">
        <v>5896</v>
      </c>
      <c r="AV671">
        <v>0.75</v>
      </c>
      <c r="AW671" t="s">
        <v>203</v>
      </c>
      <c r="AX671" t="s">
        <v>6018</v>
      </c>
    </row>
    <row r="672" spans="1:50">
      <c r="A672" s="1">
        <f>HYPERLINK("https://lsnyc.legalserver.org/matter/dynamic-profile/view/1910165","19-1910165")</f>
        <v>0</v>
      </c>
      <c r="B672" t="s">
        <v>92</v>
      </c>
      <c r="C672" t="s">
        <v>191</v>
      </c>
      <c r="D672" t="s">
        <v>221</v>
      </c>
      <c r="F672" t="s">
        <v>513</v>
      </c>
      <c r="G672" t="s">
        <v>1671</v>
      </c>
      <c r="H672" t="s">
        <v>2450</v>
      </c>
      <c r="J672" t="s">
        <v>3148</v>
      </c>
      <c r="K672">
        <v>11212</v>
      </c>
      <c r="L672" t="s">
        <v>3184</v>
      </c>
      <c r="M672" t="s">
        <v>3188</v>
      </c>
      <c r="N672" t="s">
        <v>3186</v>
      </c>
      <c r="O672" t="s">
        <v>3440</v>
      </c>
      <c r="P672" t="s">
        <v>3613</v>
      </c>
      <c r="T672" t="s">
        <v>3660</v>
      </c>
      <c r="U672" t="s">
        <v>3184</v>
      </c>
      <c r="W672" t="s">
        <v>3670</v>
      </c>
      <c r="X672" t="s">
        <v>3681</v>
      </c>
      <c r="Y672">
        <v>700</v>
      </c>
      <c r="Z672" t="s">
        <v>3691</v>
      </c>
      <c r="AA672" t="s">
        <v>3697</v>
      </c>
      <c r="AC672" t="s">
        <v>4324</v>
      </c>
      <c r="AD672" t="s">
        <v>4762</v>
      </c>
      <c r="AF672">
        <v>39</v>
      </c>
      <c r="AG672" t="s">
        <v>5813</v>
      </c>
      <c r="AH672" t="s">
        <v>5830</v>
      </c>
      <c r="AI672">
        <v>26</v>
      </c>
      <c r="AJ672">
        <v>1</v>
      </c>
      <c r="AK672">
        <v>1</v>
      </c>
      <c r="AL672">
        <v>54.71</v>
      </c>
      <c r="AO672" t="s">
        <v>5843</v>
      </c>
      <c r="AP672">
        <v>9252</v>
      </c>
      <c r="AV672">
        <v>1</v>
      </c>
      <c r="AW672" t="s">
        <v>221</v>
      </c>
      <c r="AX672" t="s">
        <v>6030</v>
      </c>
    </row>
    <row r="673" spans="1:50">
      <c r="A673" s="1">
        <f>HYPERLINK("https://lsnyc.legalserver.org/matter/dynamic-profile/view/1908279","19-1908279")</f>
        <v>0</v>
      </c>
      <c r="B673" t="s">
        <v>103</v>
      </c>
      <c r="C673" t="s">
        <v>192</v>
      </c>
      <c r="D673" t="s">
        <v>212</v>
      </c>
      <c r="E673" t="s">
        <v>438</v>
      </c>
      <c r="F673" t="s">
        <v>908</v>
      </c>
      <c r="G673" t="s">
        <v>625</v>
      </c>
      <c r="H673" t="s">
        <v>2451</v>
      </c>
      <c r="I673" t="s">
        <v>2894</v>
      </c>
      <c r="J673" t="s">
        <v>3148</v>
      </c>
      <c r="K673">
        <v>11233</v>
      </c>
      <c r="L673" t="s">
        <v>3185</v>
      </c>
      <c r="M673" t="s">
        <v>3189</v>
      </c>
      <c r="N673" t="s">
        <v>3186</v>
      </c>
      <c r="O673" t="s">
        <v>3441</v>
      </c>
      <c r="P673" t="s">
        <v>3610</v>
      </c>
      <c r="Q673" t="s">
        <v>3638</v>
      </c>
      <c r="R673" t="s">
        <v>3644</v>
      </c>
      <c r="S673" t="s">
        <v>286</v>
      </c>
      <c r="T673" t="s">
        <v>3660</v>
      </c>
      <c r="U673" t="s">
        <v>3184</v>
      </c>
      <c r="W673" t="s">
        <v>3670</v>
      </c>
      <c r="X673" t="s">
        <v>3684</v>
      </c>
      <c r="Y673">
        <v>0</v>
      </c>
      <c r="Z673" t="s">
        <v>3691</v>
      </c>
      <c r="AB673" t="s">
        <v>3714</v>
      </c>
      <c r="AC673" t="s">
        <v>4325</v>
      </c>
      <c r="AD673" t="s">
        <v>4779</v>
      </c>
      <c r="AE673" t="s">
        <v>5422</v>
      </c>
      <c r="AF673">
        <v>110</v>
      </c>
      <c r="AG673" t="s">
        <v>3263</v>
      </c>
      <c r="AH673" t="s">
        <v>3632</v>
      </c>
      <c r="AI673">
        <v>0</v>
      </c>
      <c r="AJ673">
        <v>1</v>
      </c>
      <c r="AK673">
        <v>2</v>
      </c>
      <c r="AL673">
        <v>0</v>
      </c>
      <c r="AO673" t="s">
        <v>5843</v>
      </c>
      <c r="AP673">
        <v>0</v>
      </c>
      <c r="AR673" t="s">
        <v>5929</v>
      </c>
      <c r="AS673" t="s">
        <v>5937</v>
      </c>
      <c r="AT673" t="s">
        <v>5946</v>
      </c>
      <c r="AU673" t="s">
        <v>5967</v>
      </c>
      <c r="AV673">
        <v>4.9</v>
      </c>
      <c r="AW673" t="s">
        <v>438</v>
      </c>
      <c r="AX673" t="s">
        <v>158</v>
      </c>
    </row>
    <row r="674" spans="1:50">
      <c r="A674" s="1">
        <f>HYPERLINK("https://lsnyc.legalserver.org/matter/dynamic-profile/view/1903654","19-1903654")</f>
        <v>0</v>
      </c>
      <c r="B674" t="s">
        <v>103</v>
      </c>
      <c r="C674" t="s">
        <v>191</v>
      </c>
      <c r="D674" t="s">
        <v>271</v>
      </c>
      <c r="F674" t="s">
        <v>909</v>
      </c>
      <c r="G674" t="s">
        <v>1672</v>
      </c>
      <c r="H674" t="s">
        <v>2452</v>
      </c>
      <c r="I674" t="s">
        <v>2897</v>
      </c>
      <c r="J674" t="s">
        <v>3148</v>
      </c>
      <c r="K674">
        <v>11225</v>
      </c>
      <c r="L674" t="s">
        <v>3185</v>
      </c>
      <c r="M674" t="s">
        <v>3189</v>
      </c>
      <c r="N674" t="s">
        <v>3186</v>
      </c>
      <c r="O674" t="s">
        <v>3442</v>
      </c>
      <c r="P674" t="s">
        <v>3610</v>
      </c>
      <c r="Q674" t="s">
        <v>3638</v>
      </c>
      <c r="S674" t="s">
        <v>272</v>
      </c>
      <c r="T674" t="s">
        <v>3660</v>
      </c>
      <c r="U674" t="s">
        <v>3184</v>
      </c>
      <c r="W674" t="s">
        <v>3670</v>
      </c>
      <c r="X674" t="s">
        <v>3683</v>
      </c>
      <c r="Y674">
        <v>678</v>
      </c>
      <c r="Z674" t="s">
        <v>3691</v>
      </c>
      <c r="AA674" t="s">
        <v>3696</v>
      </c>
      <c r="AC674" t="s">
        <v>4326</v>
      </c>
      <c r="AD674" t="s">
        <v>3188</v>
      </c>
      <c r="AE674" t="s">
        <v>5423</v>
      </c>
      <c r="AF674">
        <v>26</v>
      </c>
      <c r="AH674" t="s">
        <v>5830</v>
      </c>
      <c r="AI674">
        <v>19</v>
      </c>
      <c r="AJ674">
        <v>2</v>
      </c>
      <c r="AK674">
        <v>3</v>
      </c>
      <c r="AL674">
        <v>95.66</v>
      </c>
      <c r="AN674" t="s">
        <v>5841</v>
      </c>
      <c r="AO674" t="s">
        <v>5843</v>
      </c>
      <c r="AP674">
        <v>28860</v>
      </c>
      <c r="AV674">
        <v>2.4</v>
      </c>
      <c r="AW674" t="s">
        <v>291</v>
      </c>
      <c r="AX674" t="s">
        <v>158</v>
      </c>
    </row>
    <row r="675" spans="1:50">
      <c r="A675" s="1">
        <f>HYPERLINK("https://lsnyc.legalserver.org/matter/dynamic-profile/view/1903176","19-1903176")</f>
        <v>0</v>
      </c>
      <c r="B675" t="s">
        <v>103</v>
      </c>
      <c r="C675" t="s">
        <v>191</v>
      </c>
      <c r="D675" t="s">
        <v>273</v>
      </c>
      <c r="F675" t="s">
        <v>463</v>
      </c>
      <c r="G675" t="s">
        <v>1365</v>
      </c>
      <c r="H675" t="s">
        <v>2453</v>
      </c>
      <c r="I675" t="s">
        <v>2897</v>
      </c>
      <c r="J675" t="s">
        <v>3148</v>
      </c>
      <c r="K675">
        <v>11233</v>
      </c>
      <c r="L675" t="s">
        <v>3185</v>
      </c>
      <c r="M675" t="s">
        <v>3189</v>
      </c>
      <c r="N675" t="s">
        <v>3186</v>
      </c>
      <c r="O675" t="s">
        <v>3443</v>
      </c>
      <c r="P675" t="s">
        <v>3610</v>
      </c>
      <c r="Q675" t="s">
        <v>3638</v>
      </c>
      <c r="S675" t="s">
        <v>272</v>
      </c>
      <c r="T675" t="s">
        <v>3660</v>
      </c>
      <c r="U675" t="s">
        <v>3184</v>
      </c>
      <c r="W675" t="s">
        <v>3670</v>
      </c>
      <c r="X675" t="s">
        <v>3681</v>
      </c>
      <c r="Y675">
        <v>1300</v>
      </c>
      <c r="Z675" t="s">
        <v>3691</v>
      </c>
      <c r="AA675" t="s">
        <v>3707</v>
      </c>
      <c r="AC675" t="s">
        <v>4327</v>
      </c>
      <c r="AD675" t="s">
        <v>3188</v>
      </c>
      <c r="AE675" t="s">
        <v>5424</v>
      </c>
      <c r="AF675">
        <v>6</v>
      </c>
      <c r="AG675" t="s">
        <v>5813</v>
      </c>
      <c r="AH675" t="s">
        <v>3188</v>
      </c>
      <c r="AI675">
        <v>10</v>
      </c>
      <c r="AJ675">
        <v>1</v>
      </c>
      <c r="AK675">
        <v>0</v>
      </c>
      <c r="AL675">
        <v>376.3</v>
      </c>
      <c r="AM675" t="s">
        <v>228</v>
      </c>
      <c r="AN675" t="s">
        <v>5839</v>
      </c>
      <c r="AO675" t="s">
        <v>5843</v>
      </c>
      <c r="AP675">
        <v>47000</v>
      </c>
      <c r="AV675">
        <v>11.1</v>
      </c>
      <c r="AW675" t="s">
        <v>221</v>
      </c>
      <c r="AX675" t="s">
        <v>158</v>
      </c>
    </row>
    <row r="676" spans="1:50">
      <c r="A676" s="1">
        <f>HYPERLINK("https://lsnyc.legalserver.org/matter/dynamic-profile/view/1904033","19-1904033")</f>
        <v>0</v>
      </c>
      <c r="B676" t="s">
        <v>103</v>
      </c>
      <c r="C676" t="s">
        <v>191</v>
      </c>
      <c r="D676" t="s">
        <v>223</v>
      </c>
      <c r="F676" t="s">
        <v>910</v>
      </c>
      <c r="G676" t="s">
        <v>1575</v>
      </c>
      <c r="H676" t="s">
        <v>2454</v>
      </c>
      <c r="I676" t="s">
        <v>2819</v>
      </c>
      <c r="J676" t="s">
        <v>3148</v>
      </c>
      <c r="K676">
        <v>11233</v>
      </c>
      <c r="L676" t="s">
        <v>3185</v>
      </c>
      <c r="M676" t="s">
        <v>3189</v>
      </c>
      <c r="N676" t="s">
        <v>3186</v>
      </c>
      <c r="O676" t="s">
        <v>3444</v>
      </c>
      <c r="P676" t="s">
        <v>3610</v>
      </c>
      <c r="Q676" t="s">
        <v>3638</v>
      </c>
      <c r="S676" t="s">
        <v>202</v>
      </c>
      <c r="T676" t="s">
        <v>3660</v>
      </c>
      <c r="U676" t="s">
        <v>3184</v>
      </c>
      <c r="W676" t="s">
        <v>3670</v>
      </c>
      <c r="X676" t="s">
        <v>3681</v>
      </c>
      <c r="Y676">
        <v>900</v>
      </c>
      <c r="Z676" t="s">
        <v>3691</v>
      </c>
      <c r="AA676" t="s">
        <v>3706</v>
      </c>
      <c r="AC676" t="s">
        <v>4328</v>
      </c>
      <c r="AD676" t="s">
        <v>3218</v>
      </c>
      <c r="AE676" t="s">
        <v>5425</v>
      </c>
      <c r="AF676">
        <v>97</v>
      </c>
      <c r="AG676" t="s">
        <v>5812</v>
      </c>
      <c r="AH676" t="s">
        <v>5830</v>
      </c>
      <c r="AI676">
        <v>7</v>
      </c>
      <c r="AJ676">
        <v>3</v>
      </c>
      <c r="AK676">
        <v>0</v>
      </c>
      <c r="AL676">
        <v>182.33</v>
      </c>
      <c r="AO676" t="s">
        <v>5843</v>
      </c>
      <c r="AP676">
        <v>38892</v>
      </c>
      <c r="AV676">
        <v>11.6</v>
      </c>
      <c r="AW676" t="s">
        <v>275</v>
      </c>
      <c r="AX676" t="s">
        <v>158</v>
      </c>
    </row>
    <row r="677" spans="1:50">
      <c r="A677" s="1">
        <f>HYPERLINK("https://lsnyc.legalserver.org/matter/dynamic-profile/view/1902279","19-1902279")</f>
        <v>0</v>
      </c>
      <c r="B677" t="s">
        <v>103</v>
      </c>
      <c r="C677" t="s">
        <v>191</v>
      </c>
      <c r="D677" t="s">
        <v>302</v>
      </c>
      <c r="F677" t="s">
        <v>911</v>
      </c>
      <c r="G677" t="s">
        <v>1673</v>
      </c>
      <c r="H677" t="s">
        <v>2455</v>
      </c>
      <c r="I677" t="s">
        <v>2912</v>
      </c>
      <c r="J677" t="s">
        <v>3148</v>
      </c>
      <c r="K677">
        <v>11226</v>
      </c>
      <c r="L677" t="s">
        <v>3185</v>
      </c>
      <c r="M677" t="s">
        <v>3189</v>
      </c>
      <c r="N677" t="s">
        <v>3186</v>
      </c>
      <c r="O677" t="s">
        <v>3191</v>
      </c>
      <c r="P677" t="s">
        <v>3257</v>
      </c>
      <c r="Q677" t="s">
        <v>3636</v>
      </c>
      <c r="S677" t="s">
        <v>277</v>
      </c>
      <c r="T677" t="s">
        <v>3660</v>
      </c>
      <c r="U677" t="s">
        <v>3184</v>
      </c>
      <c r="W677" t="s">
        <v>3670</v>
      </c>
      <c r="Y677">
        <v>1462</v>
      </c>
      <c r="Z677" t="s">
        <v>3691</v>
      </c>
      <c r="AA677" t="s">
        <v>3697</v>
      </c>
      <c r="AC677" t="s">
        <v>4329</v>
      </c>
      <c r="AE677" t="s">
        <v>5426</v>
      </c>
      <c r="AF677">
        <v>42</v>
      </c>
      <c r="AG677" t="s">
        <v>5813</v>
      </c>
      <c r="AH677" t="s">
        <v>3188</v>
      </c>
      <c r="AI677">
        <v>4</v>
      </c>
      <c r="AJ677">
        <v>1</v>
      </c>
      <c r="AK677">
        <v>0</v>
      </c>
      <c r="AL677">
        <v>364.29</v>
      </c>
      <c r="AO677" t="s">
        <v>5843</v>
      </c>
      <c r="AP677">
        <v>45500</v>
      </c>
      <c r="AV677">
        <v>1</v>
      </c>
      <c r="AW677" t="s">
        <v>302</v>
      </c>
      <c r="AX677" t="s">
        <v>6014</v>
      </c>
    </row>
    <row r="678" spans="1:50">
      <c r="A678" s="1">
        <f>HYPERLINK("https://lsnyc.legalserver.org/matter/dynamic-profile/view/1907747","19-1907747")</f>
        <v>0</v>
      </c>
      <c r="B678" t="s">
        <v>103</v>
      </c>
      <c r="C678" t="s">
        <v>191</v>
      </c>
      <c r="D678" t="s">
        <v>225</v>
      </c>
      <c r="F678" t="s">
        <v>515</v>
      </c>
      <c r="G678" t="s">
        <v>1187</v>
      </c>
      <c r="H678" t="s">
        <v>2456</v>
      </c>
      <c r="I678" t="s">
        <v>3029</v>
      </c>
      <c r="J678" t="s">
        <v>3148</v>
      </c>
      <c r="K678">
        <v>11219</v>
      </c>
      <c r="L678" t="s">
        <v>3185</v>
      </c>
      <c r="M678" t="s">
        <v>3189</v>
      </c>
      <c r="N678" t="s">
        <v>3186</v>
      </c>
      <c r="O678" t="s">
        <v>3445</v>
      </c>
      <c r="P678" t="s">
        <v>3610</v>
      </c>
      <c r="Q678" t="s">
        <v>3638</v>
      </c>
      <c r="S678" t="s">
        <v>206</v>
      </c>
      <c r="T678" t="s">
        <v>3660</v>
      </c>
      <c r="U678" t="s">
        <v>3184</v>
      </c>
      <c r="W678" t="s">
        <v>3670</v>
      </c>
      <c r="Y678">
        <v>900</v>
      </c>
      <c r="Z678" t="s">
        <v>3691</v>
      </c>
      <c r="AA678" t="s">
        <v>3696</v>
      </c>
      <c r="AC678" t="s">
        <v>4330</v>
      </c>
      <c r="AE678" t="s">
        <v>5427</v>
      </c>
      <c r="AF678">
        <v>6</v>
      </c>
      <c r="AG678" t="s">
        <v>5813</v>
      </c>
      <c r="AH678" t="s">
        <v>3188</v>
      </c>
      <c r="AI678">
        <v>10</v>
      </c>
      <c r="AJ678">
        <v>3</v>
      </c>
      <c r="AK678">
        <v>0</v>
      </c>
      <c r="AL678">
        <v>84.39</v>
      </c>
      <c r="AO678" t="s">
        <v>5844</v>
      </c>
      <c r="AP678">
        <v>18000</v>
      </c>
      <c r="AV678">
        <v>5.3</v>
      </c>
      <c r="AW678" t="s">
        <v>275</v>
      </c>
      <c r="AX678" t="s">
        <v>82</v>
      </c>
    </row>
    <row r="679" spans="1:50">
      <c r="A679" s="1">
        <f>HYPERLINK("https://lsnyc.legalserver.org/matter/dynamic-profile/view/1906538","19-1906538")</f>
        <v>0</v>
      </c>
      <c r="B679" t="s">
        <v>103</v>
      </c>
      <c r="C679" t="s">
        <v>191</v>
      </c>
      <c r="D679" t="s">
        <v>226</v>
      </c>
      <c r="F679" t="s">
        <v>460</v>
      </c>
      <c r="G679" t="s">
        <v>1674</v>
      </c>
      <c r="H679" t="s">
        <v>2457</v>
      </c>
      <c r="I679" t="s">
        <v>3030</v>
      </c>
      <c r="J679" t="s">
        <v>3148</v>
      </c>
      <c r="K679">
        <v>11220</v>
      </c>
      <c r="L679" t="s">
        <v>3185</v>
      </c>
      <c r="M679" t="s">
        <v>3189</v>
      </c>
      <c r="N679" t="s">
        <v>3186</v>
      </c>
      <c r="O679" t="s">
        <v>3446</v>
      </c>
      <c r="P679" t="s">
        <v>3610</v>
      </c>
      <c r="Q679" t="s">
        <v>3638</v>
      </c>
      <c r="S679" t="s">
        <v>225</v>
      </c>
      <c r="T679" t="s">
        <v>3660</v>
      </c>
      <c r="U679" t="s">
        <v>3184</v>
      </c>
      <c r="W679" t="s">
        <v>3670</v>
      </c>
      <c r="Y679">
        <v>1938</v>
      </c>
      <c r="Z679" t="s">
        <v>3691</v>
      </c>
      <c r="AA679" t="s">
        <v>3705</v>
      </c>
      <c r="AC679" t="s">
        <v>4331</v>
      </c>
      <c r="AD679" t="s">
        <v>4830</v>
      </c>
      <c r="AE679" t="s">
        <v>5428</v>
      </c>
      <c r="AF679">
        <v>60</v>
      </c>
      <c r="AG679" t="s">
        <v>5813</v>
      </c>
      <c r="AH679" t="s">
        <v>3188</v>
      </c>
      <c r="AI679">
        <v>2</v>
      </c>
      <c r="AJ679">
        <v>1</v>
      </c>
      <c r="AK679">
        <v>1</v>
      </c>
      <c r="AL679">
        <v>0</v>
      </c>
      <c r="AO679" t="s">
        <v>5843</v>
      </c>
      <c r="AP679">
        <v>0</v>
      </c>
      <c r="AV679">
        <v>13.5</v>
      </c>
      <c r="AW679" t="s">
        <v>221</v>
      </c>
      <c r="AX679" t="s">
        <v>82</v>
      </c>
    </row>
    <row r="680" spans="1:50">
      <c r="A680" s="1">
        <f>HYPERLINK("https://lsnyc.legalserver.org/matter/dynamic-profile/view/1907258","19-1907258")</f>
        <v>0</v>
      </c>
      <c r="B680" t="s">
        <v>103</v>
      </c>
      <c r="C680" t="s">
        <v>191</v>
      </c>
      <c r="D680" t="s">
        <v>227</v>
      </c>
      <c r="F680" t="s">
        <v>912</v>
      </c>
      <c r="G680" t="s">
        <v>1675</v>
      </c>
      <c r="H680" t="s">
        <v>2458</v>
      </c>
      <c r="I680" t="s">
        <v>2897</v>
      </c>
      <c r="J680" t="s">
        <v>3148</v>
      </c>
      <c r="K680">
        <v>11233</v>
      </c>
      <c r="L680" t="s">
        <v>3185</v>
      </c>
      <c r="M680" t="s">
        <v>3189</v>
      </c>
      <c r="N680" t="s">
        <v>3186</v>
      </c>
      <c r="O680" t="s">
        <v>3447</v>
      </c>
      <c r="P680" t="s">
        <v>3610</v>
      </c>
      <c r="Q680" t="s">
        <v>3638</v>
      </c>
      <c r="S680" t="s">
        <v>268</v>
      </c>
      <c r="T680" t="s">
        <v>3660</v>
      </c>
      <c r="U680" t="s">
        <v>3184</v>
      </c>
      <c r="W680" t="s">
        <v>3670</v>
      </c>
      <c r="Y680">
        <v>627</v>
      </c>
      <c r="Z680" t="s">
        <v>3691</v>
      </c>
      <c r="AA680" t="s">
        <v>3696</v>
      </c>
      <c r="AC680" t="s">
        <v>4332</v>
      </c>
      <c r="AD680" t="s">
        <v>4831</v>
      </c>
      <c r="AE680" t="s">
        <v>5429</v>
      </c>
      <c r="AF680">
        <v>112</v>
      </c>
      <c r="AG680" t="s">
        <v>5813</v>
      </c>
      <c r="AH680" t="s">
        <v>5827</v>
      </c>
      <c r="AI680">
        <v>8</v>
      </c>
      <c r="AJ680">
        <v>1</v>
      </c>
      <c r="AK680">
        <v>0</v>
      </c>
      <c r="AL680">
        <v>26.55</v>
      </c>
      <c r="AO680" t="s">
        <v>5843</v>
      </c>
      <c r="AP680">
        <v>3315.6</v>
      </c>
      <c r="AV680">
        <v>8.199999999999999</v>
      </c>
      <c r="AW680" t="s">
        <v>291</v>
      </c>
      <c r="AX680" t="s">
        <v>6014</v>
      </c>
    </row>
    <row r="681" spans="1:50">
      <c r="A681" s="1">
        <f>HYPERLINK("https://lsnyc.legalserver.org/matter/dynamic-profile/view/1908419","19-1908419")</f>
        <v>0</v>
      </c>
      <c r="B681" t="s">
        <v>103</v>
      </c>
      <c r="C681" t="s">
        <v>191</v>
      </c>
      <c r="D681" t="s">
        <v>262</v>
      </c>
      <c r="F681" t="s">
        <v>913</v>
      </c>
      <c r="G681" t="s">
        <v>1676</v>
      </c>
      <c r="H681" t="s">
        <v>2459</v>
      </c>
      <c r="I681" t="s">
        <v>3031</v>
      </c>
      <c r="J681" t="s">
        <v>3148</v>
      </c>
      <c r="K681">
        <v>11219</v>
      </c>
      <c r="L681" t="s">
        <v>3185</v>
      </c>
      <c r="M681" t="s">
        <v>3189</v>
      </c>
      <c r="N681" t="s">
        <v>3186</v>
      </c>
      <c r="O681" t="s">
        <v>3448</v>
      </c>
      <c r="P681" t="s">
        <v>3613</v>
      </c>
      <c r="Q681" t="s">
        <v>3638</v>
      </c>
      <c r="S681" t="s">
        <v>251</v>
      </c>
      <c r="T681" t="s">
        <v>3660</v>
      </c>
      <c r="U681" t="s">
        <v>3184</v>
      </c>
      <c r="W681" t="s">
        <v>3670</v>
      </c>
      <c r="X681" t="s">
        <v>3681</v>
      </c>
      <c r="Y681">
        <v>1000</v>
      </c>
      <c r="Z681" t="s">
        <v>3691</v>
      </c>
      <c r="AA681" t="s">
        <v>3706</v>
      </c>
      <c r="AC681" t="s">
        <v>4333</v>
      </c>
      <c r="AD681" t="s">
        <v>3188</v>
      </c>
      <c r="AE681" t="s">
        <v>5430</v>
      </c>
      <c r="AF681">
        <v>35</v>
      </c>
      <c r="AG681" t="s">
        <v>5813</v>
      </c>
      <c r="AH681" t="s">
        <v>3188</v>
      </c>
      <c r="AI681">
        <v>12</v>
      </c>
      <c r="AJ681">
        <v>4</v>
      </c>
      <c r="AK681">
        <v>0</v>
      </c>
      <c r="AL681">
        <v>132.82</v>
      </c>
      <c r="AO681" t="s">
        <v>5844</v>
      </c>
      <c r="AP681">
        <v>34200</v>
      </c>
      <c r="AV681">
        <v>4.2</v>
      </c>
      <c r="AW681" t="s">
        <v>221</v>
      </c>
      <c r="AX681" t="s">
        <v>158</v>
      </c>
    </row>
    <row r="682" spans="1:50">
      <c r="A682" s="1">
        <f>HYPERLINK("https://lsnyc.legalserver.org/matter/dynamic-profile/view/1908313","19-1908313")</f>
        <v>0</v>
      </c>
      <c r="B682" t="s">
        <v>103</v>
      </c>
      <c r="C682" t="s">
        <v>191</v>
      </c>
      <c r="D682" t="s">
        <v>212</v>
      </c>
      <c r="F682" t="s">
        <v>655</v>
      </c>
      <c r="G682" t="s">
        <v>1677</v>
      </c>
      <c r="H682" t="s">
        <v>2097</v>
      </c>
      <c r="I682" t="s">
        <v>2956</v>
      </c>
      <c r="J682" t="s">
        <v>3148</v>
      </c>
      <c r="K682">
        <v>11233</v>
      </c>
      <c r="L682" t="s">
        <v>3185</v>
      </c>
      <c r="M682" t="s">
        <v>3189</v>
      </c>
      <c r="N682" t="s">
        <v>3186</v>
      </c>
      <c r="O682" t="s">
        <v>3449</v>
      </c>
      <c r="P682" t="s">
        <v>3610</v>
      </c>
      <c r="Q682" t="s">
        <v>3638</v>
      </c>
      <c r="S682" t="s">
        <v>212</v>
      </c>
      <c r="T682" t="s">
        <v>3660</v>
      </c>
      <c r="U682" t="s">
        <v>3184</v>
      </c>
      <c r="W682" t="s">
        <v>3670</v>
      </c>
      <c r="X682" t="s">
        <v>3681</v>
      </c>
      <c r="Y682">
        <v>955.08</v>
      </c>
      <c r="Z682" t="s">
        <v>3691</v>
      </c>
      <c r="AA682" t="s">
        <v>3696</v>
      </c>
      <c r="AC682" t="s">
        <v>4334</v>
      </c>
      <c r="AD682">
        <v>6004868123</v>
      </c>
      <c r="AE682" t="s">
        <v>5431</v>
      </c>
      <c r="AF682">
        <v>1107</v>
      </c>
      <c r="AG682" t="s">
        <v>5813</v>
      </c>
      <c r="AH682" t="s">
        <v>3188</v>
      </c>
      <c r="AI682">
        <v>16</v>
      </c>
      <c r="AJ682">
        <v>1</v>
      </c>
      <c r="AK682">
        <v>0</v>
      </c>
      <c r="AL682">
        <v>104.08</v>
      </c>
      <c r="AO682" t="s">
        <v>5843</v>
      </c>
      <c r="AP682">
        <v>13000</v>
      </c>
      <c r="AV682">
        <v>7.7</v>
      </c>
      <c r="AW682" t="s">
        <v>291</v>
      </c>
      <c r="AX682" t="s">
        <v>158</v>
      </c>
    </row>
    <row r="683" spans="1:50">
      <c r="A683" s="1">
        <f>HYPERLINK("https://lsnyc.legalserver.org/matter/dynamic-profile/view/1908379","19-1908379")</f>
        <v>0</v>
      </c>
      <c r="B683" t="s">
        <v>103</v>
      </c>
      <c r="C683" t="s">
        <v>191</v>
      </c>
      <c r="D683" t="s">
        <v>262</v>
      </c>
      <c r="F683" t="s">
        <v>478</v>
      </c>
      <c r="G683" t="s">
        <v>1678</v>
      </c>
      <c r="H683" t="s">
        <v>2460</v>
      </c>
      <c r="I683" t="s">
        <v>3032</v>
      </c>
      <c r="J683" t="s">
        <v>3148</v>
      </c>
      <c r="K683">
        <v>11233</v>
      </c>
      <c r="L683" t="s">
        <v>3185</v>
      </c>
      <c r="M683" t="s">
        <v>3189</v>
      </c>
      <c r="N683" t="s">
        <v>3186</v>
      </c>
      <c r="O683" t="s">
        <v>3450</v>
      </c>
      <c r="P683" t="s">
        <v>3613</v>
      </c>
      <c r="Q683" t="s">
        <v>3638</v>
      </c>
      <c r="S683" t="s">
        <v>262</v>
      </c>
      <c r="T683" t="s">
        <v>3660</v>
      </c>
      <c r="U683" t="s">
        <v>3185</v>
      </c>
      <c r="W683" t="s">
        <v>3670</v>
      </c>
      <c r="X683" t="s">
        <v>3681</v>
      </c>
      <c r="Y683">
        <v>890</v>
      </c>
      <c r="Z683" t="s">
        <v>3691</v>
      </c>
      <c r="AA683" t="s">
        <v>3701</v>
      </c>
      <c r="AC683" t="s">
        <v>4335</v>
      </c>
      <c r="AD683" t="s">
        <v>3188</v>
      </c>
      <c r="AE683" t="s">
        <v>5432</v>
      </c>
      <c r="AF683">
        <v>1107</v>
      </c>
      <c r="AG683" t="s">
        <v>5813</v>
      </c>
      <c r="AH683" t="s">
        <v>3188</v>
      </c>
      <c r="AI683">
        <v>9</v>
      </c>
      <c r="AJ683">
        <v>1</v>
      </c>
      <c r="AK683">
        <v>0</v>
      </c>
      <c r="AL683">
        <v>504.4</v>
      </c>
      <c r="AO683" t="s">
        <v>5843</v>
      </c>
      <c r="AP683">
        <v>63000</v>
      </c>
      <c r="AQ683" t="s">
        <v>5897</v>
      </c>
      <c r="AV683">
        <v>1.4</v>
      </c>
      <c r="AW683" t="s">
        <v>222</v>
      </c>
      <c r="AX683" t="s">
        <v>158</v>
      </c>
    </row>
    <row r="684" spans="1:50">
      <c r="A684" s="1">
        <f>HYPERLINK("https://lsnyc.legalserver.org/matter/dynamic-profile/view/1908595","19-1908595")</f>
        <v>0</v>
      </c>
      <c r="B684" t="s">
        <v>103</v>
      </c>
      <c r="C684" t="s">
        <v>191</v>
      </c>
      <c r="D684" t="s">
        <v>231</v>
      </c>
      <c r="F684" t="s">
        <v>910</v>
      </c>
      <c r="G684" t="s">
        <v>1369</v>
      </c>
      <c r="H684" t="s">
        <v>2461</v>
      </c>
      <c r="J684" t="s">
        <v>3148</v>
      </c>
      <c r="K684">
        <v>11209</v>
      </c>
      <c r="L684" t="s">
        <v>3185</v>
      </c>
      <c r="M684" t="s">
        <v>3189</v>
      </c>
      <c r="N684" t="s">
        <v>3186</v>
      </c>
      <c r="O684" t="s">
        <v>3218</v>
      </c>
      <c r="P684" t="s">
        <v>3612</v>
      </c>
      <c r="Q684" t="s">
        <v>3634</v>
      </c>
      <c r="S684" t="s">
        <v>228</v>
      </c>
      <c r="T684" t="s">
        <v>3660</v>
      </c>
      <c r="U684" t="s">
        <v>3184</v>
      </c>
      <c r="W684" t="s">
        <v>3670</v>
      </c>
      <c r="X684" t="s">
        <v>3681</v>
      </c>
      <c r="Y684">
        <v>3000</v>
      </c>
      <c r="Z684" t="s">
        <v>3691</v>
      </c>
      <c r="AA684" t="s">
        <v>3695</v>
      </c>
      <c r="AC684" t="s">
        <v>4336</v>
      </c>
      <c r="AD684" t="s">
        <v>3218</v>
      </c>
      <c r="AE684" t="s">
        <v>5433</v>
      </c>
      <c r="AF684">
        <v>1</v>
      </c>
      <c r="AG684" t="s">
        <v>3263</v>
      </c>
      <c r="AH684" t="s">
        <v>3188</v>
      </c>
      <c r="AI684">
        <v>2</v>
      </c>
      <c r="AJ684">
        <v>2</v>
      </c>
      <c r="AK684">
        <v>1</v>
      </c>
      <c r="AL684">
        <v>188.99</v>
      </c>
      <c r="AO684" t="s">
        <v>5843</v>
      </c>
      <c r="AP684">
        <v>40312</v>
      </c>
      <c r="AV684">
        <v>2.1</v>
      </c>
      <c r="AW684" t="s">
        <v>228</v>
      </c>
      <c r="AX684" t="s">
        <v>6011</v>
      </c>
    </row>
    <row r="685" spans="1:50">
      <c r="A685" s="1">
        <f>HYPERLINK("https://lsnyc.legalserver.org/matter/dynamic-profile/view/1909493","19-1909493")</f>
        <v>0</v>
      </c>
      <c r="B685" t="s">
        <v>103</v>
      </c>
      <c r="C685" t="s">
        <v>191</v>
      </c>
      <c r="D685" t="s">
        <v>197</v>
      </c>
      <c r="F685" t="s">
        <v>914</v>
      </c>
      <c r="G685" t="s">
        <v>1572</v>
      </c>
      <c r="H685" t="s">
        <v>2462</v>
      </c>
      <c r="I685" t="s">
        <v>2829</v>
      </c>
      <c r="J685" t="s">
        <v>3148</v>
      </c>
      <c r="K685">
        <v>11207</v>
      </c>
      <c r="L685" t="s">
        <v>3185</v>
      </c>
      <c r="M685" t="s">
        <v>3189</v>
      </c>
      <c r="N685" t="s">
        <v>3186</v>
      </c>
      <c r="O685" t="s">
        <v>3257</v>
      </c>
      <c r="P685" t="s">
        <v>3257</v>
      </c>
      <c r="S685" t="s">
        <v>222</v>
      </c>
      <c r="T685" t="s">
        <v>3660</v>
      </c>
      <c r="U685" t="s">
        <v>3184</v>
      </c>
      <c r="W685" t="s">
        <v>3670</v>
      </c>
      <c r="Y685">
        <v>0</v>
      </c>
      <c r="Z685" t="s">
        <v>3691</v>
      </c>
      <c r="AA685" t="s">
        <v>3704</v>
      </c>
      <c r="AC685" t="s">
        <v>4337</v>
      </c>
      <c r="AE685" t="s">
        <v>5434</v>
      </c>
      <c r="AF685">
        <v>102</v>
      </c>
      <c r="AG685" t="s">
        <v>5813</v>
      </c>
      <c r="AH685" t="s">
        <v>3188</v>
      </c>
      <c r="AI685">
        <v>0</v>
      </c>
      <c r="AJ685">
        <v>2</v>
      </c>
      <c r="AK685">
        <v>0</v>
      </c>
      <c r="AL685">
        <v>210.55</v>
      </c>
      <c r="AO685" t="s">
        <v>5843</v>
      </c>
      <c r="AP685">
        <v>35604</v>
      </c>
      <c r="AV685">
        <v>1.3</v>
      </c>
      <c r="AW685" t="s">
        <v>291</v>
      </c>
      <c r="AX685" t="s">
        <v>82</v>
      </c>
    </row>
    <row r="686" spans="1:50">
      <c r="A686" s="1">
        <f>HYPERLINK("https://lsnyc.legalserver.org/matter/dynamic-profile/view/1908695","19-1908695")</f>
        <v>0</v>
      </c>
      <c r="B686" t="s">
        <v>92</v>
      </c>
      <c r="C686" t="s">
        <v>191</v>
      </c>
      <c r="D686" t="s">
        <v>207</v>
      </c>
      <c r="F686" t="s">
        <v>915</v>
      </c>
      <c r="G686" t="s">
        <v>1277</v>
      </c>
      <c r="H686" t="s">
        <v>2463</v>
      </c>
      <c r="I686">
        <v>50</v>
      </c>
      <c r="J686" t="s">
        <v>3148</v>
      </c>
      <c r="K686">
        <v>11207</v>
      </c>
      <c r="L686" t="s">
        <v>3184</v>
      </c>
      <c r="M686" t="s">
        <v>3188</v>
      </c>
      <c r="N686" t="s">
        <v>3186</v>
      </c>
      <c r="O686" t="s">
        <v>3451</v>
      </c>
      <c r="P686" t="s">
        <v>3610</v>
      </c>
      <c r="T686" t="s">
        <v>3660</v>
      </c>
      <c r="U686" t="s">
        <v>3184</v>
      </c>
      <c r="W686" t="s">
        <v>3670</v>
      </c>
      <c r="X686" t="s">
        <v>3681</v>
      </c>
      <c r="Y686">
        <v>1300</v>
      </c>
      <c r="Z686" t="s">
        <v>3691</v>
      </c>
      <c r="AA686" t="s">
        <v>3696</v>
      </c>
      <c r="AC686" t="s">
        <v>4338</v>
      </c>
      <c r="AD686" t="s">
        <v>4778</v>
      </c>
      <c r="AE686" t="s">
        <v>5435</v>
      </c>
      <c r="AF686">
        <v>83</v>
      </c>
      <c r="AG686" t="s">
        <v>5812</v>
      </c>
      <c r="AH686" t="s">
        <v>3188</v>
      </c>
      <c r="AI686">
        <v>31</v>
      </c>
      <c r="AJ686">
        <v>3</v>
      </c>
      <c r="AK686">
        <v>0</v>
      </c>
      <c r="AL686">
        <v>173.46</v>
      </c>
      <c r="AO686" t="s">
        <v>5843</v>
      </c>
      <c r="AP686">
        <v>37000</v>
      </c>
      <c r="AV686">
        <v>0</v>
      </c>
      <c r="AX686" t="s">
        <v>158</v>
      </c>
    </row>
    <row r="687" spans="1:50">
      <c r="A687" s="1">
        <f>HYPERLINK("https://lsnyc.legalserver.org/matter/dynamic-profile/view/1837952","17-1837952")</f>
        <v>0</v>
      </c>
      <c r="B687" t="s">
        <v>97</v>
      </c>
      <c r="C687" t="s">
        <v>191</v>
      </c>
      <c r="D687" t="s">
        <v>353</v>
      </c>
      <c r="F687" t="s">
        <v>589</v>
      </c>
      <c r="G687" t="s">
        <v>1158</v>
      </c>
      <c r="H687" t="s">
        <v>2464</v>
      </c>
      <c r="I687">
        <v>2448</v>
      </c>
      <c r="J687" t="s">
        <v>3148</v>
      </c>
      <c r="K687">
        <v>11224</v>
      </c>
      <c r="L687" t="s">
        <v>3184</v>
      </c>
      <c r="N687" t="s">
        <v>3186</v>
      </c>
      <c r="O687" t="s">
        <v>3452</v>
      </c>
      <c r="P687" t="s">
        <v>3610</v>
      </c>
      <c r="Q687" t="s">
        <v>3638</v>
      </c>
      <c r="T687" t="s">
        <v>3660</v>
      </c>
      <c r="V687" t="s">
        <v>3664</v>
      </c>
      <c r="W687" t="s">
        <v>3670</v>
      </c>
      <c r="Y687">
        <v>1697</v>
      </c>
      <c r="Z687" t="s">
        <v>3691</v>
      </c>
      <c r="AC687" t="s">
        <v>4339</v>
      </c>
      <c r="AE687" t="s">
        <v>5436</v>
      </c>
      <c r="AF687">
        <v>0</v>
      </c>
      <c r="AG687" t="s">
        <v>5812</v>
      </c>
      <c r="AI687">
        <v>22</v>
      </c>
      <c r="AJ687">
        <v>2</v>
      </c>
      <c r="AK687">
        <v>0</v>
      </c>
      <c r="AL687">
        <v>55.64</v>
      </c>
      <c r="AO687" t="s">
        <v>5843</v>
      </c>
      <c r="AP687">
        <v>9036</v>
      </c>
      <c r="AV687">
        <v>36.15</v>
      </c>
      <c r="AW687" t="s">
        <v>5989</v>
      </c>
      <c r="AX687" t="s">
        <v>6008</v>
      </c>
    </row>
    <row r="688" spans="1:50">
      <c r="A688" s="1">
        <f>HYPERLINK("https://lsnyc.legalserver.org/matter/dynamic-profile/view/0813357","16-0813357")</f>
        <v>0</v>
      </c>
      <c r="B688" t="s">
        <v>146</v>
      </c>
      <c r="C688" t="s">
        <v>191</v>
      </c>
      <c r="D688" t="s">
        <v>354</v>
      </c>
      <c r="F688" t="s">
        <v>455</v>
      </c>
      <c r="G688" t="s">
        <v>1679</v>
      </c>
      <c r="H688" t="s">
        <v>2465</v>
      </c>
      <c r="I688">
        <v>1410</v>
      </c>
      <c r="J688" t="s">
        <v>3148</v>
      </c>
      <c r="K688">
        <v>11224</v>
      </c>
      <c r="L688" t="s">
        <v>3184</v>
      </c>
      <c r="N688" t="s">
        <v>3186</v>
      </c>
      <c r="O688" t="s">
        <v>3453</v>
      </c>
      <c r="P688" t="s">
        <v>3613</v>
      </c>
      <c r="Q688" t="s">
        <v>3638</v>
      </c>
      <c r="T688" t="s">
        <v>3660</v>
      </c>
      <c r="V688" t="s">
        <v>3664</v>
      </c>
      <c r="W688" t="s">
        <v>3670</v>
      </c>
      <c r="Y688">
        <v>1400</v>
      </c>
      <c r="Z688" t="s">
        <v>3691</v>
      </c>
      <c r="AA688" t="s">
        <v>3699</v>
      </c>
      <c r="AC688" t="s">
        <v>4340</v>
      </c>
      <c r="AD688" t="s">
        <v>4832</v>
      </c>
      <c r="AE688" t="s">
        <v>5437</v>
      </c>
      <c r="AF688">
        <v>24</v>
      </c>
      <c r="AG688" t="s">
        <v>3263</v>
      </c>
      <c r="AH688" t="s">
        <v>5827</v>
      </c>
      <c r="AI688">
        <v>20</v>
      </c>
      <c r="AJ688">
        <v>1</v>
      </c>
      <c r="AK688">
        <v>1</v>
      </c>
      <c r="AL688">
        <v>29.96</v>
      </c>
      <c r="AO688" t="s">
        <v>5861</v>
      </c>
      <c r="AP688">
        <v>4800</v>
      </c>
      <c r="AQ688" t="s">
        <v>5898</v>
      </c>
      <c r="AV688">
        <v>75</v>
      </c>
      <c r="AW688" t="s">
        <v>252</v>
      </c>
      <c r="AX688" t="s">
        <v>6028</v>
      </c>
    </row>
    <row r="689" spans="1:50">
      <c r="A689" s="1">
        <f>HYPERLINK("https://lsnyc.legalserver.org/matter/dynamic-profile/view/1836723","17-1836723")</f>
        <v>0</v>
      </c>
      <c r="B689" t="s">
        <v>103</v>
      </c>
      <c r="C689" t="s">
        <v>191</v>
      </c>
      <c r="D689" t="s">
        <v>355</v>
      </c>
      <c r="F689" t="s">
        <v>574</v>
      </c>
      <c r="G689" t="s">
        <v>1680</v>
      </c>
      <c r="H689" t="s">
        <v>2466</v>
      </c>
      <c r="I689" t="s">
        <v>2908</v>
      </c>
      <c r="J689" t="s">
        <v>3148</v>
      </c>
      <c r="K689">
        <v>11212</v>
      </c>
      <c r="L689" t="s">
        <v>3185</v>
      </c>
      <c r="M689" t="s">
        <v>3190</v>
      </c>
      <c r="N689" t="s">
        <v>3185</v>
      </c>
      <c r="O689" t="s">
        <v>3454</v>
      </c>
      <c r="P689" t="s">
        <v>3610</v>
      </c>
      <c r="Q689" t="s">
        <v>3635</v>
      </c>
      <c r="T689" t="s">
        <v>3660</v>
      </c>
      <c r="U689" t="s">
        <v>3184</v>
      </c>
      <c r="W689" t="s">
        <v>3672</v>
      </c>
      <c r="Y689">
        <v>457</v>
      </c>
      <c r="Z689" t="s">
        <v>3691</v>
      </c>
      <c r="AA689" t="s">
        <v>3696</v>
      </c>
      <c r="AC689" t="s">
        <v>4341</v>
      </c>
      <c r="AD689" t="s">
        <v>4833</v>
      </c>
      <c r="AE689" t="s">
        <v>5438</v>
      </c>
      <c r="AF689">
        <v>31</v>
      </c>
      <c r="AG689" t="s">
        <v>5812</v>
      </c>
      <c r="AH689" t="s">
        <v>5830</v>
      </c>
      <c r="AI689">
        <v>40</v>
      </c>
      <c r="AJ689">
        <v>1</v>
      </c>
      <c r="AK689">
        <v>0</v>
      </c>
      <c r="AL689">
        <v>155.22</v>
      </c>
      <c r="AO689" t="s">
        <v>5844</v>
      </c>
      <c r="AP689">
        <v>18720</v>
      </c>
      <c r="AQ689" t="s">
        <v>5899</v>
      </c>
      <c r="AV689">
        <v>0.1</v>
      </c>
      <c r="AW689" t="s">
        <v>355</v>
      </c>
      <c r="AX689" t="s">
        <v>56</v>
      </c>
    </row>
    <row r="690" spans="1:50">
      <c r="A690" s="1">
        <f>HYPERLINK("https://lsnyc.legalserver.org/matter/dynamic-profile/view/0821978","16-0821978")</f>
        <v>0</v>
      </c>
      <c r="B690" t="s">
        <v>110</v>
      </c>
      <c r="C690" t="s">
        <v>191</v>
      </c>
      <c r="D690" t="s">
        <v>356</v>
      </c>
      <c r="F690" t="s">
        <v>916</v>
      </c>
      <c r="G690" t="s">
        <v>1681</v>
      </c>
      <c r="H690" t="s">
        <v>2467</v>
      </c>
      <c r="I690">
        <v>3</v>
      </c>
      <c r="J690" t="s">
        <v>3148</v>
      </c>
      <c r="K690">
        <v>11207</v>
      </c>
      <c r="L690" t="s">
        <v>3184</v>
      </c>
      <c r="N690" t="s">
        <v>3186</v>
      </c>
      <c r="P690" t="s">
        <v>3257</v>
      </c>
      <c r="Q690" t="s">
        <v>3637</v>
      </c>
      <c r="T690" t="s">
        <v>3660</v>
      </c>
      <c r="U690" t="s">
        <v>3185</v>
      </c>
      <c r="W690" t="s">
        <v>3670</v>
      </c>
      <c r="Y690">
        <v>1675</v>
      </c>
      <c r="Z690" t="s">
        <v>3691</v>
      </c>
      <c r="AA690" t="s">
        <v>3704</v>
      </c>
      <c r="AC690" t="s">
        <v>4342</v>
      </c>
      <c r="AE690" t="s">
        <v>5439</v>
      </c>
      <c r="AF690">
        <v>6</v>
      </c>
      <c r="AG690" t="s">
        <v>5813</v>
      </c>
      <c r="AH690" t="s">
        <v>3188</v>
      </c>
      <c r="AI690">
        <v>1</v>
      </c>
      <c r="AJ690">
        <v>5</v>
      </c>
      <c r="AK690">
        <v>0</v>
      </c>
      <c r="AL690">
        <v>258.26</v>
      </c>
      <c r="AO690" t="s">
        <v>5843</v>
      </c>
      <c r="AP690">
        <v>73450</v>
      </c>
      <c r="AV690">
        <v>0</v>
      </c>
      <c r="AX690" t="s">
        <v>6049</v>
      </c>
    </row>
    <row r="691" spans="1:50">
      <c r="A691" s="1">
        <f>HYPERLINK("https://lsnyc.legalserver.org/matter/dynamic-profile/view/1909465","19-1909465")</f>
        <v>0</v>
      </c>
      <c r="B691" t="s">
        <v>103</v>
      </c>
      <c r="C691" t="s">
        <v>191</v>
      </c>
      <c r="D691" t="s">
        <v>197</v>
      </c>
      <c r="F691" t="s">
        <v>917</v>
      </c>
      <c r="G691" t="s">
        <v>1682</v>
      </c>
      <c r="H691" t="s">
        <v>2468</v>
      </c>
      <c r="I691" t="s">
        <v>2993</v>
      </c>
      <c r="J691" t="s">
        <v>3148</v>
      </c>
      <c r="K691">
        <v>11207</v>
      </c>
      <c r="L691" t="s">
        <v>3185</v>
      </c>
      <c r="M691" t="s">
        <v>3189</v>
      </c>
      <c r="N691" t="s">
        <v>3186</v>
      </c>
      <c r="O691" t="s">
        <v>3455</v>
      </c>
      <c r="P691" t="s">
        <v>3613</v>
      </c>
      <c r="Q691" t="s">
        <v>3637</v>
      </c>
      <c r="T691" t="s">
        <v>3660</v>
      </c>
      <c r="U691" t="s">
        <v>3184</v>
      </c>
      <c r="W691" t="s">
        <v>3670</v>
      </c>
      <c r="X691" t="s">
        <v>3681</v>
      </c>
      <c r="Y691">
        <v>0</v>
      </c>
      <c r="Z691" t="s">
        <v>3691</v>
      </c>
      <c r="AC691" t="s">
        <v>4343</v>
      </c>
      <c r="AE691" t="s">
        <v>5440</v>
      </c>
      <c r="AF691">
        <v>3</v>
      </c>
      <c r="AG691" t="s">
        <v>5814</v>
      </c>
      <c r="AI691">
        <v>35</v>
      </c>
      <c r="AJ691">
        <v>1</v>
      </c>
      <c r="AK691">
        <v>0</v>
      </c>
      <c r="AL691">
        <v>192.15</v>
      </c>
      <c r="AO691" t="s">
        <v>5843</v>
      </c>
      <c r="AP691">
        <v>24000</v>
      </c>
      <c r="AV691">
        <v>0.5</v>
      </c>
      <c r="AW691" t="s">
        <v>252</v>
      </c>
      <c r="AX691" t="s">
        <v>6036</v>
      </c>
    </row>
    <row r="692" spans="1:50">
      <c r="A692" s="1">
        <f>HYPERLINK("https://lsnyc.legalserver.org/matter/dynamic-profile/view/1907227","19-1907227")</f>
        <v>0</v>
      </c>
      <c r="B692" t="s">
        <v>103</v>
      </c>
      <c r="C692" t="s">
        <v>191</v>
      </c>
      <c r="D692" t="s">
        <v>209</v>
      </c>
      <c r="F692" t="s">
        <v>918</v>
      </c>
      <c r="G692" t="s">
        <v>1683</v>
      </c>
      <c r="H692" t="s">
        <v>2469</v>
      </c>
      <c r="I692" t="s">
        <v>2908</v>
      </c>
      <c r="J692" t="s">
        <v>3148</v>
      </c>
      <c r="K692">
        <v>11233</v>
      </c>
      <c r="L692" t="s">
        <v>3185</v>
      </c>
      <c r="M692" t="s">
        <v>3189</v>
      </c>
      <c r="N692" t="s">
        <v>3186</v>
      </c>
      <c r="O692" t="s">
        <v>3456</v>
      </c>
      <c r="P692" t="s">
        <v>3610</v>
      </c>
      <c r="Q692" t="s">
        <v>3638</v>
      </c>
      <c r="T692" t="s">
        <v>3660</v>
      </c>
      <c r="U692" t="s">
        <v>3184</v>
      </c>
      <c r="W692" t="s">
        <v>3670</v>
      </c>
      <c r="Y692">
        <v>868.12</v>
      </c>
      <c r="Z692" t="s">
        <v>3691</v>
      </c>
      <c r="AA692" t="s">
        <v>3632</v>
      </c>
      <c r="AC692" t="s">
        <v>4344</v>
      </c>
      <c r="AE692" t="s">
        <v>5441</v>
      </c>
      <c r="AF692">
        <v>32</v>
      </c>
      <c r="AG692" t="s">
        <v>5813</v>
      </c>
      <c r="AH692" t="s">
        <v>3188</v>
      </c>
      <c r="AI692">
        <v>7</v>
      </c>
      <c r="AJ692">
        <v>1</v>
      </c>
      <c r="AK692">
        <v>1</v>
      </c>
      <c r="AL692">
        <v>211.71</v>
      </c>
      <c r="AO692" t="s">
        <v>5843</v>
      </c>
      <c r="AP692">
        <v>35800</v>
      </c>
      <c r="AV692">
        <v>6.3</v>
      </c>
      <c r="AW692" t="s">
        <v>291</v>
      </c>
      <c r="AX692" t="s">
        <v>82</v>
      </c>
    </row>
    <row r="693" spans="1:50">
      <c r="A693" s="1">
        <f>HYPERLINK("https://lsnyc.legalserver.org/matter/dynamic-profile/view/1901547","19-1901547")</f>
        <v>0</v>
      </c>
      <c r="B693" t="s">
        <v>129</v>
      </c>
      <c r="C693" t="s">
        <v>192</v>
      </c>
      <c r="D693" t="s">
        <v>357</v>
      </c>
      <c r="E693" t="s">
        <v>213</v>
      </c>
      <c r="F693" t="s">
        <v>919</v>
      </c>
      <c r="G693" t="s">
        <v>1282</v>
      </c>
      <c r="H693" t="s">
        <v>2470</v>
      </c>
      <c r="I693" t="s">
        <v>2838</v>
      </c>
      <c r="J693" t="s">
        <v>3148</v>
      </c>
      <c r="K693">
        <v>11233</v>
      </c>
      <c r="L693" t="s">
        <v>3185</v>
      </c>
      <c r="M693" t="s">
        <v>3189</v>
      </c>
      <c r="N693" t="s">
        <v>3186</v>
      </c>
      <c r="P693" t="s">
        <v>3257</v>
      </c>
      <c r="Q693" t="s">
        <v>3634</v>
      </c>
      <c r="R693" t="s">
        <v>3642</v>
      </c>
      <c r="S693" t="s">
        <v>213</v>
      </c>
      <c r="T693" t="s">
        <v>3660</v>
      </c>
      <c r="U693" t="s">
        <v>3184</v>
      </c>
      <c r="W693" t="s">
        <v>3670</v>
      </c>
      <c r="X693" t="s">
        <v>3681</v>
      </c>
      <c r="Y693">
        <v>1879.2</v>
      </c>
      <c r="Z693" t="s">
        <v>3691</v>
      </c>
      <c r="AA693" t="s">
        <v>3697</v>
      </c>
      <c r="AB693" t="s">
        <v>3712</v>
      </c>
      <c r="AC693" t="s">
        <v>4345</v>
      </c>
      <c r="AD693" t="s">
        <v>4834</v>
      </c>
      <c r="AE693" t="s">
        <v>5442</v>
      </c>
      <c r="AF693">
        <v>13</v>
      </c>
      <c r="AG693" t="s">
        <v>5813</v>
      </c>
      <c r="AH693" t="s">
        <v>5828</v>
      </c>
      <c r="AI693">
        <v>0</v>
      </c>
      <c r="AJ693">
        <v>3</v>
      </c>
      <c r="AK693">
        <v>2</v>
      </c>
      <c r="AL693">
        <v>122.98</v>
      </c>
      <c r="AO693" t="s">
        <v>5843</v>
      </c>
      <c r="AP693">
        <v>37104</v>
      </c>
      <c r="AV693">
        <v>1</v>
      </c>
      <c r="AW693" t="s">
        <v>213</v>
      </c>
      <c r="AX693" t="s">
        <v>158</v>
      </c>
    </row>
    <row r="694" spans="1:50">
      <c r="A694" s="1">
        <f>HYPERLINK("https://lsnyc.legalserver.org/matter/dynamic-profile/view/1906126","19-1906126")</f>
        <v>0</v>
      </c>
      <c r="B694" t="s">
        <v>129</v>
      </c>
      <c r="C694" t="s">
        <v>192</v>
      </c>
      <c r="D694" t="s">
        <v>208</v>
      </c>
      <c r="E694" t="s">
        <v>216</v>
      </c>
      <c r="F694" t="s">
        <v>499</v>
      </c>
      <c r="G694" t="s">
        <v>1684</v>
      </c>
      <c r="H694" t="s">
        <v>2471</v>
      </c>
      <c r="I694">
        <v>4</v>
      </c>
      <c r="J694" t="s">
        <v>3148</v>
      </c>
      <c r="K694">
        <v>11233</v>
      </c>
      <c r="L694" t="s">
        <v>3185</v>
      </c>
      <c r="M694" t="s">
        <v>3189</v>
      </c>
      <c r="N694" t="s">
        <v>3186</v>
      </c>
      <c r="O694" t="s">
        <v>3257</v>
      </c>
      <c r="P694" t="s">
        <v>3257</v>
      </c>
      <c r="Q694" t="s">
        <v>3634</v>
      </c>
      <c r="R694" t="s">
        <v>3642</v>
      </c>
      <c r="S694" t="s">
        <v>219</v>
      </c>
      <c r="T694" t="s">
        <v>3660</v>
      </c>
      <c r="U694" t="s">
        <v>3184</v>
      </c>
      <c r="W694" t="s">
        <v>3670</v>
      </c>
      <c r="Y694">
        <v>2500</v>
      </c>
      <c r="Z694" t="s">
        <v>3691</v>
      </c>
      <c r="AB694" t="s">
        <v>3712</v>
      </c>
      <c r="AC694" t="s">
        <v>4346</v>
      </c>
      <c r="AE694" t="s">
        <v>5443</v>
      </c>
      <c r="AF694">
        <v>8</v>
      </c>
      <c r="AI694">
        <v>1</v>
      </c>
      <c r="AJ694">
        <v>1</v>
      </c>
      <c r="AK694">
        <v>0</v>
      </c>
      <c r="AL694">
        <v>0</v>
      </c>
      <c r="AO694" t="s">
        <v>5843</v>
      </c>
      <c r="AP694">
        <v>0</v>
      </c>
      <c r="AV694">
        <v>6.5</v>
      </c>
      <c r="AW694" t="s">
        <v>216</v>
      </c>
      <c r="AX694" t="s">
        <v>6012</v>
      </c>
    </row>
    <row r="695" spans="1:50">
      <c r="A695" s="1">
        <f>HYPERLINK("https://lsnyc.legalserver.org/matter/dynamic-profile/view/1903871","19-1903871")</f>
        <v>0</v>
      </c>
      <c r="B695" t="s">
        <v>129</v>
      </c>
      <c r="C695" t="s">
        <v>192</v>
      </c>
      <c r="D695" t="s">
        <v>194</v>
      </c>
      <c r="E695" t="s">
        <v>227</v>
      </c>
      <c r="F695" t="s">
        <v>920</v>
      </c>
      <c r="G695" t="s">
        <v>1685</v>
      </c>
      <c r="H695" t="s">
        <v>2472</v>
      </c>
      <c r="I695" t="s">
        <v>3033</v>
      </c>
      <c r="J695" t="s">
        <v>3148</v>
      </c>
      <c r="K695">
        <v>11212</v>
      </c>
      <c r="L695" t="s">
        <v>3185</v>
      </c>
      <c r="M695" t="s">
        <v>3189</v>
      </c>
      <c r="N695" t="s">
        <v>3186</v>
      </c>
      <c r="O695" t="s">
        <v>3188</v>
      </c>
      <c r="P695" t="s">
        <v>3257</v>
      </c>
      <c r="Q695" t="s">
        <v>3634</v>
      </c>
      <c r="R695" t="s">
        <v>3642</v>
      </c>
      <c r="S695" t="s">
        <v>229</v>
      </c>
      <c r="T695" t="s">
        <v>3660</v>
      </c>
      <c r="U695" t="s">
        <v>3184</v>
      </c>
      <c r="W695" t="s">
        <v>3670</v>
      </c>
      <c r="X695" t="s">
        <v>3681</v>
      </c>
      <c r="Y695">
        <v>1600</v>
      </c>
      <c r="Z695" t="s">
        <v>3691</v>
      </c>
      <c r="AB695" t="s">
        <v>3712</v>
      </c>
      <c r="AC695" t="s">
        <v>4347</v>
      </c>
      <c r="AD695" t="s">
        <v>3188</v>
      </c>
      <c r="AE695" t="s">
        <v>5444</v>
      </c>
      <c r="AF695">
        <v>6</v>
      </c>
      <c r="AG695" t="s">
        <v>5813</v>
      </c>
      <c r="AH695" t="s">
        <v>3188</v>
      </c>
      <c r="AI695">
        <v>0</v>
      </c>
      <c r="AJ695">
        <v>1</v>
      </c>
      <c r="AK695">
        <v>0</v>
      </c>
      <c r="AL695">
        <v>229.43</v>
      </c>
      <c r="AO695" t="s">
        <v>5843</v>
      </c>
      <c r="AP695">
        <v>28656</v>
      </c>
      <c r="AV695">
        <v>4.25</v>
      </c>
      <c r="AW695" t="s">
        <v>260</v>
      </c>
      <c r="AX695" t="s">
        <v>6015</v>
      </c>
    </row>
    <row r="696" spans="1:50">
      <c r="A696" s="1">
        <f>HYPERLINK("https://lsnyc.legalserver.org/matter/dynamic-profile/view/1864098","18-1864098")</f>
        <v>0</v>
      </c>
      <c r="B696" t="s">
        <v>147</v>
      </c>
      <c r="C696" t="s">
        <v>192</v>
      </c>
      <c r="D696" t="s">
        <v>358</v>
      </c>
      <c r="E696" t="s">
        <v>280</v>
      </c>
      <c r="F696" t="s">
        <v>921</v>
      </c>
      <c r="G696" t="s">
        <v>1686</v>
      </c>
      <c r="H696" t="s">
        <v>2473</v>
      </c>
      <c r="I696" t="s">
        <v>3034</v>
      </c>
      <c r="J696" t="s">
        <v>3148</v>
      </c>
      <c r="K696">
        <v>11201</v>
      </c>
      <c r="L696" t="s">
        <v>3184</v>
      </c>
      <c r="N696" t="s">
        <v>3186</v>
      </c>
      <c r="O696" t="s">
        <v>3457</v>
      </c>
      <c r="P696" t="s">
        <v>3613</v>
      </c>
      <c r="Q696" t="s">
        <v>3638</v>
      </c>
      <c r="R696" t="s">
        <v>3644</v>
      </c>
      <c r="T696" t="s">
        <v>3660</v>
      </c>
      <c r="U696" t="s">
        <v>3184</v>
      </c>
      <c r="W696" t="s">
        <v>3670</v>
      </c>
      <c r="Y696">
        <v>400</v>
      </c>
      <c r="Z696" t="s">
        <v>3691</v>
      </c>
      <c r="AA696" t="s">
        <v>3698</v>
      </c>
      <c r="AB696" t="s">
        <v>3714</v>
      </c>
      <c r="AC696" t="s">
        <v>4348</v>
      </c>
      <c r="AD696" t="s">
        <v>3263</v>
      </c>
      <c r="AE696" t="s">
        <v>5445</v>
      </c>
      <c r="AF696">
        <v>72</v>
      </c>
      <c r="AG696" t="s">
        <v>5815</v>
      </c>
      <c r="AH696" t="s">
        <v>3188</v>
      </c>
      <c r="AI696">
        <v>25</v>
      </c>
      <c r="AJ696">
        <v>1</v>
      </c>
      <c r="AK696">
        <v>0</v>
      </c>
      <c r="AL696">
        <v>94.73</v>
      </c>
      <c r="AO696" t="s">
        <v>5843</v>
      </c>
      <c r="AP696">
        <v>11500</v>
      </c>
      <c r="AV696">
        <v>22.75</v>
      </c>
      <c r="AW696" t="s">
        <v>280</v>
      </c>
      <c r="AX696" t="s">
        <v>158</v>
      </c>
    </row>
    <row r="697" spans="1:50">
      <c r="A697" s="1">
        <f>HYPERLINK("https://lsnyc.legalserver.org/matter/dynamic-profile/view/1868852","18-1868852")</f>
        <v>0</v>
      </c>
      <c r="B697" t="s">
        <v>115</v>
      </c>
      <c r="C697" t="s">
        <v>191</v>
      </c>
      <c r="D697" t="s">
        <v>359</v>
      </c>
      <c r="F697" t="s">
        <v>922</v>
      </c>
      <c r="G697" t="s">
        <v>1687</v>
      </c>
      <c r="H697" t="s">
        <v>2238</v>
      </c>
      <c r="I697" t="s">
        <v>2823</v>
      </c>
      <c r="J697" t="s">
        <v>3148</v>
      </c>
      <c r="K697">
        <v>11233</v>
      </c>
      <c r="L697" t="s">
        <v>3184</v>
      </c>
      <c r="N697" t="s">
        <v>3186</v>
      </c>
      <c r="O697" t="s">
        <v>3257</v>
      </c>
      <c r="P697" t="s">
        <v>3622</v>
      </c>
      <c r="Q697" t="s">
        <v>3636</v>
      </c>
      <c r="T697" t="s">
        <v>3660</v>
      </c>
      <c r="U697" t="s">
        <v>3185</v>
      </c>
      <c r="W697" t="s">
        <v>3670</v>
      </c>
      <c r="Y697">
        <v>900</v>
      </c>
      <c r="Z697" t="s">
        <v>3691</v>
      </c>
      <c r="AA697" t="s">
        <v>3696</v>
      </c>
      <c r="AC697" t="s">
        <v>4349</v>
      </c>
      <c r="AE697" t="s">
        <v>5446</v>
      </c>
      <c r="AF697">
        <v>6</v>
      </c>
      <c r="AG697" t="s">
        <v>5813</v>
      </c>
      <c r="AH697" t="s">
        <v>5825</v>
      </c>
      <c r="AI697">
        <v>15</v>
      </c>
      <c r="AJ697">
        <v>2</v>
      </c>
      <c r="AK697">
        <v>0</v>
      </c>
      <c r="AL697">
        <v>73.95</v>
      </c>
      <c r="AN697" t="s">
        <v>5842</v>
      </c>
      <c r="AO697" t="s">
        <v>5843</v>
      </c>
      <c r="AP697">
        <v>12172</v>
      </c>
      <c r="AV697">
        <v>26.5</v>
      </c>
      <c r="AW697" t="s">
        <v>5990</v>
      </c>
      <c r="AX697" t="s">
        <v>6050</v>
      </c>
    </row>
    <row r="698" spans="1:50">
      <c r="A698" s="1">
        <f>HYPERLINK("https://lsnyc.legalserver.org/matter/dynamic-profile/view/1906607","19-1906607")</f>
        <v>0</v>
      </c>
      <c r="B698" t="s">
        <v>129</v>
      </c>
      <c r="C698" t="s">
        <v>192</v>
      </c>
      <c r="D698" t="s">
        <v>277</v>
      </c>
      <c r="E698" t="s">
        <v>244</v>
      </c>
      <c r="F698" t="s">
        <v>923</v>
      </c>
      <c r="G698" t="s">
        <v>1688</v>
      </c>
      <c r="H698" t="s">
        <v>2105</v>
      </c>
      <c r="I698" t="s">
        <v>3035</v>
      </c>
      <c r="J698" t="s">
        <v>3148</v>
      </c>
      <c r="K698">
        <v>11208</v>
      </c>
      <c r="L698" t="s">
        <v>3185</v>
      </c>
      <c r="N698" t="s">
        <v>3186</v>
      </c>
      <c r="O698" t="s">
        <v>3458</v>
      </c>
      <c r="P698" t="s">
        <v>3628</v>
      </c>
      <c r="Q698" t="s">
        <v>3639</v>
      </c>
      <c r="R698" t="s">
        <v>3646</v>
      </c>
      <c r="S698" t="s">
        <v>270</v>
      </c>
      <c r="T698" t="s">
        <v>3660</v>
      </c>
      <c r="U698" t="s">
        <v>3184</v>
      </c>
      <c r="W698" t="s">
        <v>3672</v>
      </c>
      <c r="X698" t="s">
        <v>3682</v>
      </c>
      <c r="Y698">
        <v>1488</v>
      </c>
      <c r="Z698" t="s">
        <v>3691</v>
      </c>
      <c r="AA698" t="s">
        <v>3698</v>
      </c>
      <c r="AB698" t="s">
        <v>3715</v>
      </c>
      <c r="AC698" t="s">
        <v>4350</v>
      </c>
      <c r="AD698" t="s">
        <v>4835</v>
      </c>
      <c r="AE698" t="s">
        <v>5447</v>
      </c>
      <c r="AF698">
        <v>319</v>
      </c>
      <c r="AG698" t="s">
        <v>3263</v>
      </c>
      <c r="AI698">
        <v>2</v>
      </c>
      <c r="AJ698">
        <v>2</v>
      </c>
      <c r="AK698">
        <v>2</v>
      </c>
      <c r="AL698">
        <v>8.890000000000001</v>
      </c>
      <c r="AO698" t="s">
        <v>5843</v>
      </c>
      <c r="AP698">
        <v>2288</v>
      </c>
      <c r="AV698">
        <v>4</v>
      </c>
      <c r="AW698" t="s">
        <v>244</v>
      </c>
      <c r="AX698" t="s">
        <v>82</v>
      </c>
    </row>
    <row r="699" spans="1:50">
      <c r="A699" s="1">
        <f>HYPERLINK("https://lsnyc.legalserver.org/matter/dynamic-profile/view/1893549","19-1893549")</f>
        <v>0</v>
      </c>
      <c r="B699" t="s">
        <v>129</v>
      </c>
      <c r="C699" t="s">
        <v>192</v>
      </c>
      <c r="D699" t="s">
        <v>360</v>
      </c>
      <c r="E699" t="s">
        <v>244</v>
      </c>
      <c r="F699" t="s">
        <v>454</v>
      </c>
      <c r="G699" t="s">
        <v>1535</v>
      </c>
      <c r="H699" t="s">
        <v>2474</v>
      </c>
      <c r="I699" t="s">
        <v>3036</v>
      </c>
      <c r="J699" t="s">
        <v>3148</v>
      </c>
      <c r="K699">
        <v>11208</v>
      </c>
      <c r="L699" t="s">
        <v>3185</v>
      </c>
      <c r="N699" t="s">
        <v>3185</v>
      </c>
      <c r="O699" t="s">
        <v>3459</v>
      </c>
      <c r="P699" t="s">
        <v>3617</v>
      </c>
      <c r="Q699" t="s">
        <v>3635</v>
      </c>
      <c r="R699" t="s">
        <v>3646</v>
      </c>
      <c r="T699" t="s">
        <v>3660</v>
      </c>
      <c r="U699" t="s">
        <v>3184</v>
      </c>
      <c r="W699" t="s">
        <v>3672</v>
      </c>
      <c r="Y699">
        <v>247</v>
      </c>
      <c r="Z699" t="s">
        <v>3691</v>
      </c>
      <c r="AA699" t="s">
        <v>3702</v>
      </c>
      <c r="AB699" t="s">
        <v>3715</v>
      </c>
      <c r="AC699" t="s">
        <v>4351</v>
      </c>
      <c r="AE699" t="s">
        <v>5448</v>
      </c>
      <c r="AF699">
        <v>0</v>
      </c>
      <c r="AG699" t="s">
        <v>5812</v>
      </c>
      <c r="AI699">
        <v>9</v>
      </c>
      <c r="AJ699">
        <v>1</v>
      </c>
      <c r="AK699">
        <v>0</v>
      </c>
      <c r="AL699">
        <v>37.28</v>
      </c>
      <c r="AO699" t="s">
        <v>5843</v>
      </c>
      <c r="AP699">
        <v>4656</v>
      </c>
      <c r="AV699">
        <v>21.75</v>
      </c>
      <c r="AW699" t="s">
        <v>244</v>
      </c>
      <c r="AX699" t="s">
        <v>82</v>
      </c>
    </row>
    <row r="700" spans="1:50">
      <c r="A700" s="1">
        <f>HYPERLINK("https://lsnyc.legalserver.org/matter/dynamic-profile/view/1905343","19-1905343")</f>
        <v>0</v>
      </c>
      <c r="B700" t="s">
        <v>129</v>
      </c>
      <c r="C700" t="s">
        <v>192</v>
      </c>
      <c r="D700" t="s">
        <v>210</v>
      </c>
      <c r="E700" t="s">
        <v>222</v>
      </c>
      <c r="F700" t="s">
        <v>924</v>
      </c>
      <c r="G700" t="s">
        <v>1689</v>
      </c>
      <c r="H700" t="s">
        <v>2475</v>
      </c>
      <c r="I700" t="s">
        <v>2858</v>
      </c>
      <c r="J700" t="s">
        <v>3148</v>
      </c>
      <c r="K700">
        <v>11233</v>
      </c>
      <c r="L700" t="s">
        <v>3185</v>
      </c>
      <c r="M700" t="s">
        <v>3190</v>
      </c>
      <c r="N700" t="s">
        <v>3186</v>
      </c>
      <c r="O700" t="s">
        <v>3188</v>
      </c>
      <c r="P700" t="s">
        <v>3629</v>
      </c>
      <c r="Q700" t="s">
        <v>3639</v>
      </c>
      <c r="R700" t="s">
        <v>3645</v>
      </c>
      <c r="S700" t="s">
        <v>210</v>
      </c>
      <c r="T700" t="s">
        <v>3660</v>
      </c>
      <c r="U700" t="s">
        <v>3184</v>
      </c>
      <c r="W700" t="s">
        <v>3672</v>
      </c>
      <c r="X700" t="s">
        <v>3681</v>
      </c>
      <c r="Y700">
        <v>1322</v>
      </c>
      <c r="Z700" t="s">
        <v>3691</v>
      </c>
      <c r="AA700" t="s">
        <v>3707</v>
      </c>
      <c r="AB700" t="s">
        <v>3715</v>
      </c>
      <c r="AC700" t="s">
        <v>4352</v>
      </c>
      <c r="AD700" t="s">
        <v>4836</v>
      </c>
      <c r="AE700" t="s">
        <v>5449</v>
      </c>
      <c r="AF700">
        <v>48</v>
      </c>
      <c r="AG700" t="s">
        <v>5813</v>
      </c>
      <c r="AH700" t="s">
        <v>5825</v>
      </c>
      <c r="AI700">
        <v>3</v>
      </c>
      <c r="AJ700">
        <v>1</v>
      </c>
      <c r="AK700">
        <v>0</v>
      </c>
      <c r="AL700">
        <v>53.77</v>
      </c>
      <c r="AO700" t="s">
        <v>5843</v>
      </c>
      <c r="AP700">
        <v>6715.8</v>
      </c>
      <c r="AV700">
        <v>20</v>
      </c>
      <c r="AW700" t="s">
        <v>222</v>
      </c>
      <c r="AX700" t="s">
        <v>82</v>
      </c>
    </row>
    <row r="701" spans="1:50">
      <c r="A701" s="1">
        <f>HYPERLINK("https://lsnyc.legalserver.org/matter/dynamic-profile/view/1885530","18-1885530")</f>
        <v>0</v>
      </c>
      <c r="B701" t="s">
        <v>129</v>
      </c>
      <c r="C701" t="s">
        <v>192</v>
      </c>
      <c r="D701" t="s">
        <v>361</v>
      </c>
      <c r="E701" t="s">
        <v>193</v>
      </c>
      <c r="F701" t="s">
        <v>925</v>
      </c>
      <c r="G701" t="s">
        <v>1690</v>
      </c>
      <c r="H701" t="s">
        <v>2476</v>
      </c>
      <c r="I701" t="s">
        <v>2854</v>
      </c>
      <c r="J701" t="s">
        <v>3148</v>
      </c>
      <c r="K701">
        <v>11212</v>
      </c>
      <c r="L701" t="s">
        <v>3185</v>
      </c>
      <c r="N701" t="s">
        <v>3186</v>
      </c>
      <c r="O701" t="s">
        <v>3460</v>
      </c>
      <c r="P701" t="s">
        <v>3629</v>
      </c>
      <c r="Q701" t="s">
        <v>3639</v>
      </c>
      <c r="R701" t="s">
        <v>3645</v>
      </c>
      <c r="T701" t="s">
        <v>3660</v>
      </c>
      <c r="W701" t="s">
        <v>3672</v>
      </c>
      <c r="Y701">
        <v>508</v>
      </c>
      <c r="Z701" t="s">
        <v>3691</v>
      </c>
      <c r="AA701" t="s">
        <v>3698</v>
      </c>
      <c r="AB701" t="s">
        <v>3715</v>
      </c>
      <c r="AC701" t="s">
        <v>4353</v>
      </c>
      <c r="AE701" t="s">
        <v>5450</v>
      </c>
      <c r="AF701">
        <v>23</v>
      </c>
      <c r="AI701">
        <v>32</v>
      </c>
      <c r="AJ701">
        <v>1</v>
      </c>
      <c r="AK701">
        <v>1</v>
      </c>
      <c r="AL701">
        <v>37.69</v>
      </c>
      <c r="AO701" t="s">
        <v>5843</v>
      </c>
      <c r="AP701">
        <v>6204</v>
      </c>
      <c r="AV701">
        <v>12.75</v>
      </c>
      <c r="AW701" t="s">
        <v>193</v>
      </c>
      <c r="AX701" t="s">
        <v>6032</v>
      </c>
    </row>
    <row r="702" spans="1:50">
      <c r="A702" s="1">
        <f>HYPERLINK("https://lsnyc.legalserver.org/matter/dynamic-profile/view/1895160","19-1895160")</f>
        <v>0</v>
      </c>
      <c r="B702" t="s">
        <v>129</v>
      </c>
      <c r="C702" t="s">
        <v>192</v>
      </c>
      <c r="D702" t="s">
        <v>248</v>
      </c>
      <c r="E702" t="s">
        <v>193</v>
      </c>
      <c r="F702" t="s">
        <v>589</v>
      </c>
      <c r="G702" t="s">
        <v>1445</v>
      </c>
      <c r="H702" t="s">
        <v>2474</v>
      </c>
      <c r="I702" t="s">
        <v>3002</v>
      </c>
      <c r="J702" t="s">
        <v>3148</v>
      </c>
      <c r="K702">
        <v>11208</v>
      </c>
      <c r="L702" t="s">
        <v>3185</v>
      </c>
      <c r="N702" t="s">
        <v>3185</v>
      </c>
      <c r="O702" t="s">
        <v>3461</v>
      </c>
      <c r="P702" t="s">
        <v>3611</v>
      </c>
      <c r="Q702" t="s">
        <v>3639</v>
      </c>
      <c r="R702" t="s">
        <v>3645</v>
      </c>
      <c r="T702" t="s">
        <v>3660</v>
      </c>
      <c r="U702" t="s">
        <v>3184</v>
      </c>
      <c r="W702" t="s">
        <v>3672</v>
      </c>
      <c r="Y702">
        <v>1408</v>
      </c>
      <c r="Z702" t="s">
        <v>3691</v>
      </c>
      <c r="AA702" t="s">
        <v>3698</v>
      </c>
      <c r="AB702" t="s">
        <v>3715</v>
      </c>
      <c r="AC702" t="s">
        <v>4354</v>
      </c>
      <c r="AE702" t="s">
        <v>5451</v>
      </c>
      <c r="AF702">
        <v>0</v>
      </c>
      <c r="AG702" t="s">
        <v>5813</v>
      </c>
      <c r="AH702" t="s">
        <v>3188</v>
      </c>
      <c r="AI702">
        <v>3</v>
      </c>
      <c r="AJ702">
        <v>1</v>
      </c>
      <c r="AK702">
        <v>3</v>
      </c>
      <c r="AL702">
        <v>69.90000000000001</v>
      </c>
      <c r="AO702" t="s">
        <v>5843</v>
      </c>
      <c r="AP702">
        <v>18000</v>
      </c>
      <c r="AV702">
        <v>17</v>
      </c>
      <c r="AW702" t="s">
        <v>193</v>
      </c>
      <c r="AX702" t="s">
        <v>82</v>
      </c>
    </row>
    <row r="703" spans="1:50">
      <c r="A703" s="1">
        <f>HYPERLINK("https://lsnyc.legalserver.org/matter/dynamic-profile/view/0826586","17-0826586")</f>
        <v>0</v>
      </c>
      <c r="B703" t="s">
        <v>148</v>
      </c>
      <c r="C703" t="s">
        <v>192</v>
      </c>
      <c r="D703" t="s">
        <v>362</v>
      </c>
      <c r="E703" t="s">
        <v>200</v>
      </c>
      <c r="F703" t="s">
        <v>787</v>
      </c>
      <c r="G703" t="s">
        <v>1691</v>
      </c>
      <c r="H703" t="s">
        <v>2477</v>
      </c>
      <c r="I703" t="s">
        <v>2894</v>
      </c>
      <c r="J703" t="s">
        <v>3148</v>
      </c>
      <c r="K703">
        <v>11216</v>
      </c>
      <c r="L703" t="s">
        <v>3184</v>
      </c>
      <c r="N703" t="s">
        <v>3186</v>
      </c>
      <c r="P703" t="s">
        <v>3610</v>
      </c>
      <c r="Q703" t="s">
        <v>3638</v>
      </c>
      <c r="R703" t="s">
        <v>3646</v>
      </c>
      <c r="T703" t="s">
        <v>3660</v>
      </c>
      <c r="V703" t="s">
        <v>3664</v>
      </c>
      <c r="W703" t="s">
        <v>3670</v>
      </c>
      <c r="Y703">
        <v>1106</v>
      </c>
      <c r="Z703" t="s">
        <v>3691</v>
      </c>
      <c r="AA703" t="s">
        <v>3696</v>
      </c>
      <c r="AB703" t="s">
        <v>3714</v>
      </c>
      <c r="AC703" t="s">
        <v>4355</v>
      </c>
      <c r="AE703" t="s">
        <v>5452</v>
      </c>
      <c r="AF703">
        <v>25</v>
      </c>
      <c r="AG703" t="s">
        <v>5813</v>
      </c>
      <c r="AH703" t="s">
        <v>5827</v>
      </c>
      <c r="AI703">
        <v>17</v>
      </c>
      <c r="AJ703">
        <v>2</v>
      </c>
      <c r="AK703">
        <v>0</v>
      </c>
      <c r="AL703">
        <v>128.08</v>
      </c>
      <c r="AO703" t="s">
        <v>5843</v>
      </c>
      <c r="AP703">
        <v>20800</v>
      </c>
      <c r="AV703">
        <v>155.7</v>
      </c>
      <c r="AW703" t="s">
        <v>199</v>
      </c>
      <c r="AX703" t="s">
        <v>6051</v>
      </c>
    </row>
    <row r="704" spans="1:50">
      <c r="A704" s="1">
        <f>HYPERLINK("https://lsnyc.legalserver.org/matter/dynamic-profile/view/0779614","15-0779614")</f>
        <v>0</v>
      </c>
      <c r="B704" t="s">
        <v>135</v>
      </c>
      <c r="C704" t="s">
        <v>191</v>
      </c>
      <c r="D704" t="s">
        <v>363</v>
      </c>
      <c r="F704" t="s">
        <v>735</v>
      </c>
      <c r="G704" t="s">
        <v>1692</v>
      </c>
      <c r="H704" t="s">
        <v>2478</v>
      </c>
      <c r="J704" t="s">
        <v>3148</v>
      </c>
      <c r="K704">
        <v>11216</v>
      </c>
      <c r="L704" t="s">
        <v>3184</v>
      </c>
      <c r="N704" t="s">
        <v>3186</v>
      </c>
      <c r="O704" t="s">
        <v>3462</v>
      </c>
      <c r="P704" t="s">
        <v>3613</v>
      </c>
      <c r="Q704" t="s">
        <v>3638</v>
      </c>
      <c r="T704" t="s">
        <v>3660</v>
      </c>
      <c r="V704" t="s">
        <v>3664</v>
      </c>
      <c r="W704" t="s">
        <v>3670</v>
      </c>
      <c r="Y704">
        <v>0</v>
      </c>
      <c r="Z704" t="s">
        <v>3691</v>
      </c>
      <c r="AC704" t="s">
        <v>4356</v>
      </c>
      <c r="AE704" t="s">
        <v>5453</v>
      </c>
      <c r="AF704">
        <v>0</v>
      </c>
      <c r="AG704" t="s">
        <v>5814</v>
      </c>
      <c r="AI704">
        <v>8</v>
      </c>
      <c r="AJ704">
        <v>1</v>
      </c>
      <c r="AK704">
        <v>0</v>
      </c>
      <c r="AL704">
        <v>0</v>
      </c>
      <c r="AO704" t="s">
        <v>5843</v>
      </c>
      <c r="AP704">
        <v>0</v>
      </c>
      <c r="AQ704" t="s">
        <v>5900</v>
      </c>
      <c r="AV704">
        <v>28</v>
      </c>
      <c r="AW704" t="s">
        <v>5991</v>
      </c>
      <c r="AX704" t="s">
        <v>135</v>
      </c>
    </row>
    <row r="705" spans="1:50">
      <c r="A705" s="1">
        <f>HYPERLINK("https://lsnyc.legalserver.org/matter/dynamic-profile/view/1907812","19-1907812")</f>
        <v>0</v>
      </c>
      <c r="B705" t="s">
        <v>129</v>
      </c>
      <c r="C705" t="s">
        <v>191</v>
      </c>
      <c r="D705" t="s">
        <v>268</v>
      </c>
      <c r="F705" t="s">
        <v>926</v>
      </c>
      <c r="G705" t="s">
        <v>1334</v>
      </c>
      <c r="H705" t="s">
        <v>2442</v>
      </c>
      <c r="I705">
        <v>426</v>
      </c>
      <c r="J705" t="s">
        <v>3148</v>
      </c>
      <c r="K705">
        <v>11208</v>
      </c>
      <c r="L705" t="s">
        <v>3185</v>
      </c>
      <c r="M705" t="s">
        <v>3189</v>
      </c>
      <c r="N705" t="s">
        <v>3186</v>
      </c>
      <c r="O705" t="s">
        <v>3463</v>
      </c>
      <c r="P705" t="s">
        <v>3257</v>
      </c>
      <c r="Q705" t="s">
        <v>3635</v>
      </c>
      <c r="S705" t="s">
        <v>225</v>
      </c>
      <c r="T705" t="s">
        <v>3660</v>
      </c>
      <c r="U705" t="s">
        <v>3184</v>
      </c>
      <c r="W705" t="s">
        <v>3672</v>
      </c>
      <c r="X705" t="s">
        <v>3682</v>
      </c>
      <c r="Y705">
        <v>208</v>
      </c>
      <c r="Z705" t="s">
        <v>3691</v>
      </c>
      <c r="AA705" t="s">
        <v>3695</v>
      </c>
      <c r="AC705" t="s">
        <v>4357</v>
      </c>
      <c r="AD705" t="s">
        <v>3218</v>
      </c>
      <c r="AE705" t="s">
        <v>5454</v>
      </c>
      <c r="AF705">
        <v>40</v>
      </c>
      <c r="AG705" t="s">
        <v>5812</v>
      </c>
      <c r="AH705" t="s">
        <v>5827</v>
      </c>
      <c r="AI705">
        <v>11</v>
      </c>
      <c r="AJ705">
        <v>1</v>
      </c>
      <c r="AK705">
        <v>0</v>
      </c>
      <c r="AL705">
        <v>83.2</v>
      </c>
      <c r="AO705" t="s">
        <v>5843</v>
      </c>
      <c r="AP705">
        <v>10392</v>
      </c>
      <c r="AQ705" t="s">
        <v>5901</v>
      </c>
      <c r="AV705">
        <v>12</v>
      </c>
      <c r="AW705" t="s">
        <v>291</v>
      </c>
      <c r="AX705" t="s">
        <v>158</v>
      </c>
    </row>
    <row r="706" spans="1:50">
      <c r="A706" s="1">
        <f>HYPERLINK("https://lsnyc.legalserver.org/matter/dynamic-profile/view/1907781","19-1907781")</f>
        <v>0</v>
      </c>
      <c r="B706" t="s">
        <v>129</v>
      </c>
      <c r="C706" t="s">
        <v>191</v>
      </c>
      <c r="D706" t="s">
        <v>225</v>
      </c>
      <c r="F706" t="s">
        <v>927</v>
      </c>
      <c r="G706" t="s">
        <v>1693</v>
      </c>
      <c r="H706" t="s">
        <v>2479</v>
      </c>
      <c r="I706" t="s">
        <v>2897</v>
      </c>
      <c r="J706" t="s">
        <v>3148</v>
      </c>
      <c r="K706">
        <v>11233</v>
      </c>
      <c r="L706" t="s">
        <v>3185</v>
      </c>
      <c r="M706" t="s">
        <v>3189</v>
      </c>
      <c r="N706" t="s">
        <v>3186</v>
      </c>
      <c r="O706" t="s">
        <v>3191</v>
      </c>
      <c r="P706" t="s">
        <v>3257</v>
      </c>
      <c r="Q706" t="s">
        <v>3634</v>
      </c>
      <c r="S706" t="s">
        <v>225</v>
      </c>
      <c r="T706" t="s">
        <v>3660</v>
      </c>
      <c r="U706" t="s">
        <v>3184</v>
      </c>
      <c r="W706" t="s">
        <v>3670</v>
      </c>
      <c r="X706" t="s">
        <v>3681</v>
      </c>
      <c r="Y706">
        <v>835</v>
      </c>
      <c r="Z706" t="s">
        <v>3691</v>
      </c>
      <c r="AA706" t="s">
        <v>3697</v>
      </c>
      <c r="AC706" t="s">
        <v>4358</v>
      </c>
      <c r="AD706" t="s">
        <v>3218</v>
      </c>
      <c r="AE706" t="s">
        <v>5455</v>
      </c>
      <c r="AF706">
        <v>6</v>
      </c>
      <c r="AG706" t="s">
        <v>5813</v>
      </c>
      <c r="AH706" t="s">
        <v>3188</v>
      </c>
      <c r="AI706">
        <v>1</v>
      </c>
      <c r="AJ706">
        <v>1</v>
      </c>
      <c r="AK706">
        <v>0</v>
      </c>
      <c r="AL706">
        <v>160.13</v>
      </c>
      <c r="AO706" t="s">
        <v>5843</v>
      </c>
      <c r="AP706">
        <v>20000</v>
      </c>
      <c r="AV706">
        <v>2.5</v>
      </c>
      <c r="AW706" t="s">
        <v>211</v>
      </c>
      <c r="AX706" t="s">
        <v>158</v>
      </c>
    </row>
    <row r="707" spans="1:50">
      <c r="A707" s="1">
        <f>HYPERLINK("https://lsnyc.legalserver.org/matter/dynamic-profile/view/1895178","19-1895178")</f>
        <v>0</v>
      </c>
      <c r="B707" t="s">
        <v>129</v>
      </c>
      <c r="C707" t="s">
        <v>191</v>
      </c>
      <c r="D707" t="s">
        <v>248</v>
      </c>
      <c r="F707" t="s">
        <v>513</v>
      </c>
      <c r="G707" t="s">
        <v>1694</v>
      </c>
      <c r="H707" t="s">
        <v>2480</v>
      </c>
      <c r="I707" t="s">
        <v>3037</v>
      </c>
      <c r="J707" t="s">
        <v>3148</v>
      </c>
      <c r="K707">
        <v>11212</v>
      </c>
      <c r="L707" t="s">
        <v>3185</v>
      </c>
      <c r="N707" t="s">
        <v>3185</v>
      </c>
      <c r="O707" t="s">
        <v>3464</v>
      </c>
      <c r="P707" t="s">
        <v>3610</v>
      </c>
      <c r="Q707" t="s">
        <v>3634</v>
      </c>
      <c r="T707" t="s">
        <v>3660</v>
      </c>
      <c r="U707" t="s">
        <v>3184</v>
      </c>
      <c r="W707" t="s">
        <v>3672</v>
      </c>
      <c r="Y707">
        <v>1268</v>
      </c>
      <c r="Z707" t="s">
        <v>3691</v>
      </c>
      <c r="AA707" t="s">
        <v>3698</v>
      </c>
      <c r="AC707" t="s">
        <v>4359</v>
      </c>
      <c r="AD707" t="s">
        <v>4837</v>
      </c>
      <c r="AE707" t="s">
        <v>5456</v>
      </c>
      <c r="AF707">
        <v>31</v>
      </c>
      <c r="AG707" t="s">
        <v>5813</v>
      </c>
      <c r="AH707" t="s">
        <v>5829</v>
      </c>
      <c r="AI707">
        <v>2</v>
      </c>
      <c r="AJ707">
        <v>2</v>
      </c>
      <c r="AK707">
        <v>0</v>
      </c>
      <c r="AL707">
        <v>0</v>
      </c>
      <c r="AO707" t="s">
        <v>5843</v>
      </c>
      <c r="AP707">
        <v>0</v>
      </c>
      <c r="AV707">
        <v>0.75</v>
      </c>
      <c r="AW707" t="s">
        <v>233</v>
      </c>
      <c r="AX707" t="s">
        <v>82</v>
      </c>
    </row>
    <row r="708" spans="1:50">
      <c r="A708" s="1">
        <f>HYPERLINK("https://lsnyc.legalserver.org/matter/dynamic-profile/view/1899905","19-1899905")</f>
        <v>0</v>
      </c>
      <c r="B708" t="s">
        <v>129</v>
      </c>
      <c r="C708" t="s">
        <v>191</v>
      </c>
      <c r="D708" t="s">
        <v>204</v>
      </c>
      <c r="F708" t="s">
        <v>928</v>
      </c>
      <c r="G708" t="s">
        <v>1695</v>
      </c>
      <c r="H708" t="s">
        <v>2481</v>
      </c>
      <c r="I708" t="s">
        <v>3038</v>
      </c>
      <c r="J708" t="s">
        <v>3148</v>
      </c>
      <c r="K708">
        <v>11207</v>
      </c>
      <c r="L708" t="s">
        <v>3185</v>
      </c>
      <c r="M708" t="s">
        <v>3189</v>
      </c>
      <c r="N708" t="s">
        <v>3186</v>
      </c>
      <c r="O708" t="s">
        <v>3465</v>
      </c>
      <c r="P708" t="s">
        <v>3628</v>
      </c>
      <c r="Q708" t="s">
        <v>3639</v>
      </c>
      <c r="T708" t="s">
        <v>3660</v>
      </c>
      <c r="U708" t="s">
        <v>3184</v>
      </c>
      <c r="W708" t="s">
        <v>3672</v>
      </c>
      <c r="X708" t="s">
        <v>3682</v>
      </c>
      <c r="Y708">
        <v>1699</v>
      </c>
      <c r="Z708" t="s">
        <v>3691</v>
      </c>
      <c r="AA708" t="s">
        <v>3706</v>
      </c>
      <c r="AC708" t="s">
        <v>4360</v>
      </c>
      <c r="AE708" t="s">
        <v>5457</v>
      </c>
      <c r="AF708">
        <v>168</v>
      </c>
      <c r="AG708" t="s">
        <v>5816</v>
      </c>
      <c r="AH708" t="s">
        <v>5830</v>
      </c>
      <c r="AI708">
        <v>23</v>
      </c>
      <c r="AJ708">
        <v>1</v>
      </c>
      <c r="AK708">
        <v>0</v>
      </c>
      <c r="AL708">
        <v>0</v>
      </c>
      <c r="AO708" t="s">
        <v>5843</v>
      </c>
      <c r="AP708">
        <v>0</v>
      </c>
      <c r="AV708">
        <v>10.75</v>
      </c>
      <c r="AW708" t="s">
        <v>193</v>
      </c>
      <c r="AX708" t="s">
        <v>82</v>
      </c>
    </row>
    <row r="709" spans="1:50">
      <c r="A709" s="1">
        <f>HYPERLINK("https://lsnyc.legalserver.org/matter/dynamic-profile/view/1909296","19-1909296")</f>
        <v>0</v>
      </c>
      <c r="B709" t="s">
        <v>129</v>
      </c>
      <c r="C709" t="s">
        <v>191</v>
      </c>
      <c r="D709" t="s">
        <v>222</v>
      </c>
      <c r="F709" t="s">
        <v>929</v>
      </c>
      <c r="G709" t="s">
        <v>1664</v>
      </c>
      <c r="H709" t="s">
        <v>2482</v>
      </c>
      <c r="I709">
        <v>143</v>
      </c>
      <c r="J709" t="s">
        <v>3148</v>
      </c>
      <c r="K709">
        <v>11208</v>
      </c>
      <c r="L709" t="s">
        <v>3185</v>
      </c>
      <c r="M709" t="s">
        <v>3189</v>
      </c>
      <c r="N709" t="s">
        <v>3186</v>
      </c>
      <c r="O709" t="s">
        <v>3200</v>
      </c>
      <c r="P709" t="s">
        <v>3257</v>
      </c>
      <c r="S709" t="s">
        <v>275</v>
      </c>
      <c r="T709" t="s">
        <v>3660</v>
      </c>
      <c r="U709" t="s">
        <v>3184</v>
      </c>
      <c r="W709" t="s">
        <v>3670</v>
      </c>
      <c r="X709" t="s">
        <v>3681</v>
      </c>
      <c r="Y709">
        <v>1000</v>
      </c>
      <c r="Z709" t="s">
        <v>3691</v>
      </c>
      <c r="AC709" t="s">
        <v>4361</v>
      </c>
      <c r="AD709" t="s">
        <v>4762</v>
      </c>
      <c r="AE709" t="s">
        <v>5458</v>
      </c>
      <c r="AF709">
        <v>266</v>
      </c>
      <c r="AG709" t="s">
        <v>5812</v>
      </c>
      <c r="AH709" t="s">
        <v>5827</v>
      </c>
      <c r="AI709">
        <v>28</v>
      </c>
      <c r="AJ709">
        <v>1</v>
      </c>
      <c r="AK709">
        <v>0</v>
      </c>
      <c r="AL709">
        <v>14.58</v>
      </c>
      <c r="AO709" t="s">
        <v>5843</v>
      </c>
      <c r="AP709">
        <v>1821.6</v>
      </c>
      <c r="AV709">
        <v>5.75</v>
      </c>
      <c r="AW709" t="s">
        <v>221</v>
      </c>
      <c r="AX709" t="s">
        <v>6030</v>
      </c>
    </row>
    <row r="710" spans="1:50">
      <c r="A710" s="1">
        <f>HYPERLINK("https://lsnyc.legalserver.org/matter/dynamic-profile/view/1908630","19-1908630")</f>
        <v>0</v>
      </c>
      <c r="B710" t="s">
        <v>129</v>
      </c>
      <c r="C710" t="s">
        <v>191</v>
      </c>
      <c r="D710" t="s">
        <v>231</v>
      </c>
      <c r="F710" t="s">
        <v>930</v>
      </c>
      <c r="G710" t="s">
        <v>1696</v>
      </c>
      <c r="H710" t="s">
        <v>2483</v>
      </c>
      <c r="I710">
        <v>219</v>
      </c>
      <c r="J710" t="s">
        <v>3148</v>
      </c>
      <c r="K710">
        <v>11212</v>
      </c>
      <c r="L710" t="s">
        <v>3185</v>
      </c>
      <c r="M710" t="s">
        <v>3189</v>
      </c>
      <c r="N710" t="s">
        <v>3186</v>
      </c>
      <c r="O710" t="s">
        <v>3218</v>
      </c>
      <c r="P710" t="s">
        <v>3257</v>
      </c>
      <c r="S710" t="s">
        <v>199</v>
      </c>
      <c r="T710" t="s">
        <v>3660</v>
      </c>
      <c r="U710" t="s">
        <v>3184</v>
      </c>
      <c r="W710" t="s">
        <v>3670</v>
      </c>
      <c r="X710" t="s">
        <v>3681</v>
      </c>
      <c r="Y710">
        <v>895.23</v>
      </c>
      <c r="Z710" t="s">
        <v>3691</v>
      </c>
      <c r="AA710" t="s">
        <v>3701</v>
      </c>
      <c r="AC710" t="s">
        <v>4362</v>
      </c>
      <c r="AD710" t="s">
        <v>4779</v>
      </c>
      <c r="AE710" t="s">
        <v>5459</v>
      </c>
      <c r="AF710">
        <v>132</v>
      </c>
      <c r="AG710" t="s">
        <v>5813</v>
      </c>
      <c r="AI710">
        <v>1</v>
      </c>
      <c r="AJ710">
        <v>1</v>
      </c>
      <c r="AK710">
        <v>0</v>
      </c>
      <c r="AL710">
        <v>38.24</v>
      </c>
      <c r="AO710" t="s">
        <v>5843</v>
      </c>
      <c r="AP710">
        <v>4776</v>
      </c>
      <c r="AV710">
        <v>1.1</v>
      </c>
      <c r="AW710" t="s">
        <v>291</v>
      </c>
      <c r="AX710" t="s">
        <v>6021</v>
      </c>
    </row>
    <row r="711" spans="1:50">
      <c r="A711" s="1">
        <f>HYPERLINK("https://lsnyc.legalserver.org/matter/dynamic-profile/view/1908420","19-1908420")</f>
        <v>0</v>
      </c>
      <c r="B711" t="s">
        <v>129</v>
      </c>
      <c r="C711" t="s">
        <v>191</v>
      </c>
      <c r="D711" t="s">
        <v>262</v>
      </c>
      <c r="F711" t="s">
        <v>931</v>
      </c>
      <c r="G711" t="s">
        <v>1697</v>
      </c>
      <c r="H711" t="s">
        <v>2484</v>
      </c>
      <c r="I711" t="s">
        <v>2905</v>
      </c>
      <c r="J711" t="s">
        <v>3148</v>
      </c>
      <c r="K711">
        <v>11237</v>
      </c>
      <c r="L711" t="s">
        <v>3185</v>
      </c>
      <c r="N711" t="s">
        <v>3186</v>
      </c>
      <c r="O711" t="s">
        <v>3188</v>
      </c>
      <c r="P711" t="s">
        <v>3617</v>
      </c>
      <c r="T711" t="s">
        <v>3660</v>
      </c>
      <c r="U711" t="s">
        <v>3184</v>
      </c>
      <c r="W711" t="s">
        <v>3672</v>
      </c>
      <c r="Y711">
        <v>973</v>
      </c>
      <c r="Z711" t="s">
        <v>3691</v>
      </c>
      <c r="AA711" t="s">
        <v>3698</v>
      </c>
      <c r="AC711" t="s">
        <v>4363</v>
      </c>
      <c r="AD711" t="s">
        <v>4838</v>
      </c>
      <c r="AE711" t="s">
        <v>5460</v>
      </c>
      <c r="AF711">
        <v>6</v>
      </c>
      <c r="AG711" t="s">
        <v>5813</v>
      </c>
      <c r="AH711" t="s">
        <v>5827</v>
      </c>
      <c r="AI711">
        <v>12</v>
      </c>
      <c r="AJ711">
        <v>1</v>
      </c>
      <c r="AK711">
        <v>0</v>
      </c>
      <c r="AL711">
        <v>0</v>
      </c>
      <c r="AO711" t="s">
        <v>5843</v>
      </c>
      <c r="AP711">
        <v>0</v>
      </c>
      <c r="AV711">
        <v>3.25</v>
      </c>
      <c r="AW711" t="s">
        <v>221</v>
      </c>
      <c r="AX711" t="s">
        <v>82</v>
      </c>
    </row>
    <row r="712" spans="1:50">
      <c r="A712" s="1">
        <f>HYPERLINK("https://lsnyc.legalserver.org/matter/dynamic-profile/view/1909370","19-1909370")</f>
        <v>0</v>
      </c>
      <c r="B712" t="s">
        <v>129</v>
      </c>
      <c r="C712" t="s">
        <v>191</v>
      </c>
      <c r="D712" t="s">
        <v>196</v>
      </c>
      <c r="F712" t="s">
        <v>647</v>
      </c>
      <c r="G712" t="s">
        <v>1268</v>
      </c>
      <c r="H712" t="s">
        <v>2097</v>
      </c>
      <c r="I712" t="s">
        <v>2935</v>
      </c>
      <c r="J712" t="s">
        <v>3148</v>
      </c>
      <c r="K712">
        <v>11233</v>
      </c>
      <c r="L712" t="s">
        <v>3185</v>
      </c>
      <c r="M712" t="s">
        <v>3189</v>
      </c>
      <c r="N712" t="s">
        <v>3186</v>
      </c>
      <c r="O712" t="s">
        <v>3289</v>
      </c>
      <c r="P712" t="s">
        <v>3628</v>
      </c>
      <c r="T712" t="s">
        <v>3660</v>
      </c>
      <c r="U712" t="s">
        <v>3184</v>
      </c>
      <c r="W712" t="s">
        <v>3672</v>
      </c>
      <c r="X712" t="s">
        <v>3681</v>
      </c>
      <c r="Y712">
        <v>980</v>
      </c>
      <c r="Z712" t="s">
        <v>3691</v>
      </c>
      <c r="AA712" t="s">
        <v>3696</v>
      </c>
      <c r="AC712" t="s">
        <v>3959</v>
      </c>
      <c r="AD712" t="s">
        <v>3188</v>
      </c>
      <c r="AE712" t="s">
        <v>5084</v>
      </c>
      <c r="AF712">
        <v>1117</v>
      </c>
      <c r="AG712" t="s">
        <v>5813</v>
      </c>
      <c r="AH712" t="s">
        <v>5830</v>
      </c>
      <c r="AI712">
        <v>35</v>
      </c>
      <c r="AJ712">
        <v>1</v>
      </c>
      <c r="AK712">
        <v>2</v>
      </c>
      <c r="AL712">
        <v>0</v>
      </c>
      <c r="AO712" t="s">
        <v>5843</v>
      </c>
      <c r="AP712">
        <v>0</v>
      </c>
      <c r="AQ712" t="s">
        <v>5902</v>
      </c>
      <c r="AV712">
        <v>4</v>
      </c>
      <c r="AW712" t="s">
        <v>221</v>
      </c>
      <c r="AX712" t="s">
        <v>158</v>
      </c>
    </row>
    <row r="713" spans="1:50">
      <c r="A713" s="1">
        <f>HYPERLINK("https://lsnyc.legalserver.org/matter/dynamic-profile/view/0783028","15-0783028")</f>
        <v>0</v>
      </c>
      <c r="B713" t="s">
        <v>135</v>
      </c>
      <c r="C713" t="s">
        <v>191</v>
      </c>
      <c r="D713" t="s">
        <v>364</v>
      </c>
      <c r="F713" t="s">
        <v>932</v>
      </c>
      <c r="G713" t="s">
        <v>1698</v>
      </c>
      <c r="H713" t="s">
        <v>2485</v>
      </c>
      <c r="I713" t="s">
        <v>2931</v>
      </c>
      <c r="J713" t="s">
        <v>3148</v>
      </c>
      <c r="K713">
        <v>11215</v>
      </c>
      <c r="L713" t="s">
        <v>3184</v>
      </c>
      <c r="N713" t="s">
        <v>3186</v>
      </c>
      <c r="O713" t="s">
        <v>3466</v>
      </c>
      <c r="P713" t="s">
        <v>3612</v>
      </c>
      <c r="Q713" t="s">
        <v>3638</v>
      </c>
      <c r="T713" t="s">
        <v>3660</v>
      </c>
      <c r="V713" t="s">
        <v>3664</v>
      </c>
      <c r="W713" t="s">
        <v>3670</v>
      </c>
      <c r="Y713">
        <v>822</v>
      </c>
      <c r="Z713" t="s">
        <v>3691</v>
      </c>
      <c r="AC713" t="s">
        <v>4364</v>
      </c>
      <c r="AF713">
        <v>8</v>
      </c>
      <c r="AG713" t="s">
        <v>5813</v>
      </c>
      <c r="AI713">
        <v>25</v>
      </c>
      <c r="AJ713">
        <v>2</v>
      </c>
      <c r="AK713">
        <v>0</v>
      </c>
      <c r="AL713">
        <v>128.06</v>
      </c>
      <c r="AO713" t="s">
        <v>5844</v>
      </c>
      <c r="AP713">
        <v>20400</v>
      </c>
      <c r="AV713">
        <v>211.85</v>
      </c>
      <c r="AW713" t="s">
        <v>196</v>
      </c>
      <c r="AX713" t="s">
        <v>135</v>
      </c>
    </row>
    <row r="714" spans="1:50">
      <c r="A714" s="1">
        <f>HYPERLINK("https://lsnyc.legalserver.org/matter/dynamic-profile/view/1908418","19-1908418")</f>
        <v>0</v>
      </c>
      <c r="B714" t="s">
        <v>129</v>
      </c>
      <c r="C714" t="s">
        <v>191</v>
      </c>
      <c r="D714" t="s">
        <v>262</v>
      </c>
      <c r="F714" t="s">
        <v>607</v>
      </c>
      <c r="G714" t="s">
        <v>1350</v>
      </c>
      <c r="H714" t="s">
        <v>2105</v>
      </c>
      <c r="I714" t="s">
        <v>2917</v>
      </c>
      <c r="J714" t="s">
        <v>3148</v>
      </c>
      <c r="K714">
        <v>11208</v>
      </c>
      <c r="L714" t="s">
        <v>3185</v>
      </c>
      <c r="M714" t="s">
        <v>3189</v>
      </c>
      <c r="N714" t="s">
        <v>3186</v>
      </c>
      <c r="O714" t="s">
        <v>3188</v>
      </c>
      <c r="P714" t="s">
        <v>3617</v>
      </c>
      <c r="T714" t="s">
        <v>3660</v>
      </c>
      <c r="U714" t="s">
        <v>3184</v>
      </c>
      <c r="W714" t="s">
        <v>3672</v>
      </c>
      <c r="Y714">
        <v>0</v>
      </c>
      <c r="Z714" t="s">
        <v>3691</v>
      </c>
      <c r="AA714" t="s">
        <v>3708</v>
      </c>
      <c r="AC714" t="s">
        <v>3913</v>
      </c>
      <c r="AD714" t="s">
        <v>4780</v>
      </c>
      <c r="AE714" t="s">
        <v>5043</v>
      </c>
      <c r="AF714">
        <v>322</v>
      </c>
      <c r="AG714" t="s">
        <v>5813</v>
      </c>
      <c r="AH714" t="s">
        <v>5825</v>
      </c>
      <c r="AI714">
        <v>0</v>
      </c>
      <c r="AJ714">
        <v>1</v>
      </c>
      <c r="AK714">
        <v>7</v>
      </c>
      <c r="AL714">
        <v>65.98</v>
      </c>
      <c r="AO714" t="s">
        <v>5843</v>
      </c>
      <c r="AP714">
        <v>28656</v>
      </c>
      <c r="AQ714" t="s">
        <v>5903</v>
      </c>
      <c r="AV714">
        <v>3.5</v>
      </c>
      <c r="AW714" t="s">
        <v>198</v>
      </c>
      <c r="AX714" t="s">
        <v>82</v>
      </c>
    </row>
    <row r="715" spans="1:50">
      <c r="A715" s="1">
        <f>HYPERLINK("https://lsnyc.legalserver.org/matter/dynamic-profile/view/1901830","19-1901830")</f>
        <v>0</v>
      </c>
      <c r="B715" t="s">
        <v>129</v>
      </c>
      <c r="C715" t="s">
        <v>191</v>
      </c>
      <c r="D715" t="s">
        <v>267</v>
      </c>
      <c r="F715" t="s">
        <v>933</v>
      </c>
      <c r="G715" t="s">
        <v>1207</v>
      </c>
      <c r="H715" t="s">
        <v>2486</v>
      </c>
      <c r="I715" t="s">
        <v>3039</v>
      </c>
      <c r="J715" t="s">
        <v>3148</v>
      </c>
      <c r="K715">
        <v>11208</v>
      </c>
      <c r="L715" t="s">
        <v>3185</v>
      </c>
      <c r="M715" t="s">
        <v>3189</v>
      </c>
      <c r="N715" t="s">
        <v>3186</v>
      </c>
      <c r="O715" t="s">
        <v>3467</v>
      </c>
      <c r="P715" t="s">
        <v>3628</v>
      </c>
      <c r="T715" t="s">
        <v>3660</v>
      </c>
      <c r="U715" t="s">
        <v>3184</v>
      </c>
      <c r="W715" t="s">
        <v>3672</v>
      </c>
      <c r="X715" t="s">
        <v>3681</v>
      </c>
      <c r="Y715">
        <v>1956</v>
      </c>
      <c r="Z715" t="s">
        <v>3691</v>
      </c>
      <c r="AA715" t="s">
        <v>3632</v>
      </c>
      <c r="AC715" t="s">
        <v>4365</v>
      </c>
      <c r="AE715" t="s">
        <v>5461</v>
      </c>
      <c r="AF715">
        <v>3</v>
      </c>
      <c r="AG715" t="s">
        <v>5814</v>
      </c>
      <c r="AH715" t="s">
        <v>5829</v>
      </c>
      <c r="AI715">
        <v>4</v>
      </c>
      <c r="AJ715">
        <v>1</v>
      </c>
      <c r="AK715">
        <v>3</v>
      </c>
      <c r="AL715">
        <v>197.31</v>
      </c>
      <c r="AO715" t="s">
        <v>5843</v>
      </c>
      <c r="AP715">
        <v>50806.8</v>
      </c>
      <c r="AV715">
        <v>5.5</v>
      </c>
      <c r="AW715" t="s">
        <v>211</v>
      </c>
      <c r="AX715" t="s">
        <v>82</v>
      </c>
    </row>
    <row r="716" spans="1:50">
      <c r="A716" s="1">
        <f>HYPERLINK("https://lsnyc.legalserver.org/matter/dynamic-profile/view/1908816","19-1908816")</f>
        <v>0</v>
      </c>
      <c r="B716" t="s">
        <v>129</v>
      </c>
      <c r="C716" t="s">
        <v>191</v>
      </c>
      <c r="D716" t="s">
        <v>280</v>
      </c>
      <c r="F716" t="s">
        <v>918</v>
      </c>
      <c r="G716" t="s">
        <v>1683</v>
      </c>
      <c r="H716" t="s">
        <v>2469</v>
      </c>
      <c r="I716" t="s">
        <v>2908</v>
      </c>
      <c r="J716" t="s">
        <v>3148</v>
      </c>
      <c r="K716">
        <v>11233</v>
      </c>
      <c r="L716" t="s">
        <v>3185</v>
      </c>
      <c r="M716" t="s">
        <v>3189</v>
      </c>
      <c r="N716" t="s">
        <v>3186</v>
      </c>
      <c r="O716" t="s">
        <v>3468</v>
      </c>
      <c r="P716" t="s">
        <v>3628</v>
      </c>
      <c r="T716" t="s">
        <v>3660</v>
      </c>
      <c r="U716" t="s">
        <v>3184</v>
      </c>
      <c r="W716" t="s">
        <v>3676</v>
      </c>
      <c r="X716" t="s">
        <v>3682</v>
      </c>
      <c r="Y716">
        <v>868.12</v>
      </c>
      <c r="Z716" t="s">
        <v>3691</v>
      </c>
      <c r="AA716" t="s">
        <v>3632</v>
      </c>
      <c r="AC716" t="s">
        <v>4344</v>
      </c>
      <c r="AD716" t="s">
        <v>3218</v>
      </c>
      <c r="AE716" t="s">
        <v>5441</v>
      </c>
      <c r="AF716">
        <v>32</v>
      </c>
      <c r="AG716" t="s">
        <v>5813</v>
      </c>
      <c r="AH716" t="s">
        <v>3188</v>
      </c>
      <c r="AI716">
        <v>7</v>
      </c>
      <c r="AJ716">
        <v>1</v>
      </c>
      <c r="AK716">
        <v>1</v>
      </c>
      <c r="AL716">
        <v>211.71</v>
      </c>
      <c r="AO716" t="s">
        <v>5843</v>
      </c>
      <c r="AP716">
        <v>35800</v>
      </c>
      <c r="AQ716" t="s">
        <v>5904</v>
      </c>
      <c r="AV716">
        <v>8.5</v>
      </c>
      <c r="AW716" t="s">
        <v>198</v>
      </c>
      <c r="AX716" t="s">
        <v>158</v>
      </c>
    </row>
    <row r="717" spans="1:50">
      <c r="A717" s="1">
        <f>HYPERLINK("https://lsnyc.legalserver.org/matter/dynamic-profile/view/1910450","19-1910450")</f>
        <v>0</v>
      </c>
      <c r="B717" t="s">
        <v>129</v>
      </c>
      <c r="C717" t="s">
        <v>191</v>
      </c>
      <c r="D717" t="s">
        <v>199</v>
      </c>
      <c r="F717" t="s">
        <v>450</v>
      </c>
      <c r="G717" t="s">
        <v>1196</v>
      </c>
      <c r="H717" t="s">
        <v>1972</v>
      </c>
      <c r="I717" t="s">
        <v>2822</v>
      </c>
      <c r="J717" t="s">
        <v>3148</v>
      </c>
      <c r="K717">
        <v>11212</v>
      </c>
      <c r="L717" t="s">
        <v>3185</v>
      </c>
      <c r="M717" t="s">
        <v>3189</v>
      </c>
      <c r="N717" t="s">
        <v>3186</v>
      </c>
      <c r="O717" t="s">
        <v>3196</v>
      </c>
      <c r="P717" t="s">
        <v>3629</v>
      </c>
      <c r="T717" t="s">
        <v>3660</v>
      </c>
      <c r="U717" t="s">
        <v>3184</v>
      </c>
      <c r="W717" t="s">
        <v>3672</v>
      </c>
      <c r="Y717">
        <v>2200</v>
      </c>
      <c r="Z717" t="s">
        <v>3691</v>
      </c>
      <c r="AA717" t="s">
        <v>3696</v>
      </c>
      <c r="AC717" t="s">
        <v>3735</v>
      </c>
      <c r="AD717" t="s">
        <v>4778</v>
      </c>
      <c r="AE717" t="s">
        <v>4889</v>
      </c>
      <c r="AF717">
        <v>5</v>
      </c>
      <c r="AG717" t="s">
        <v>5814</v>
      </c>
      <c r="AH717" t="s">
        <v>3188</v>
      </c>
      <c r="AI717">
        <v>1</v>
      </c>
      <c r="AJ717">
        <v>3</v>
      </c>
      <c r="AK717">
        <v>1</v>
      </c>
      <c r="AL717">
        <v>227.55</v>
      </c>
      <c r="AO717" t="s">
        <v>5843</v>
      </c>
      <c r="AP717">
        <v>58595</v>
      </c>
      <c r="AQ717" t="s">
        <v>5905</v>
      </c>
      <c r="AV717">
        <v>0</v>
      </c>
      <c r="AX717" t="s">
        <v>158</v>
      </c>
    </row>
    <row r="718" spans="1:50">
      <c r="A718" s="1">
        <f>HYPERLINK("https://lsnyc.legalserver.org/matter/dynamic-profile/view/1895168","19-1895168")</f>
        <v>0</v>
      </c>
      <c r="B718" t="s">
        <v>129</v>
      </c>
      <c r="C718" t="s">
        <v>191</v>
      </c>
      <c r="D718" t="s">
        <v>248</v>
      </c>
      <c r="F718" t="s">
        <v>934</v>
      </c>
      <c r="G718" t="s">
        <v>1699</v>
      </c>
      <c r="H718" t="s">
        <v>2487</v>
      </c>
      <c r="I718">
        <v>615</v>
      </c>
      <c r="J718" t="s">
        <v>3148</v>
      </c>
      <c r="K718">
        <v>11239</v>
      </c>
      <c r="L718" t="s">
        <v>3185</v>
      </c>
      <c r="N718" t="s">
        <v>3185</v>
      </c>
      <c r="O718" t="s">
        <v>3469</v>
      </c>
      <c r="P718" t="s">
        <v>3610</v>
      </c>
      <c r="T718" t="s">
        <v>3660</v>
      </c>
      <c r="U718" t="s">
        <v>3184</v>
      </c>
      <c r="W718" t="s">
        <v>3672</v>
      </c>
      <c r="Y718">
        <v>1205</v>
      </c>
      <c r="Z718" t="s">
        <v>3691</v>
      </c>
      <c r="AA718" t="s">
        <v>3697</v>
      </c>
      <c r="AC718" t="s">
        <v>4366</v>
      </c>
      <c r="AD718">
        <v>32263748</v>
      </c>
      <c r="AE718" t="s">
        <v>5462</v>
      </c>
      <c r="AF718">
        <v>137</v>
      </c>
      <c r="AG718" t="s">
        <v>5813</v>
      </c>
      <c r="AH718" t="s">
        <v>5827</v>
      </c>
      <c r="AI718">
        <v>1</v>
      </c>
      <c r="AJ718">
        <v>2</v>
      </c>
      <c r="AK718">
        <v>1</v>
      </c>
      <c r="AL718">
        <v>241.76</v>
      </c>
      <c r="AO718" t="s">
        <v>5843</v>
      </c>
      <c r="AP718">
        <v>51568</v>
      </c>
      <c r="AV718">
        <v>10.75</v>
      </c>
      <c r="AW718" t="s">
        <v>267</v>
      </c>
      <c r="AX718" t="s">
        <v>82</v>
      </c>
    </row>
    <row r="719" spans="1:50">
      <c r="A719" s="1">
        <f>HYPERLINK("https://lsnyc.legalserver.org/matter/dynamic-profile/view/0787091","15-0787091")</f>
        <v>0</v>
      </c>
      <c r="B719" t="s">
        <v>120</v>
      </c>
      <c r="C719" t="s">
        <v>191</v>
      </c>
      <c r="D719" t="s">
        <v>365</v>
      </c>
      <c r="F719" t="s">
        <v>935</v>
      </c>
      <c r="G719" t="s">
        <v>1700</v>
      </c>
      <c r="H719" t="s">
        <v>2488</v>
      </c>
      <c r="I719" t="s">
        <v>3040</v>
      </c>
      <c r="J719" t="s">
        <v>3148</v>
      </c>
      <c r="K719">
        <v>11223</v>
      </c>
      <c r="L719" t="s">
        <v>3184</v>
      </c>
      <c r="N719" t="s">
        <v>3186</v>
      </c>
      <c r="Q719" t="s">
        <v>3638</v>
      </c>
      <c r="T719" t="s">
        <v>3660</v>
      </c>
      <c r="V719" t="s">
        <v>3664</v>
      </c>
      <c r="W719" t="s">
        <v>3670</v>
      </c>
      <c r="Y719">
        <v>0</v>
      </c>
      <c r="Z719" t="s">
        <v>3691</v>
      </c>
      <c r="AC719" t="s">
        <v>4367</v>
      </c>
      <c r="AE719" t="s">
        <v>5463</v>
      </c>
      <c r="AF719">
        <v>0</v>
      </c>
      <c r="AI719">
        <v>0</v>
      </c>
      <c r="AJ719">
        <v>2</v>
      </c>
      <c r="AK719">
        <v>0</v>
      </c>
      <c r="AL719">
        <v>29.91</v>
      </c>
      <c r="AO719" t="s">
        <v>5843</v>
      </c>
      <c r="AP719">
        <v>4764</v>
      </c>
      <c r="AV719">
        <v>50.5</v>
      </c>
      <c r="AW719" t="s">
        <v>199</v>
      </c>
      <c r="AX719" t="s">
        <v>6039</v>
      </c>
    </row>
    <row r="720" spans="1:50">
      <c r="A720" s="1">
        <f>HYPERLINK("https://lsnyc.legalserver.org/matter/dynamic-profile/view/0798503","16-0798503")</f>
        <v>0</v>
      </c>
      <c r="B720" t="s">
        <v>120</v>
      </c>
      <c r="C720" t="s">
        <v>191</v>
      </c>
      <c r="D720" t="s">
        <v>366</v>
      </c>
      <c r="F720" t="s">
        <v>936</v>
      </c>
      <c r="G720" t="s">
        <v>1369</v>
      </c>
      <c r="H720" t="s">
        <v>2489</v>
      </c>
      <c r="I720" t="s">
        <v>2905</v>
      </c>
      <c r="J720" t="s">
        <v>3148</v>
      </c>
      <c r="K720">
        <v>11211</v>
      </c>
      <c r="L720" t="s">
        <v>3184</v>
      </c>
      <c r="N720" t="s">
        <v>3186</v>
      </c>
      <c r="Q720" t="s">
        <v>3638</v>
      </c>
      <c r="T720" t="s">
        <v>3660</v>
      </c>
      <c r="V720" t="s">
        <v>3664</v>
      </c>
      <c r="W720" t="s">
        <v>3670</v>
      </c>
      <c r="Y720">
        <v>0</v>
      </c>
      <c r="Z720" t="s">
        <v>3691</v>
      </c>
      <c r="AC720" t="s">
        <v>4368</v>
      </c>
      <c r="AE720" t="s">
        <v>5464</v>
      </c>
      <c r="AF720">
        <v>0</v>
      </c>
      <c r="AI720">
        <v>0</v>
      </c>
      <c r="AJ720">
        <v>1</v>
      </c>
      <c r="AK720">
        <v>0</v>
      </c>
      <c r="AL720">
        <v>82.83</v>
      </c>
      <c r="AO720" t="s">
        <v>5844</v>
      </c>
      <c r="AP720">
        <v>9840</v>
      </c>
      <c r="AV720">
        <v>89</v>
      </c>
      <c r="AW720" t="s">
        <v>201</v>
      </c>
      <c r="AX720" t="s">
        <v>120</v>
      </c>
    </row>
    <row r="721" spans="1:50">
      <c r="A721" s="1">
        <f>HYPERLINK("https://lsnyc.legalserver.org/matter/dynamic-profile/view/1879371","18-1879371")</f>
        <v>0</v>
      </c>
      <c r="B721" t="s">
        <v>103</v>
      </c>
      <c r="C721" t="s">
        <v>192</v>
      </c>
      <c r="D721" t="s">
        <v>367</v>
      </c>
      <c r="E721" t="s">
        <v>243</v>
      </c>
      <c r="F721" t="s">
        <v>937</v>
      </c>
      <c r="G721" t="s">
        <v>1701</v>
      </c>
      <c r="H721" t="s">
        <v>2490</v>
      </c>
      <c r="I721" t="s">
        <v>2908</v>
      </c>
      <c r="J721" t="s">
        <v>3148</v>
      </c>
      <c r="K721">
        <v>11239</v>
      </c>
      <c r="L721" t="s">
        <v>3184</v>
      </c>
      <c r="N721" t="s">
        <v>3184</v>
      </c>
      <c r="O721" t="s">
        <v>3470</v>
      </c>
      <c r="Q721" t="s">
        <v>3638</v>
      </c>
      <c r="R721" t="s">
        <v>3642</v>
      </c>
      <c r="T721" t="s">
        <v>3660</v>
      </c>
      <c r="W721" t="s">
        <v>3672</v>
      </c>
      <c r="Y721">
        <v>3260</v>
      </c>
      <c r="Z721" t="s">
        <v>3691</v>
      </c>
      <c r="AA721" t="s">
        <v>3698</v>
      </c>
      <c r="AB721" t="s">
        <v>3721</v>
      </c>
      <c r="AC721" t="s">
        <v>4146</v>
      </c>
      <c r="AE721" t="s">
        <v>5465</v>
      </c>
      <c r="AF721">
        <v>84</v>
      </c>
      <c r="AH721" t="s">
        <v>3632</v>
      </c>
      <c r="AI721">
        <v>43</v>
      </c>
      <c r="AJ721">
        <v>1</v>
      </c>
      <c r="AK721">
        <v>1</v>
      </c>
      <c r="AL721">
        <v>0</v>
      </c>
      <c r="AO721" t="s">
        <v>5843</v>
      </c>
      <c r="AP721">
        <v>0</v>
      </c>
      <c r="AV721">
        <v>1.1</v>
      </c>
      <c r="AW721" t="s">
        <v>5987</v>
      </c>
      <c r="AX721" t="s">
        <v>6029</v>
      </c>
    </row>
    <row r="722" spans="1:50">
      <c r="A722" s="1">
        <f>HYPERLINK("https://lsnyc.legalserver.org/matter/dynamic-profile/view/1870446","18-1870446")</f>
        <v>0</v>
      </c>
      <c r="B722" t="s">
        <v>103</v>
      </c>
      <c r="C722" t="s">
        <v>192</v>
      </c>
      <c r="D722" t="s">
        <v>306</v>
      </c>
      <c r="E722" t="s">
        <v>275</v>
      </c>
      <c r="F722" t="s">
        <v>639</v>
      </c>
      <c r="G722" t="s">
        <v>1702</v>
      </c>
      <c r="H722" t="s">
        <v>2491</v>
      </c>
      <c r="I722" t="s">
        <v>3041</v>
      </c>
      <c r="J722" t="s">
        <v>3148</v>
      </c>
      <c r="K722">
        <v>11208</v>
      </c>
      <c r="L722" t="s">
        <v>3184</v>
      </c>
      <c r="N722" t="s">
        <v>3186</v>
      </c>
      <c r="R722" t="s">
        <v>3642</v>
      </c>
      <c r="T722" t="s">
        <v>3660</v>
      </c>
      <c r="U722" t="s">
        <v>3185</v>
      </c>
      <c r="W722" t="s">
        <v>3670</v>
      </c>
      <c r="Y722">
        <v>1515</v>
      </c>
      <c r="Z722" t="s">
        <v>3691</v>
      </c>
      <c r="AA722" t="s">
        <v>3632</v>
      </c>
      <c r="AB722" t="s">
        <v>3721</v>
      </c>
      <c r="AC722" t="s">
        <v>4369</v>
      </c>
      <c r="AD722">
        <v>8973405</v>
      </c>
      <c r="AE722" t="s">
        <v>5466</v>
      </c>
      <c r="AF722">
        <v>3</v>
      </c>
      <c r="AG722" t="s">
        <v>3263</v>
      </c>
      <c r="AH722" t="s">
        <v>5828</v>
      </c>
      <c r="AI722">
        <v>1</v>
      </c>
      <c r="AJ722">
        <v>1</v>
      </c>
      <c r="AK722">
        <v>2</v>
      </c>
      <c r="AL722">
        <v>22.46</v>
      </c>
      <c r="AO722" t="s">
        <v>5843</v>
      </c>
      <c r="AP722">
        <v>4668</v>
      </c>
      <c r="AV722">
        <v>0.5</v>
      </c>
      <c r="AW722" t="s">
        <v>306</v>
      </c>
      <c r="AX722" t="s">
        <v>6006</v>
      </c>
    </row>
    <row r="723" spans="1:50">
      <c r="A723" s="1">
        <f>HYPERLINK("https://lsnyc.legalserver.org/matter/dynamic-profile/view/1884048","18-1884048")</f>
        <v>0</v>
      </c>
      <c r="B723" t="s">
        <v>103</v>
      </c>
      <c r="C723" t="s">
        <v>192</v>
      </c>
      <c r="D723" t="s">
        <v>316</v>
      </c>
      <c r="E723" t="s">
        <v>275</v>
      </c>
      <c r="F723" t="s">
        <v>938</v>
      </c>
      <c r="G723" t="s">
        <v>1703</v>
      </c>
      <c r="H723" t="s">
        <v>2492</v>
      </c>
      <c r="I723" t="s">
        <v>2838</v>
      </c>
      <c r="J723" t="s">
        <v>3148</v>
      </c>
      <c r="K723">
        <v>11209</v>
      </c>
      <c r="L723" t="s">
        <v>3184</v>
      </c>
      <c r="M723" t="s">
        <v>3188</v>
      </c>
      <c r="N723" t="s">
        <v>3186</v>
      </c>
      <c r="P723" t="s">
        <v>3257</v>
      </c>
      <c r="R723" t="s">
        <v>3642</v>
      </c>
      <c r="T723" t="s">
        <v>3660</v>
      </c>
      <c r="W723" t="s">
        <v>3670</v>
      </c>
      <c r="Y723">
        <v>0</v>
      </c>
      <c r="Z723" t="s">
        <v>3691</v>
      </c>
      <c r="AB723" t="s">
        <v>3721</v>
      </c>
      <c r="AC723" t="s">
        <v>4370</v>
      </c>
      <c r="AE723" t="s">
        <v>5467</v>
      </c>
      <c r="AF723">
        <v>0</v>
      </c>
      <c r="AG723" t="s">
        <v>3263</v>
      </c>
      <c r="AH723" t="s">
        <v>3188</v>
      </c>
      <c r="AI723">
        <v>25</v>
      </c>
      <c r="AJ723">
        <v>1</v>
      </c>
      <c r="AK723">
        <v>0</v>
      </c>
      <c r="AL723">
        <v>79.08</v>
      </c>
      <c r="AO723" t="s">
        <v>5843</v>
      </c>
      <c r="AP723">
        <v>9600</v>
      </c>
      <c r="AV723">
        <v>1.2</v>
      </c>
      <c r="AW723" t="s">
        <v>319</v>
      </c>
      <c r="AX723" t="s">
        <v>6030</v>
      </c>
    </row>
    <row r="724" spans="1:50">
      <c r="A724" s="1">
        <f>HYPERLINK("https://lsnyc.legalserver.org/matter/dynamic-profile/view/1854759","17-1854759")</f>
        <v>0</v>
      </c>
      <c r="B724" t="s">
        <v>103</v>
      </c>
      <c r="C724" t="s">
        <v>192</v>
      </c>
      <c r="D724" t="s">
        <v>368</v>
      </c>
      <c r="E724" t="s">
        <v>197</v>
      </c>
      <c r="F724" t="s">
        <v>485</v>
      </c>
      <c r="G724" t="s">
        <v>1704</v>
      </c>
      <c r="H724" t="s">
        <v>2493</v>
      </c>
      <c r="I724" t="s">
        <v>2860</v>
      </c>
      <c r="J724" t="s">
        <v>3148</v>
      </c>
      <c r="K724">
        <v>11206</v>
      </c>
      <c r="L724" t="s">
        <v>3184</v>
      </c>
      <c r="N724" t="s">
        <v>3184</v>
      </c>
      <c r="P724" t="s">
        <v>3612</v>
      </c>
      <c r="Q724" t="s">
        <v>3634</v>
      </c>
      <c r="R724" t="s">
        <v>3642</v>
      </c>
      <c r="T724" t="s">
        <v>3660</v>
      </c>
      <c r="U724" t="s">
        <v>3184</v>
      </c>
      <c r="W724" t="s">
        <v>3670</v>
      </c>
      <c r="Y724">
        <v>1415.48</v>
      </c>
      <c r="Z724" t="s">
        <v>3691</v>
      </c>
      <c r="AA724" t="s">
        <v>3700</v>
      </c>
      <c r="AB724" t="s">
        <v>3712</v>
      </c>
      <c r="AC724" t="s">
        <v>4371</v>
      </c>
      <c r="AD724" t="s">
        <v>4839</v>
      </c>
      <c r="AE724" t="s">
        <v>5468</v>
      </c>
      <c r="AF724">
        <v>14</v>
      </c>
      <c r="AG724" t="s">
        <v>5822</v>
      </c>
      <c r="AI724">
        <v>15</v>
      </c>
      <c r="AJ724">
        <v>2</v>
      </c>
      <c r="AK724">
        <v>0</v>
      </c>
      <c r="AL724">
        <v>54.16</v>
      </c>
      <c r="AO724" t="s">
        <v>5843</v>
      </c>
      <c r="AP724">
        <v>24916</v>
      </c>
      <c r="AV724">
        <v>0.5</v>
      </c>
      <c r="AW724" t="s">
        <v>5992</v>
      </c>
      <c r="AX724" t="s">
        <v>6037</v>
      </c>
    </row>
    <row r="725" spans="1:50">
      <c r="A725" s="1">
        <f>HYPERLINK("https://lsnyc.legalserver.org/matter/dynamic-profile/view/1908417","19-1908417")</f>
        <v>0</v>
      </c>
      <c r="B725" t="s">
        <v>149</v>
      </c>
      <c r="C725" t="s">
        <v>191</v>
      </c>
      <c r="D725" t="s">
        <v>262</v>
      </c>
      <c r="F725" t="s">
        <v>939</v>
      </c>
      <c r="G725" t="s">
        <v>1470</v>
      </c>
      <c r="H725" t="s">
        <v>2494</v>
      </c>
      <c r="I725" t="s">
        <v>2834</v>
      </c>
      <c r="J725" t="s">
        <v>3147</v>
      </c>
      <c r="K725">
        <v>10462</v>
      </c>
      <c r="L725" t="s">
        <v>3185</v>
      </c>
      <c r="M725" t="s">
        <v>3189</v>
      </c>
      <c r="N725" t="s">
        <v>3186</v>
      </c>
      <c r="P725" t="s">
        <v>3630</v>
      </c>
      <c r="Q725" t="s">
        <v>3635</v>
      </c>
      <c r="T725" t="s">
        <v>3660</v>
      </c>
      <c r="U725" t="s">
        <v>3184</v>
      </c>
      <c r="W725" t="s">
        <v>3673</v>
      </c>
      <c r="Y725">
        <v>0</v>
      </c>
      <c r="Z725" t="s">
        <v>3690</v>
      </c>
      <c r="AA725" t="s">
        <v>3696</v>
      </c>
      <c r="AC725" t="s">
        <v>4372</v>
      </c>
      <c r="AD725" t="s">
        <v>4840</v>
      </c>
      <c r="AE725" t="s">
        <v>5469</v>
      </c>
      <c r="AF725">
        <v>79</v>
      </c>
      <c r="AG725" t="s">
        <v>5813</v>
      </c>
      <c r="AH725" t="s">
        <v>5827</v>
      </c>
      <c r="AI725">
        <v>8</v>
      </c>
      <c r="AJ725">
        <v>2</v>
      </c>
      <c r="AK725">
        <v>0</v>
      </c>
      <c r="AL725">
        <v>0</v>
      </c>
      <c r="AO725" t="s">
        <v>5843</v>
      </c>
      <c r="AP725">
        <v>0</v>
      </c>
      <c r="AV725">
        <v>0.5</v>
      </c>
      <c r="AW725" t="s">
        <v>262</v>
      </c>
      <c r="AX725" t="s">
        <v>6034</v>
      </c>
    </row>
    <row r="726" spans="1:50">
      <c r="A726" s="1">
        <f>HYPERLINK("https://lsnyc.legalserver.org/matter/dynamic-profile/view/1909026","19-1909026")</f>
        <v>0</v>
      </c>
      <c r="B726" t="s">
        <v>149</v>
      </c>
      <c r="C726" t="s">
        <v>191</v>
      </c>
      <c r="D726" t="s">
        <v>207</v>
      </c>
      <c r="F726" t="s">
        <v>940</v>
      </c>
      <c r="G726" t="s">
        <v>1705</v>
      </c>
      <c r="H726" t="s">
        <v>2495</v>
      </c>
      <c r="I726" t="s">
        <v>2951</v>
      </c>
      <c r="J726" t="s">
        <v>3147</v>
      </c>
      <c r="K726">
        <v>10467</v>
      </c>
      <c r="L726" t="s">
        <v>3185</v>
      </c>
      <c r="M726" t="s">
        <v>3189</v>
      </c>
      <c r="N726" t="s">
        <v>3186</v>
      </c>
      <c r="P726" t="s">
        <v>3609</v>
      </c>
      <c r="Q726" t="s">
        <v>3635</v>
      </c>
      <c r="T726" t="s">
        <v>3660</v>
      </c>
      <c r="U726" t="s">
        <v>3184</v>
      </c>
      <c r="W726" t="s">
        <v>3671</v>
      </c>
      <c r="Y726">
        <v>1333.64</v>
      </c>
      <c r="Z726" t="s">
        <v>3690</v>
      </c>
      <c r="AA726" t="s">
        <v>3696</v>
      </c>
      <c r="AC726" t="s">
        <v>4373</v>
      </c>
      <c r="AE726" t="s">
        <v>5470</v>
      </c>
      <c r="AF726">
        <v>48</v>
      </c>
      <c r="AG726" t="s">
        <v>5813</v>
      </c>
      <c r="AH726" t="s">
        <v>3188</v>
      </c>
      <c r="AI726">
        <v>0</v>
      </c>
      <c r="AJ726">
        <v>4</v>
      </c>
      <c r="AK726">
        <v>0</v>
      </c>
      <c r="AL726">
        <v>54.34</v>
      </c>
      <c r="AO726" t="s">
        <v>5843</v>
      </c>
      <c r="AP726">
        <v>13992</v>
      </c>
      <c r="AV726">
        <v>0.75</v>
      </c>
      <c r="AW726" t="s">
        <v>207</v>
      </c>
      <c r="AX726" t="s">
        <v>6034</v>
      </c>
    </row>
    <row r="727" spans="1:50">
      <c r="A727" s="1">
        <f>HYPERLINK("https://lsnyc.legalserver.org/matter/dynamic-profile/view/0802051","16-0802051")</f>
        <v>0</v>
      </c>
      <c r="B727" t="s">
        <v>150</v>
      </c>
      <c r="C727" t="s">
        <v>191</v>
      </c>
      <c r="D727" t="s">
        <v>369</v>
      </c>
      <c r="F727" t="s">
        <v>941</v>
      </c>
      <c r="G727" t="s">
        <v>1360</v>
      </c>
      <c r="H727" t="s">
        <v>2496</v>
      </c>
      <c r="I727" t="s">
        <v>2892</v>
      </c>
      <c r="J727" t="s">
        <v>3148</v>
      </c>
      <c r="K727">
        <v>11225</v>
      </c>
      <c r="L727" t="s">
        <v>3185</v>
      </c>
      <c r="M727" t="s">
        <v>3190</v>
      </c>
      <c r="N727" t="s">
        <v>3186</v>
      </c>
      <c r="O727" t="s">
        <v>3471</v>
      </c>
      <c r="P727" t="s">
        <v>3613</v>
      </c>
      <c r="Q727" t="s">
        <v>3638</v>
      </c>
      <c r="T727" t="s">
        <v>3660</v>
      </c>
      <c r="U727" t="s">
        <v>3184</v>
      </c>
      <c r="V727" t="s">
        <v>3664</v>
      </c>
      <c r="W727" t="s">
        <v>3670</v>
      </c>
      <c r="Y727">
        <v>143</v>
      </c>
      <c r="Z727" t="s">
        <v>3691</v>
      </c>
      <c r="AA727" t="s">
        <v>3709</v>
      </c>
      <c r="AC727" t="s">
        <v>4374</v>
      </c>
      <c r="AD727" t="s">
        <v>4841</v>
      </c>
      <c r="AE727" t="s">
        <v>5471</v>
      </c>
      <c r="AF727">
        <v>0</v>
      </c>
      <c r="AG727" t="s">
        <v>5811</v>
      </c>
      <c r="AI727">
        <v>9</v>
      </c>
      <c r="AJ727">
        <v>1</v>
      </c>
      <c r="AK727">
        <v>0</v>
      </c>
      <c r="AL727">
        <v>65.66</v>
      </c>
      <c r="AO727" t="s">
        <v>5843</v>
      </c>
      <c r="AP727">
        <v>7800</v>
      </c>
      <c r="AV727">
        <v>30.6</v>
      </c>
      <c r="AW727" t="s">
        <v>5993</v>
      </c>
      <c r="AX727" t="s">
        <v>6052</v>
      </c>
    </row>
    <row r="728" spans="1:50">
      <c r="A728" s="1">
        <f>HYPERLINK("https://lsnyc.legalserver.org/matter/dynamic-profile/view/1908772","19-1908772")</f>
        <v>0</v>
      </c>
      <c r="B728" t="s">
        <v>103</v>
      </c>
      <c r="C728" t="s">
        <v>192</v>
      </c>
      <c r="D728" t="s">
        <v>280</v>
      </c>
      <c r="E728" t="s">
        <v>222</v>
      </c>
      <c r="F728" t="s">
        <v>942</v>
      </c>
      <c r="G728" t="s">
        <v>1445</v>
      </c>
      <c r="H728" t="s">
        <v>2497</v>
      </c>
      <c r="I728" t="s">
        <v>3042</v>
      </c>
      <c r="J728" t="s">
        <v>3148</v>
      </c>
      <c r="K728">
        <v>11212</v>
      </c>
      <c r="L728" t="s">
        <v>3184</v>
      </c>
      <c r="M728" t="s">
        <v>3188</v>
      </c>
      <c r="N728" t="s">
        <v>3186</v>
      </c>
      <c r="O728" t="s">
        <v>3218</v>
      </c>
      <c r="P728" t="s">
        <v>3612</v>
      </c>
      <c r="Q728" t="s">
        <v>3637</v>
      </c>
      <c r="R728" t="s">
        <v>3642</v>
      </c>
      <c r="T728" t="s">
        <v>3660</v>
      </c>
      <c r="U728" t="s">
        <v>3184</v>
      </c>
      <c r="W728" t="s">
        <v>3670</v>
      </c>
      <c r="X728" t="s">
        <v>3681</v>
      </c>
      <c r="Y728">
        <v>1300</v>
      </c>
      <c r="Z728" t="s">
        <v>3691</v>
      </c>
      <c r="AB728" t="s">
        <v>3712</v>
      </c>
      <c r="AC728" t="s">
        <v>4375</v>
      </c>
      <c r="AD728" t="s">
        <v>4779</v>
      </c>
      <c r="AE728" t="s">
        <v>5472</v>
      </c>
      <c r="AF728">
        <v>60</v>
      </c>
      <c r="AH728" t="s">
        <v>5831</v>
      </c>
      <c r="AI728">
        <v>1</v>
      </c>
      <c r="AJ728">
        <v>1</v>
      </c>
      <c r="AK728">
        <v>0</v>
      </c>
      <c r="AL728">
        <v>76.86</v>
      </c>
      <c r="AO728" t="s">
        <v>5843</v>
      </c>
      <c r="AP728">
        <v>9600</v>
      </c>
      <c r="AQ728" t="s">
        <v>5906</v>
      </c>
      <c r="AV728">
        <v>1.4</v>
      </c>
      <c r="AW728" t="s">
        <v>228</v>
      </c>
      <c r="AX728" t="s">
        <v>6012</v>
      </c>
    </row>
    <row r="729" spans="1:50">
      <c r="A729" s="1">
        <f>HYPERLINK("https://lsnyc.legalserver.org/matter/dynamic-profile/view/1863476","18-1863476")</f>
        <v>0</v>
      </c>
      <c r="B729" t="s">
        <v>103</v>
      </c>
      <c r="C729" t="s">
        <v>192</v>
      </c>
      <c r="D729" t="s">
        <v>370</v>
      </c>
      <c r="E729" t="s">
        <v>275</v>
      </c>
      <c r="F729" t="s">
        <v>943</v>
      </c>
      <c r="G729" t="s">
        <v>655</v>
      </c>
      <c r="H729" t="s">
        <v>2498</v>
      </c>
      <c r="I729" t="s">
        <v>2828</v>
      </c>
      <c r="J729" t="s">
        <v>3148</v>
      </c>
      <c r="K729">
        <v>11213</v>
      </c>
      <c r="L729" t="s">
        <v>3184</v>
      </c>
      <c r="N729" t="s">
        <v>3186</v>
      </c>
      <c r="Q729" t="s">
        <v>3634</v>
      </c>
      <c r="R729" t="s">
        <v>3642</v>
      </c>
      <c r="T729" t="s">
        <v>3660</v>
      </c>
      <c r="V729" t="s">
        <v>3663</v>
      </c>
      <c r="W729" t="s">
        <v>3670</v>
      </c>
      <c r="Y729">
        <v>900</v>
      </c>
      <c r="Z729" t="s">
        <v>3691</v>
      </c>
      <c r="AA729" t="s">
        <v>3701</v>
      </c>
      <c r="AB729" t="s">
        <v>3721</v>
      </c>
      <c r="AC729" t="s">
        <v>4376</v>
      </c>
      <c r="AF729">
        <v>23</v>
      </c>
      <c r="AI729">
        <v>10</v>
      </c>
      <c r="AJ729">
        <v>1</v>
      </c>
      <c r="AK729">
        <v>0</v>
      </c>
      <c r="AL729">
        <v>98.84999999999999</v>
      </c>
      <c r="AO729" t="s">
        <v>5843</v>
      </c>
      <c r="AP729">
        <v>12000</v>
      </c>
      <c r="AV729">
        <v>1.7</v>
      </c>
      <c r="AW729" t="s">
        <v>197</v>
      </c>
      <c r="AX729" t="s">
        <v>6012</v>
      </c>
    </row>
    <row r="730" spans="1:50">
      <c r="A730" s="1">
        <f>HYPERLINK("https://lsnyc.legalserver.org/matter/dynamic-profile/view/1883713","18-1883713")</f>
        <v>0</v>
      </c>
      <c r="B730" t="s">
        <v>151</v>
      </c>
      <c r="C730" t="s">
        <v>191</v>
      </c>
      <c r="D730" t="s">
        <v>371</v>
      </c>
      <c r="F730" t="s">
        <v>944</v>
      </c>
      <c r="G730" t="s">
        <v>1706</v>
      </c>
      <c r="H730" t="s">
        <v>2499</v>
      </c>
      <c r="I730" t="s">
        <v>2819</v>
      </c>
      <c r="J730" t="s">
        <v>3159</v>
      </c>
      <c r="K730">
        <v>10304</v>
      </c>
      <c r="L730" t="s">
        <v>3185</v>
      </c>
      <c r="N730" t="s">
        <v>3185</v>
      </c>
      <c r="T730" t="s">
        <v>3661</v>
      </c>
      <c r="U730" t="s">
        <v>3184</v>
      </c>
      <c r="W730" t="s">
        <v>3670</v>
      </c>
      <c r="X730" t="s">
        <v>3681</v>
      </c>
      <c r="Y730">
        <v>0</v>
      </c>
      <c r="Z730" t="s">
        <v>3692</v>
      </c>
      <c r="AA730" t="s">
        <v>3703</v>
      </c>
      <c r="AC730" t="s">
        <v>4377</v>
      </c>
      <c r="AE730" t="s">
        <v>5473</v>
      </c>
      <c r="AF730">
        <v>0</v>
      </c>
      <c r="AG730" t="s">
        <v>3263</v>
      </c>
      <c r="AH730" t="s">
        <v>5827</v>
      </c>
      <c r="AI730">
        <v>0</v>
      </c>
      <c r="AJ730">
        <v>1</v>
      </c>
      <c r="AK730">
        <v>0</v>
      </c>
      <c r="AL730">
        <v>0</v>
      </c>
      <c r="AM730" t="s">
        <v>5835</v>
      </c>
      <c r="AN730" t="s">
        <v>5840</v>
      </c>
      <c r="AP730">
        <v>0</v>
      </c>
      <c r="AV730">
        <v>1.5</v>
      </c>
      <c r="AW730" t="s">
        <v>322</v>
      </c>
      <c r="AX730" t="s">
        <v>6027</v>
      </c>
    </row>
    <row r="731" spans="1:50">
      <c r="A731" s="1">
        <f>HYPERLINK("https://lsnyc.legalserver.org/matter/dynamic-profile/view/1883760","18-1883760")</f>
        <v>0</v>
      </c>
      <c r="B731" t="s">
        <v>151</v>
      </c>
      <c r="C731" t="s">
        <v>191</v>
      </c>
      <c r="D731" t="s">
        <v>371</v>
      </c>
      <c r="F731" t="s">
        <v>614</v>
      </c>
      <c r="G731" t="s">
        <v>1691</v>
      </c>
      <c r="H731" t="s">
        <v>2500</v>
      </c>
      <c r="I731" t="s">
        <v>2923</v>
      </c>
      <c r="J731" t="s">
        <v>3159</v>
      </c>
      <c r="K731">
        <v>10304</v>
      </c>
      <c r="L731" t="s">
        <v>3185</v>
      </c>
      <c r="N731" t="s">
        <v>3185</v>
      </c>
      <c r="T731" t="s">
        <v>3661</v>
      </c>
      <c r="U731" t="s">
        <v>3184</v>
      </c>
      <c r="W731" t="s">
        <v>3673</v>
      </c>
      <c r="X731" t="s">
        <v>3681</v>
      </c>
      <c r="Y731">
        <v>116</v>
      </c>
      <c r="Z731" t="s">
        <v>3692</v>
      </c>
      <c r="AA731" t="s">
        <v>3703</v>
      </c>
      <c r="AC731" t="s">
        <v>4378</v>
      </c>
      <c r="AE731" t="s">
        <v>5474</v>
      </c>
      <c r="AF731">
        <v>0</v>
      </c>
      <c r="AG731" t="s">
        <v>5812</v>
      </c>
      <c r="AH731" t="s">
        <v>5827</v>
      </c>
      <c r="AI731">
        <v>12</v>
      </c>
      <c r="AJ731">
        <v>1</v>
      </c>
      <c r="AK731">
        <v>2</v>
      </c>
      <c r="AL731">
        <v>16.8</v>
      </c>
      <c r="AM731" t="s">
        <v>5835</v>
      </c>
      <c r="AN731" t="s">
        <v>5840</v>
      </c>
      <c r="AO731" t="s">
        <v>5844</v>
      </c>
      <c r="AP731">
        <v>3492</v>
      </c>
      <c r="AV731">
        <v>0.1</v>
      </c>
      <c r="AW731" t="s">
        <v>283</v>
      </c>
      <c r="AX731" t="s">
        <v>6027</v>
      </c>
    </row>
    <row r="732" spans="1:50">
      <c r="A732" s="1">
        <f>HYPERLINK("https://lsnyc.legalserver.org/matter/dynamic-profile/view/1874680","18-1874680")</f>
        <v>0</v>
      </c>
      <c r="B732" t="s">
        <v>103</v>
      </c>
      <c r="C732" t="s">
        <v>192</v>
      </c>
      <c r="D732" t="s">
        <v>372</v>
      </c>
      <c r="E732" t="s">
        <v>275</v>
      </c>
      <c r="F732" t="s">
        <v>945</v>
      </c>
      <c r="G732" t="s">
        <v>1707</v>
      </c>
      <c r="H732" t="s">
        <v>2501</v>
      </c>
      <c r="I732" t="s">
        <v>2900</v>
      </c>
      <c r="J732" t="s">
        <v>3148</v>
      </c>
      <c r="K732">
        <v>11207</v>
      </c>
      <c r="L732" t="s">
        <v>3184</v>
      </c>
      <c r="N732" t="s">
        <v>3184</v>
      </c>
      <c r="Q732" t="s">
        <v>3636</v>
      </c>
      <c r="R732" t="s">
        <v>3642</v>
      </c>
      <c r="T732" t="s">
        <v>3660</v>
      </c>
      <c r="W732" t="s">
        <v>3670</v>
      </c>
      <c r="Y732">
        <v>1500</v>
      </c>
      <c r="Z732" t="s">
        <v>3691</v>
      </c>
      <c r="AB732" t="s">
        <v>3721</v>
      </c>
      <c r="AC732" t="s">
        <v>4379</v>
      </c>
      <c r="AE732" t="s">
        <v>5475</v>
      </c>
      <c r="AF732">
        <v>3</v>
      </c>
      <c r="AH732" t="s">
        <v>5825</v>
      </c>
      <c r="AI732">
        <v>1</v>
      </c>
      <c r="AJ732">
        <v>5</v>
      </c>
      <c r="AK732">
        <v>0</v>
      </c>
      <c r="AL732">
        <v>118.97</v>
      </c>
      <c r="AO732" t="s">
        <v>5843</v>
      </c>
      <c r="AP732">
        <v>35000</v>
      </c>
      <c r="AQ732" t="s">
        <v>5907</v>
      </c>
      <c r="AV732">
        <v>1.5</v>
      </c>
      <c r="AW732" t="s">
        <v>379</v>
      </c>
      <c r="AX732" t="s">
        <v>6012</v>
      </c>
    </row>
    <row r="733" spans="1:50">
      <c r="A733" s="1">
        <f>HYPERLINK("https://lsnyc.legalserver.org/matter/dynamic-profile/view/1907786","19-1907786")</f>
        <v>0</v>
      </c>
      <c r="B733" t="s">
        <v>103</v>
      </c>
      <c r="C733" t="s">
        <v>192</v>
      </c>
      <c r="D733" t="s">
        <v>225</v>
      </c>
      <c r="E733" t="s">
        <v>222</v>
      </c>
      <c r="F733" t="s">
        <v>946</v>
      </c>
      <c r="G733" t="s">
        <v>1708</v>
      </c>
      <c r="H733" t="s">
        <v>2502</v>
      </c>
      <c r="I733" t="s">
        <v>3043</v>
      </c>
      <c r="J733" t="s">
        <v>3148</v>
      </c>
      <c r="K733">
        <v>11208</v>
      </c>
      <c r="L733" t="s">
        <v>3184</v>
      </c>
      <c r="M733" t="s">
        <v>3188</v>
      </c>
      <c r="N733" t="s">
        <v>3186</v>
      </c>
      <c r="O733" t="s">
        <v>3218</v>
      </c>
      <c r="P733" t="s">
        <v>3257</v>
      </c>
      <c r="Q733" t="s">
        <v>3634</v>
      </c>
      <c r="R733" t="s">
        <v>3642</v>
      </c>
      <c r="T733" t="s">
        <v>3660</v>
      </c>
      <c r="U733" t="s">
        <v>3184</v>
      </c>
      <c r="W733" t="s">
        <v>3670</v>
      </c>
      <c r="X733" t="s">
        <v>3681</v>
      </c>
      <c r="Y733">
        <v>1050</v>
      </c>
      <c r="Z733" t="s">
        <v>3691</v>
      </c>
      <c r="AA733" t="s">
        <v>3695</v>
      </c>
      <c r="AB733" t="s">
        <v>3712</v>
      </c>
      <c r="AC733" t="s">
        <v>4380</v>
      </c>
      <c r="AD733" t="s">
        <v>3188</v>
      </c>
      <c r="AE733" t="s">
        <v>5476</v>
      </c>
      <c r="AF733">
        <v>4</v>
      </c>
      <c r="AH733" t="s">
        <v>3188</v>
      </c>
      <c r="AI733">
        <v>14</v>
      </c>
      <c r="AJ733">
        <v>2</v>
      </c>
      <c r="AK733">
        <v>3</v>
      </c>
      <c r="AL733">
        <v>122.64</v>
      </c>
      <c r="AO733" t="s">
        <v>5843</v>
      </c>
      <c r="AP733">
        <v>37000</v>
      </c>
      <c r="AQ733" t="s">
        <v>5908</v>
      </c>
      <c r="AV733">
        <v>0.6</v>
      </c>
      <c r="AW733" t="s">
        <v>286</v>
      </c>
      <c r="AX733" t="s">
        <v>6006</v>
      </c>
    </row>
    <row r="734" spans="1:50">
      <c r="A734" s="1">
        <f>HYPERLINK("https://lsnyc.legalserver.org/matter/dynamic-profile/view/1908142","19-1908142")</f>
        <v>0</v>
      </c>
      <c r="B734" t="s">
        <v>103</v>
      </c>
      <c r="C734" t="s">
        <v>192</v>
      </c>
      <c r="D734" t="s">
        <v>286</v>
      </c>
      <c r="E734" t="s">
        <v>222</v>
      </c>
      <c r="F734" t="s">
        <v>546</v>
      </c>
      <c r="G734" t="s">
        <v>1709</v>
      </c>
      <c r="H734" t="s">
        <v>2503</v>
      </c>
      <c r="I734" t="s">
        <v>2823</v>
      </c>
      <c r="J734" t="s">
        <v>3148</v>
      </c>
      <c r="K734">
        <v>11223</v>
      </c>
      <c r="L734" t="s">
        <v>3184</v>
      </c>
      <c r="M734" t="s">
        <v>3188</v>
      </c>
      <c r="N734" t="s">
        <v>3186</v>
      </c>
      <c r="O734" t="s">
        <v>3218</v>
      </c>
      <c r="P734" t="s">
        <v>3612</v>
      </c>
      <c r="Q734" t="s">
        <v>3634</v>
      </c>
      <c r="R734" t="s">
        <v>3642</v>
      </c>
      <c r="T734" t="s">
        <v>3660</v>
      </c>
      <c r="U734" t="s">
        <v>3184</v>
      </c>
      <c r="W734" t="s">
        <v>3670</v>
      </c>
      <c r="X734" t="s">
        <v>3681</v>
      </c>
      <c r="Y734">
        <v>1250</v>
      </c>
      <c r="Z734" t="s">
        <v>3691</v>
      </c>
      <c r="AA734" t="s">
        <v>3707</v>
      </c>
      <c r="AB734" t="s">
        <v>3712</v>
      </c>
      <c r="AC734" t="s">
        <v>4381</v>
      </c>
      <c r="AD734" t="s">
        <v>3218</v>
      </c>
      <c r="AE734" t="s">
        <v>5477</v>
      </c>
      <c r="AF734">
        <v>3</v>
      </c>
      <c r="AG734" t="s">
        <v>5814</v>
      </c>
      <c r="AH734" t="s">
        <v>3188</v>
      </c>
      <c r="AI734">
        <v>6</v>
      </c>
      <c r="AJ734">
        <v>1</v>
      </c>
      <c r="AK734">
        <v>1</v>
      </c>
      <c r="AL734">
        <v>129.15</v>
      </c>
      <c r="AO734" t="s">
        <v>5843</v>
      </c>
      <c r="AP734">
        <v>21840</v>
      </c>
      <c r="AQ734" t="s">
        <v>5909</v>
      </c>
      <c r="AV734">
        <v>1.1</v>
      </c>
      <c r="AW734" t="s">
        <v>286</v>
      </c>
      <c r="AX734" t="s">
        <v>6014</v>
      </c>
    </row>
    <row r="735" spans="1:50">
      <c r="A735" s="1">
        <f>HYPERLINK("https://lsnyc.legalserver.org/matter/dynamic-profile/view/1907573","19-1907573")</f>
        <v>0</v>
      </c>
      <c r="B735" t="s">
        <v>103</v>
      </c>
      <c r="C735" t="s">
        <v>192</v>
      </c>
      <c r="D735" t="s">
        <v>206</v>
      </c>
      <c r="E735" t="s">
        <v>222</v>
      </c>
      <c r="F735" t="s">
        <v>947</v>
      </c>
      <c r="G735" t="s">
        <v>1710</v>
      </c>
      <c r="H735" t="s">
        <v>2504</v>
      </c>
      <c r="I735" t="s">
        <v>3044</v>
      </c>
      <c r="J735" t="s">
        <v>3148</v>
      </c>
      <c r="K735">
        <v>11210</v>
      </c>
      <c r="L735" t="s">
        <v>3184</v>
      </c>
      <c r="M735" t="s">
        <v>3188</v>
      </c>
      <c r="N735" t="s">
        <v>3186</v>
      </c>
      <c r="O735" t="s">
        <v>3218</v>
      </c>
      <c r="P735" t="s">
        <v>3612</v>
      </c>
      <c r="Q735" t="s">
        <v>3634</v>
      </c>
      <c r="R735" t="s">
        <v>3642</v>
      </c>
      <c r="T735" t="s">
        <v>3660</v>
      </c>
      <c r="U735" t="s">
        <v>3184</v>
      </c>
      <c r="W735" t="s">
        <v>3670</v>
      </c>
      <c r="X735" t="s">
        <v>3681</v>
      </c>
      <c r="Y735">
        <v>2550</v>
      </c>
      <c r="Z735" t="s">
        <v>3691</v>
      </c>
      <c r="AA735" t="s">
        <v>3695</v>
      </c>
      <c r="AB735" t="s">
        <v>3712</v>
      </c>
      <c r="AC735" t="s">
        <v>4382</v>
      </c>
      <c r="AD735" t="s">
        <v>3218</v>
      </c>
      <c r="AE735" t="s">
        <v>5478</v>
      </c>
      <c r="AF735">
        <v>2</v>
      </c>
      <c r="AG735" t="s">
        <v>5814</v>
      </c>
      <c r="AH735" t="s">
        <v>3188</v>
      </c>
      <c r="AI735">
        <v>-1</v>
      </c>
      <c r="AJ735">
        <v>1</v>
      </c>
      <c r="AK735">
        <v>2</v>
      </c>
      <c r="AL735">
        <v>138.96</v>
      </c>
      <c r="AO735" t="s">
        <v>5843</v>
      </c>
      <c r="AP735">
        <v>29640</v>
      </c>
      <c r="AQ735" t="s">
        <v>5910</v>
      </c>
      <c r="AV735">
        <v>1</v>
      </c>
      <c r="AW735" t="s">
        <v>246</v>
      </c>
      <c r="AX735" t="s">
        <v>6038</v>
      </c>
    </row>
    <row r="736" spans="1:50">
      <c r="A736" s="1">
        <f>HYPERLINK("https://lsnyc.legalserver.org/matter/dynamic-profile/view/1908779","19-1908779")</f>
        <v>0</v>
      </c>
      <c r="B736" t="s">
        <v>103</v>
      </c>
      <c r="C736" t="s">
        <v>192</v>
      </c>
      <c r="D736" t="s">
        <v>280</v>
      </c>
      <c r="E736" t="s">
        <v>222</v>
      </c>
      <c r="F736" t="s">
        <v>943</v>
      </c>
      <c r="G736" t="s">
        <v>1711</v>
      </c>
      <c r="H736" t="s">
        <v>2505</v>
      </c>
      <c r="I736" t="s">
        <v>3030</v>
      </c>
      <c r="J736" t="s">
        <v>3148</v>
      </c>
      <c r="K736">
        <v>11230</v>
      </c>
      <c r="L736" t="s">
        <v>3184</v>
      </c>
      <c r="M736" t="s">
        <v>3188</v>
      </c>
      <c r="N736" t="s">
        <v>3186</v>
      </c>
      <c r="O736" t="s">
        <v>3218</v>
      </c>
      <c r="P736" t="s">
        <v>3612</v>
      </c>
      <c r="Q736" t="s">
        <v>3634</v>
      </c>
      <c r="R736" t="s">
        <v>3642</v>
      </c>
      <c r="T736" t="s">
        <v>3660</v>
      </c>
      <c r="U736" t="s">
        <v>3184</v>
      </c>
      <c r="W736" t="s">
        <v>3670</v>
      </c>
      <c r="X736" t="s">
        <v>3681</v>
      </c>
      <c r="Y736">
        <v>1250</v>
      </c>
      <c r="Z736" t="s">
        <v>3691</v>
      </c>
      <c r="AA736" t="s">
        <v>3696</v>
      </c>
      <c r="AB736" t="s">
        <v>3712</v>
      </c>
      <c r="AC736" t="s">
        <v>4383</v>
      </c>
      <c r="AD736" t="s">
        <v>3218</v>
      </c>
      <c r="AE736" t="s">
        <v>5479</v>
      </c>
      <c r="AF736">
        <v>55</v>
      </c>
      <c r="AG736" t="s">
        <v>5811</v>
      </c>
      <c r="AH736" t="s">
        <v>5826</v>
      </c>
      <c r="AI736">
        <v>7</v>
      </c>
      <c r="AJ736">
        <v>1</v>
      </c>
      <c r="AK736">
        <v>0</v>
      </c>
      <c r="AL736">
        <v>218.25</v>
      </c>
      <c r="AO736" t="s">
        <v>5843</v>
      </c>
      <c r="AP736">
        <v>27260</v>
      </c>
      <c r="AQ736" t="s">
        <v>5911</v>
      </c>
      <c r="AV736">
        <v>1.3</v>
      </c>
      <c r="AW736" t="s">
        <v>228</v>
      </c>
      <c r="AX736" t="s">
        <v>6014</v>
      </c>
    </row>
    <row r="737" spans="1:50">
      <c r="A737" s="1">
        <f>HYPERLINK("https://lsnyc.legalserver.org/matter/dynamic-profile/view/1869960","18-1869960")</f>
        <v>0</v>
      </c>
      <c r="B737" t="s">
        <v>103</v>
      </c>
      <c r="C737" t="s">
        <v>192</v>
      </c>
      <c r="D737" t="s">
        <v>373</v>
      </c>
      <c r="E737" t="s">
        <v>275</v>
      </c>
      <c r="F737" t="s">
        <v>948</v>
      </c>
      <c r="G737" t="s">
        <v>1195</v>
      </c>
      <c r="H737" t="s">
        <v>2506</v>
      </c>
      <c r="I737">
        <v>1</v>
      </c>
      <c r="J737" t="s">
        <v>3148</v>
      </c>
      <c r="K737">
        <v>11208</v>
      </c>
      <c r="L737" t="s">
        <v>3184</v>
      </c>
      <c r="N737" t="s">
        <v>3186</v>
      </c>
      <c r="P737" t="s">
        <v>3257</v>
      </c>
      <c r="R737" t="s">
        <v>3643</v>
      </c>
      <c r="T737" t="s">
        <v>3660</v>
      </c>
      <c r="W737" t="s">
        <v>3670</v>
      </c>
      <c r="Y737">
        <v>1500</v>
      </c>
      <c r="Z737" t="s">
        <v>3691</v>
      </c>
      <c r="AB737" t="s">
        <v>3721</v>
      </c>
      <c r="AC737" t="s">
        <v>4384</v>
      </c>
      <c r="AE737" t="s">
        <v>5480</v>
      </c>
      <c r="AF737">
        <v>5</v>
      </c>
      <c r="AG737" t="s">
        <v>5814</v>
      </c>
      <c r="AH737" t="s">
        <v>3188</v>
      </c>
      <c r="AI737">
        <v>10</v>
      </c>
      <c r="AJ737">
        <v>1</v>
      </c>
      <c r="AK737">
        <v>0</v>
      </c>
      <c r="AL737">
        <v>85.67</v>
      </c>
      <c r="AO737" t="s">
        <v>5843</v>
      </c>
      <c r="AP737">
        <v>10400</v>
      </c>
      <c r="AV737">
        <v>1.8</v>
      </c>
      <c r="AW737" t="s">
        <v>5994</v>
      </c>
      <c r="AX737" t="s">
        <v>6030</v>
      </c>
    </row>
    <row r="738" spans="1:50">
      <c r="A738" s="1">
        <f>HYPERLINK("https://lsnyc.legalserver.org/matter/dynamic-profile/view/1894814","19-1894814")</f>
        <v>0</v>
      </c>
      <c r="B738" t="s">
        <v>151</v>
      </c>
      <c r="C738" t="s">
        <v>191</v>
      </c>
      <c r="D738" t="s">
        <v>374</v>
      </c>
      <c r="F738" t="s">
        <v>463</v>
      </c>
      <c r="G738" t="s">
        <v>1314</v>
      </c>
      <c r="H738" t="s">
        <v>2507</v>
      </c>
      <c r="I738" t="s">
        <v>2865</v>
      </c>
      <c r="J738" t="s">
        <v>3159</v>
      </c>
      <c r="K738">
        <v>10301</v>
      </c>
      <c r="L738" t="s">
        <v>3185</v>
      </c>
      <c r="N738" t="s">
        <v>3185</v>
      </c>
      <c r="O738" t="s">
        <v>3472</v>
      </c>
      <c r="P738" t="s">
        <v>3610</v>
      </c>
      <c r="Q738" t="s">
        <v>3638</v>
      </c>
      <c r="T738" t="s">
        <v>3660</v>
      </c>
      <c r="U738" t="s">
        <v>3184</v>
      </c>
      <c r="W738" t="s">
        <v>3670</v>
      </c>
      <c r="X738" t="s">
        <v>3681</v>
      </c>
      <c r="Y738">
        <v>2037</v>
      </c>
      <c r="Z738" t="s">
        <v>3692</v>
      </c>
      <c r="AA738" t="s">
        <v>3706</v>
      </c>
      <c r="AC738" t="s">
        <v>4385</v>
      </c>
      <c r="AE738" t="s">
        <v>5481</v>
      </c>
      <c r="AF738">
        <v>3</v>
      </c>
      <c r="AG738" t="s">
        <v>5814</v>
      </c>
      <c r="AH738" t="s">
        <v>3188</v>
      </c>
      <c r="AI738">
        <v>1</v>
      </c>
      <c r="AJ738">
        <v>2</v>
      </c>
      <c r="AK738">
        <v>5</v>
      </c>
      <c r="AL738">
        <v>79.98</v>
      </c>
      <c r="AO738" t="s">
        <v>5844</v>
      </c>
      <c r="AP738">
        <v>31200</v>
      </c>
      <c r="AV738">
        <v>7.5</v>
      </c>
      <c r="AW738" t="s">
        <v>5974</v>
      </c>
      <c r="AX738" t="s">
        <v>6017</v>
      </c>
    </row>
    <row r="739" spans="1:50">
      <c r="A739" s="1">
        <f>HYPERLINK("https://lsnyc.legalserver.org/matter/dynamic-profile/view/1904987","19-1904987")</f>
        <v>0</v>
      </c>
      <c r="B739" t="s">
        <v>152</v>
      </c>
      <c r="C739" t="s">
        <v>192</v>
      </c>
      <c r="D739" t="s">
        <v>218</v>
      </c>
      <c r="E739" t="s">
        <v>252</v>
      </c>
      <c r="F739" t="s">
        <v>949</v>
      </c>
      <c r="G739" t="s">
        <v>1392</v>
      </c>
      <c r="H739" t="s">
        <v>2508</v>
      </c>
      <c r="I739" t="s">
        <v>2900</v>
      </c>
      <c r="J739" t="s">
        <v>3146</v>
      </c>
      <c r="K739">
        <v>10034</v>
      </c>
      <c r="L739" t="s">
        <v>3185</v>
      </c>
      <c r="M739" t="s">
        <v>3189</v>
      </c>
      <c r="N739" t="s">
        <v>3186</v>
      </c>
      <c r="P739" t="s">
        <v>3615</v>
      </c>
      <c r="Q739" t="s">
        <v>3634</v>
      </c>
      <c r="R739" t="s">
        <v>3642</v>
      </c>
      <c r="S739" t="s">
        <v>218</v>
      </c>
      <c r="T739" t="s">
        <v>3660</v>
      </c>
      <c r="U739" t="s">
        <v>3184</v>
      </c>
      <c r="W739" t="s">
        <v>3670</v>
      </c>
      <c r="Y739">
        <v>980.67</v>
      </c>
      <c r="Z739" t="s">
        <v>3689</v>
      </c>
      <c r="AA739" t="s">
        <v>3696</v>
      </c>
      <c r="AB739" t="s">
        <v>3712</v>
      </c>
      <c r="AC739" t="s">
        <v>4386</v>
      </c>
      <c r="AE739" t="s">
        <v>5482</v>
      </c>
      <c r="AF739">
        <v>26</v>
      </c>
      <c r="AG739" t="s">
        <v>5813</v>
      </c>
      <c r="AH739" t="s">
        <v>5826</v>
      </c>
      <c r="AI739">
        <v>9</v>
      </c>
      <c r="AJ739">
        <v>2</v>
      </c>
      <c r="AK739">
        <v>1</v>
      </c>
      <c r="AL739">
        <v>45.34</v>
      </c>
      <c r="AO739" t="s">
        <v>5844</v>
      </c>
      <c r="AP739">
        <v>9672</v>
      </c>
      <c r="AV739">
        <v>1</v>
      </c>
      <c r="AW739" t="s">
        <v>254</v>
      </c>
      <c r="AX739" t="s">
        <v>108</v>
      </c>
    </row>
    <row r="740" spans="1:50">
      <c r="A740" s="1">
        <f>HYPERLINK("https://lsnyc.legalserver.org/matter/dynamic-profile/view/1904493","19-1904493")</f>
        <v>0</v>
      </c>
      <c r="B740" t="s">
        <v>152</v>
      </c>
      <c r="C740" t="s">
        <v>191</v>
      </c>
      <c r="D740" t="s">
        <v>233</v>
      </c>
      <c r="F740" t="s">
        <v>950</v>
      </c>
      <c r="G740" t="s">
        <v>1712</v>
      </c>
      <c r="H740" t="s">
        <v>2020</v>
      </c>
      <c r="I740" t="s">
        <v>3041</v>
      </c>
      <c r="J740" t="s">
        <v>3146</v>
      </c>
      <c r="K740">
        <v>10033</v>
      </c>
      <c r="L740" t="s">
        <v>3185</v>
      </c>
      <c r="M740" t="s">
        <v>3189</v>
      </c>
      <c r="N740" t="s">
        <v>3186</v>
      </c>
      <c r="Q740" t="s">
        <v>3638</v>
      </c>
      <c r="S740" t="s">
        <v>233</v>
      </c>
      <c r="T740" t="s">
        <v>3660</v>
      </c>
      <c r="U740" t="s">
        <v>3184</v>
      </c>
      <c r="W740" t="s">
        <v>3670</v>
      </c>
      <c r="Y740">
        <v>1213</v>
      </c>
      <c r="Z740" t="s">
        <v>3689</v>
      </c>
      <c r="AA740" t="s">
        <v>3696</v>
      </c>
      <c r="AC740" t="s">
        <v>4387</v>
      </c>
      <c r="AE740" t="s">
        <v>5483</v>
      </c>
      <c r="AF740">
        <v>24</v>
      </c>
      <c r="AH740" t="s">
        <v>5832</v>
      </c>
      <c r="AI740">
        <v>4</v>
      </c>
      <c r="AJ740">
        <v>1</v>
      </c>
      <c r="AK740">
        <v>0</v>
      </c>
      <c r="AL740">
        <v>39.41</v>
      </c>
      <c r="AO740" t="s">
        <v>5843</v>
      </c>
      <c r="AP740">
        <v>4922</v>
      </c>
      <c r="AV740">
        <v>10.9</v>
      </c>
      <c r="AW740" t="s">
        <v>198</v>
      </c>
      <c r="AX740" t="s">
        <v>108</v>
      </c>
    </row>
    <row r="741" spans="1:50">
      <c r="A741" s="1">
        <f>HYPERLINK("https://lsnyc.legalserver.org/matter/dynamic-profile/view/1904974","19-1904974")</f>
        <v>0</v>
      </c>
      <c r="B741" t="s">
        <v>152</v>
      </c>
      <c r="C741" t="s">
        <v>191</v>
      </c>
      <c r="D741" t="s">
        <v>218</v>
      </c>
      <c r="F741" t="s">
        <v>951</v>
      </c>
      <c r="G741" t="s">
        <v>1713</v>
      </c>
      <c r="H741" t="s">
        <v>2509</v>
      </c>
      <c r="I741" t="s">
        <v>3045</v>
      </c>
      <c r="J741" t="s">
        <v>3146</v>
      </c>
      <c r="K741">
        <v>10034</v>
      </c>
      <c r="L741" t="s">
        <v>3185</v>
      </c>
      <c r="M741" t="s">
        <v>3189</v>
      </c>
      <c r="N741" t="s">
        <v>3186</v>
      </c>
      <c r="Q741" t="s">
        <v>3637</v>
      </c>
      <c r="S741" t="s">
        <v>218</v>
      </c>
      <c r="T741" t="s">
        <v>3660</v>
      </c>
      <c r="U741" t="s">
        <v>3184</v>
      </c>
      <c r="W741" t="s">
        <v>3670</v>
      </c>
      <c r="Y741">
        <v>640</v>
      </c>
      <c r="Z741" t="s">
        <v>3689</v>
      </c>
      <c r="AA741" t="s">
        <v>3697</v>
      </c>
      <c r="AC741" t="s">
        <v>4388</v>
      </c>
      <c r="AE741" t="s">
        <v>5484</v>
      </c>
      <c r="AF741">
        <v>126</v>
      </c>
      <c r="AG741" t="s">
        <v>5813</v>
      </c>
      <c r="AH741" t="s">
        <v>5827</v>
      </c>
      <c r="AI741">
        <v>15</v>
      </c>
      <c r="AJ741">
        <v>3</v>
      </c>
      <c r="AK741">
        <v>0</v>
      </c>
      <c r="AL741">
        <v>120.68</v>
      </c>
      <c r="AO741" t="s">
        <v>5844</v>
      </c>
      <c r="AP741">
        <v>25740</v>
      </c>
      <c r="AV741">
        <v>2.5</v>
      </c>
      <c r="AW741" t="s">
        <v>244</v>
      </c>
      <c r="AX741" t="s">
        <v>108</v>
      </c>
    </row>
    <row r="742" spans="1:50">
      <c r="A742" s="1">
        <f>HYPERLINK("https://lsnyc.legalserver.org/matter/dynamic-profile/view/1904914","19-1904914")</f>
        <v>0</v>
      </c>
      <c r="B742" t="s">
        <v>152</v>
      </c>
      <c r="C742" t="s">
        <v>191</v>
      </c>
      <c r="D742" t="s">
        <v>218</v>
      </c>
      <c r="F742" t="s">
        <v>952</v>
      </c>
      <c r="G742" t="s">
        <v>1340</v>
      </c>
      <c r="H742" t="s">
        <v>2510</v>
      </c>
      <c r="I742">
        <v>4</v>
      </c>
      <c r="J742" t="s">
        <v>3146</v>
      </c>
      <c r="K742">
        <v>10033</v>
      </c>
      <c r="L742" t="s">
        <v>3185</v>
      </c>
      <c r="M742" t="s">
        <v>3189</v>
      </c>
      <c r="N742" t="s">
        <v>3186</v>
      </c>
      <c r="P742" t="s">
        <v>3615</v>
      </c>
      <c r="Q742" t="s">
        <v>3637</v>
      </c>
      <c r="S742" t="s">
        <v>218</v>
      </c>
      <c r="T742" t="s">
        <v>3660</v>
      </c>
      <c r="U742" t="s">
        <v>3184</v>
      </c>
      <c r="W742" t="s">
        <v>3670</v>
      </c>
      <c r="Y742">
        <v>529</v>
      </c>
      <c r="Z742" t="s">
        <v>3689</v>
      </c>
      <c r="AA742" t="s">
        <v>3697</v>
      </c>
      <c r="AC742" t="s">
        <v>4389</v>
      </c>
      <c r="AE742" t="s">
        <v>5485</v>
      </c>
      <c r="AF742">
        <v>20</v>
      </c>
      <c r="AG742" t="s">
        <v>5813</v>
      </c>
      <c r="AH742" t="s">
        <v>3188</v>
      </c>
      <c r="AI742">
        <v>2</v>
      </c>
      <c r="AJ742">
        <v>1</v>
      </c>
      <c r="AK742">
        <v>0</v>
      </c>
      <c r="AL742">
        <v>124.9</v>
      </c>
      <c r="AO742" t="s">
        <v>5843</v>
      </c>
      <c r="AP742">
        <v>15600</v>
      </c>
      <c r="AV742">
        <v>1.2</v>
      </c>
      <c r="AW742" t="s">
        <v>254</v>
      </c>
      <c r="AX742" t="s">
        <v>108</v>
      </c>
    </row>
    <row r="743" spans="1:50">
      <c r="A743" s="1">
        <f>HYPERLINK("https://lsnyc.legalserver.org/matter/dynamic-profile/view/1907283","19-1907283")</f>
        <v>0</v>
      </c>
      <c r="B743" t="s">
        <v>152</v>
      </c>
      <c r="C743" t="s">
        <v>191</v>
      </c>
      <c r="D743" t="s">
        <v>227</v>
      </c>
      <c r="F743" t="s">
        <v>953</v>
      </c>
      <c r="G743" t="s">
        <v>1538</v>
      </c>
      <c r="H743" t="s">
        <v>2511</v>
      </c>
      <c r="I743">
        <v>51</v>
      </c>
      <c r="J743" t="s">
        <v>3146</v>
      </c>
      <c r="K743">
        <v>10034</v>
      </c>
      <c r="L743" t="s">
        <v>3185</v>
      </c>
      <c r="M743" t="s">
        <v>3189</v>
      </c>
      <c r="N743" t="s">
        <v>3186</v>
      </c>
      <c r="P743" t="s">
        <v>3615</v>
      </c>
      <c r="Q743" t="s">
        <v>3637</v>
      </c>
      <c r="S743" t="s">
        <v>227</v>
      </c>
      <c r="T743" t="s">
        <v>3660</v>
      </c>
      <c r="U743" t="s">
        <v>3184</v>
      </c>
      <c r="W743" t="s">
        <v>3670</v>
      </c>
      <c r="Y743">
        <v>1664.13</v>
      </c>
      <c r="Z743" t="s">
        <v>3689</v>
      </c>
      <c r="AA743" t="s">
        <v>3696</v>
      </c>
      <c r="AC743" t="s">
        <v>4390</v>
      </c>
      <c r="AE743" t="s">
        <v>5486</v>
      </c>
      <c r="AF743">
        <v>26</v>
      </c>
      <c r="AG743" t="s">
        <v>5813</v>
      </c>
      <c r="AH743" t="s">
        <v>5827</v>
      </c>
      <c r="AI743">
        <v>26</v>
      </c>
      <c r="AJ743">
        <v>3</v>
      </c>
      <c r="AK743">
        <v>0</v>
      </c>
      <c r="AL743">
        <v>41.69</v>
      </c>
      <c r="AO743" t="s">
        <v>5844</v>
      </c>
      <c r="AP743">
        <v>8892</v>
      </c>
      <c r="AV743">
        <v>1.5</v>
      </c>
      <c r="AW743" t="s">
        <v>231</v>
      </c>
      <c r="AX743" t="s">
        <v>108</v>
      </c>
    </row>
    <row r="744" spans="1:50">
      <c r="A744" s="1">
        <f>HYPERLINK("https://lsnyc.legalserver.org/matter/dynamic-profile/view/1908569","19-1908569")</f>
        <v>0</v>
      </c>
      <c r="B744" t="s">
        <v>152</v>
      </c>
      <c r="C744" t="s">
        <v>191</v>
      </c>
      <c r="D744" t="s">
        <v>216</v>
      </c>
      <c r="F744" t="s">
        <v>954</v>
      </c>
      <c r="G744" t="s">
        <v>1667</v>
      </c>
      <c r="H744" t="s">
        <v>2512</v>
      </c>
      <c r="I744" t="s">
        <v>2832</v>
      </c>
      <c r="J744" t="s">
        <v>3146</v>
      </c>
      <c r="K744">
        <v>10032</v>
      </c>
      <c r="L744" t="s">
        <v>3185</v>
      </c>
      <c r="M744" t="s">
        <v>3189</v>
      </c>
      <c r="N744" t="s">
        <v>3186</v>
      </c>
      <c r="P744" t="s">
        <v>3257</v>
      </c>
      <c r="Q744" t="s">
        <v>3634</v>
      </c>
      <c r="S744" t="s">
        <v>216</v>
      </c>
      <c r="T744" t="s">
        <v>3660</v>
      </c>
      <c r="U744" t="s">
        <v>3184</v>
      </c>
      <c r="W744" t="s">
        <v>3670</v>
      </c>
      <c r="Y744">
        <v>606.5599999999999</v>
      </c>
      <c r="Z744" t="s">
        <v>3689</v>
      </c>
      <c r="AA744" t="s">
        <v>3704</v>
      </c>
      <c r="AC744" t="s">
        <v>4391</v>
      </c>
      <c r="AE744" t="s">
        <v>5487</v>
      </c>
      <c r="AF744">
        <v>202</v>
      </c>
      <c r="AG744" t="s">
        <v>5813</v>
      </c>
      <c r="AH744" t="s">
        <v>5826</v>
      </c>
      <c r="AI744">
        <v>7</v>
      </c>
      <c r="AJ744">
        <v>1</v>
      </c>
      <c r="AK744">
        <v>0</v>
      </c>
      <c r="AL744">
        <v>101.07</v>
      </c>
      <c r="AO744" t="s">
        <v>5843</v>
      </c>
      <c r="AP744">
        <v>12624</v>
      </c>
      <c r="AV744">
        <v>2.1</v>
      </c>
      <c r="AW744" t="s">
        <v>222</v>
      </c>
      <c r="AX744" t="s">
        <v>6009</v>
      </c>
    </row>
    <row r="745" spans="1:50">
      <c r="A745" s="1">
        <f>HYPERLINK("https://lsnyc.legalserver.org/matter/dynamic-profile/view/1908544","19-1908544")</f>
        <v>0</v>
      </c>
      <c r="B745" t="s">
        <v>152</v>
      </c>
      <c r="C745" t="s">
        <v>191</v>
      </c>
      <c r="D745" t="s">
        <v>216</v>
      </c>
      <c r="F745" t="s">
        <v>581</v>
      </c>
      <c r="G745" t="s">
        <v>1714</v>
      </c>
      <c r="H745" t="s">
        <v>2513</v>
      </c>
      <c r="I745" t="s">
        <v>2902</v>
      </c>
      <c r="J745" t="s">
        <v>3146</v>
      </c>
      <c r="K745">
        <v>10027</v>
      </c>
      <c r="L745" t="s">
        <v>3185</v>
      </c>
      <c r="M745" t="s">
        <v>3189</v>
      </c>
      <c r="N745" t="s">
        <v>3186</v>
      </c>
      <c r="P745" t="s">
        <v>3257</v>
      </c>
      <c r="Q745" t="s">
        <v>3634</v>
      </c>
      <c r="S745" t="s">
        <v>216</v>
      </c>
      <c r="T745" t="s">
        <v>3660</v>
      </c>
      <c r="U745" t="s">
        <v>3184</v>
      </c>
      <c r="W745" t="s">
        <v>3670</v>
      </c>
      <c r="Y745">
        <v>433.33</v>
      </c>
      <c r="Z745" t="s">
        <v>3689</v>
      </c>
      <c r="AA745" t="s">
        <v>3700</v>
      </c>
      <c r="AC745" t="s">
        <v>4392</v>
      </c>
      <c r="AE745" t="s">
        <v>5488</v>
      </c>
      <c r="AF745">
        <v>23</v>
      </c>
      <c r="AG745" t="s">
        <v>5813</v>
      </c>
      <c r="AH745" t="s">
        <v>3188</v>
      </c>
      <c r="AI745">
        <v>0</v>
      </c>
      <c r="AJ745">
        <v>1</v>
      </c>
      <c r="AK745">
        <v>0</v>
      </c>
      <c r="AL745">
        <v>113.07</v>
      </c>
      <c r="AP745">
        <v>14122.8</v>
      </c>
      <c r="AV745">
        <v>2.8</v>
      </c>
      <c r="AW745" t="s">
        <v>199</v>
      </c>
      <c r="AX745" t="s">
        <v>6009</v>
      </c>
    </row>
    <row r="746" spans="1:50">
      <c r="A746" s="1">
        <f>HYPERLINK("https://lsnyc.legalserver.org/matter/dynamic-profile/view/1908556","19-1908556")</f>
        <v>0</v>
      </c>
      <c r="B746" t="s">
        <v>152</v>
      </c>
      <c r="C746" t="s">
        <v>191</v>
      </c>
      <c r="D746" t="s">
        <v>216</v>
      </c>
      <c r="F746" t="s">
        <v>840</v>
      </c>
      <c r="G746" t="s">
        <v>1217</v>
      </c>
      <c r="H746" t="s">
        <v>2026</v>
      </c>
      <c r="J746" t="s">
        <v>3146</v>
      </c>
      <c r="K746">
        <v>10033</v>
      </c>
      <c r="L746" t="s">
        <v>3185</v>
      </c>
      <c r="M746" t="s">
        <v>3189</v>
      </c>
      <c r="N746" t="s">
        <v>3186</v>
      </c>
      <c r="P746" t="s">
        <v>3257</v>
      </c>
      <c r="Q746" t="s">
        <v>3634</v>
      </c>
      <c r="S746" t="s">
        <v>216</v>
      </c>
      <c r="T746" t="s">
        <v>3660</v>
      </c>
      <c r="U746" t="s">
        <v>3184</v>
      </c>
      <c r="W746" t="s">
        <v>3670</v>
      </c>
      <c r="Y746">
        <v>1190</v>
      </c>
      <c r="Z746" t="s">
        <v>3689</v>
      </c>
      <c r="AA746" t="s">
        <v>3704</v>
      </c>
      <c r="AC746" t="s">
        <v>4393</v>
      </c>
      <c r="AE746" t="s">
        <v>5489</v>
      </c>
      <c r="AF746">
        <v>480</v>
      </c>
      <c r="AG746" t="s">
        <v>5813</v>
      </c>
      <c r="AH746" t="s">
        <v>5827</v>
      </c>
      <c r="AI746">
        <v>9</v>
      </c>
      <c r="AJ746">
        <v>2</v>
      </c>
      <c r="AK746">
        <v>0</v>
      </c>
      <c r="AL746">
        <v>224.72</v>
      </c>
      <c r="AO746" t="s">
        <v>5844</v>
      </c>
      <c r="AP746">
        <v>38000</v>
      </c>
      <c r="AV746">
        <v>2.7</v>
      </c>
      <c r="AW746" t="s">
        <v>198</v>
      </c>
      <c r="AX746" t="s">
        <v>6009</v>
      </c>
    </row>
    <row r="747" spans="1:50">
      <c r="A747" s="1">
        <f>HYPERLINK("https://lsnyc.legalserver.org/matter/dynamic-profile/view/1909049","19-1909049")</f>
        <v>0</v>
      </c>
      <c r="B747" t="s">
        <v>152</v>
      </c>
      <c r="C747" t="s">
        <v>191</v>
      </c>
      <c r="D747" t="s">
        <v>207</v>
      </c>
      <c r="F747" t="s">
        <v>955</v>
      </c>
      <c r="G747" t="s">
        <v>1715</v>
      </c>
      <c r="H747" t="s">
        <v>2510</v>
      </c>
      <c r="I747">
        <v>34</v>
      </c>
      <c r="J747" t="s">
        <v>3146</v>
      </c>
      <c r="K747">
        <v>10033</v>
      </c>
      <c r="L747" t="s">
        <v>3185</v>
      </c>
      <c r="M747" t="s">
        <v>3189</v>
      </c>
      <c r="N747" t="s">
        <v>3186</v>
      </c>
      <c r="P747" t="s">
        <v>3612</v>
      </c>
      <c r="Q747" t="s">
        <v>3638</v>
      </c>
      <c r="S747" t="s">
        <v>207</v>
      </c>
      <c r="T747" t="s">
        <v>3660</v>
      </c>
      <c r="U747" t="s">
        <v>3185</v>
      </c>
      <c r="W747" t="s">
        <v>3670</v>
      </c>
      <c r="Y747">
        <v>1633.95</v>
      </c>
      <c r="Z747" t="s">
        <v>3689</v>
      </c>
      <c r="AA747" t="s">
        <v>3697</v>
      </c>
      <c r="AC747" t="s">
        <v>4394</v>
      </c>
      <c r="AE747" t="s">
        <v>5490</v>
      </c>
      <c r="AF747">
        <v>20</v>
      </c>
      <c r="AG747" t="s">
        <v>5813</v>
      </c>
      <c r="AH747" t="s">
        <v>5826</v>
      </c>
      <c r="AI747">
        <v>17</v>
      </c>
      <c r="AJ747">
        <v>4</v>
      </c>
      <c r="AK747">
        <v>1</v>
      </c>
      <c r="AL747">
        <v>53.85</v>
      </c>
      <c r="AO747" t="s">
        <v>5844</v>
      </c>
      <c r="AP747">
        <v>16248</v>
      </c>
      <c r="AV747">
        <v>0</v>
      </c>
      <c r="AX747" t="s">
        <v>108</v>
      </c>
    </row>
    <row r="748" spans="1:50">
      <c r="A748" s="1">
        <f>HYPERLINK("https://lsnyc.legalserver.org/matter/dynamic-profile/view/1909040","19-1909040")</f>
        <v>0</v>
      </c>
      <c r="B748" t="s">
        <v>152</v>
      </c>
      <c r="C748" t="s">
        <v>191</v>
      </c>
      <c r="D748" t="s">
        <v>207</v>
      </c>
      <c r="F748" t="s">
        <v>478</v>
      </c>
      <c r="G748" t="s">
        <v>1716</v>
      </c>
      <c r="H748" t="s">
        <v>2510</v>
      </c>
      <c r="I748">
        <v>24</v>
      </c>
      <c r="J748" t="s">
        <v>3146</v>
      </c>
      <c r="K748">
        <v>10033</v>
      </c>
      <c r="L748" t="s">
        <v>3185</v>
      </c>
      <c r="M748" t="s">
        <v>3189</v>
      </c>
      <c r="N748" t="s">
        <v>3186</v>
      </c>
      <c r="P748" t="s">
        <v>3612</v>
      </c>
      <c r="Q748" t="s">
        <v>3638</v>
      </c>
      <c r="S748" t="s">
        <v>207</v>
      </c>
      <c r="T748" t="s">
        <v>3660</v>
      </c>
      <c r="U748" t="s">
        <v>3185</v>
      </c>
      <c r="W748" t="s">
        <v>3670</v>
      </c>
      <c r="Y748">
        <v>838.08</v>
      </c>
      <c r="Z748" t="s">
        <v>3689</v>
      </c>
      <c r="AA748" t="s">
        <v>3697</v>
      </c>
      <c r="AC748" t="s">
        <v>4395</v>
      </c>
      <c r="AE748" t="s">
        <v>5491</v>
      </c>
      <c r="AF748">
        <v>20</v>
      </c>
      <c r="AG748" t="s">
        <v>5813</v>
      </c>
      <c r="AH748" t="s">
        <v>5826</v>
      </c>
      <c r="AI748">
        <v>28</v>
      </c>
      <c r="AJ748">
        <v>1</v>
      </c>
      <c r="AK748">
        <v>0</v>
      </c>
      <c r="AL748">
        <v>64.05</v>
      </c>
      <c r="AO748" t="s">
        <v>5844</v>
      </c>
      <c r="AP748">
        <v>8000</v>
      </c>
      <c r="AV748">
        <v>0.2</v>
      </c>
      <c r="AW748" t="s">
        <v>207</v>
      </c>
      <c r="AX748" t="s">
        <v>108</v>
      </c>
    </row>
    <row r="749" spans="1:50">
      <c r="A749" s="1">
        <f>HYPERLINK("https://lsnyc.legalserver.org/matter/dynamic-profile/view/1909027","19-1909027")</f>
        <v>0</v>
      </c>
      <c r="B749" t="s">
        <v>152</v>
      </c>
      <c r="C749" t="s">
        <v>191</v>
      </c>
      <c r="D749" t="s">
        <v>207</v>
      </c>
      <c r="F749" t="s">
        <v>956</v>
      </c>
      <c r="G749" t="s">
        <v>1717</v>
      </c>
      <c r="H749" t="s">
        <v>2510</v>
      </c>
      <c r="I749">
        <v>1</v>
      </c>
      <c r="J749" t="s">
        <v>3146</v>
      </c>
      <c r="K749">
        <v>10033</v>
      </c>
      <c r="L749" t="s">
        <v>3185</v>
      </c>
      <c r="M749" t="s">
        <v>3189</v>
      </c>
      <c r="N749" t="s">
        <v>3186</v>
      </c>
      <c r="Q749" t="s">
        <v>3637</v>
      </c>
      <c r="S749" t="s">
        <v>207</v>
      </c>
      <c r="T749" t="s">
        <v>3660</v>
      </c>
      <c r="U749" t="s">
        <v>3185</v>
      </c>
      <c r="W749" t="s">
        <v>3670</v>
      </c>
      <c r="Y749">
        <v>0</v>
      </c>
      <c r="Z749" t="s">
        <v>3689</v>
      </c>
      <c r="AA749" t="s">
        <v>3696</v>
      </c>
      <c r="AC749" t="s">
        <v>4396</v>
      </c>
      <c r="AE749" t="s">
        <v>5492</v>
      </c>
      <c r="AF749">
        <v>29</v>
      </c>
      <c r="AG749" t="s">
        <v>5813</v>
      </c>
      <c r="AH749" t="s">
        <v>5826</v>
      </c>
      <c r="AI749">
        <v>2</v>
      </c>
      <c r="AJ749">
        <v>2</v>
      </c>
      <c r="AK749">
        <v>0</v>
      </c>
      <c r="AL749">
        <v>92.54000000000001</v>
      </c>
      <c r="AO749" t="s">
        <v>5844</v>
      </c>
      <c r="AP749">
        <v>15648</v>
      </c>
      <c r="AV749">
        <v>0</v>
      </c>
      <c r="AX749" t="s">
        <v>108</v>
      </c>
    </row>
    <row r="750" spans="1:50">
      <c r="A750" s="1">
        <f>HYPERLINK("https://lsnyc.legalserver.org/matter/dynamic-profile/view/1910056","19-1910056")</f>
        <v>0</v>
      </c>
      <c r="B750" t="s">
        <v>152</v>
      </c>
      <c r="C750" t="s">
        <v>191</v>
      </c>
      <c r="D750" t="s">
        <v>198</v>
      </c>
      <c r="F750" t="s">
        <v>796</v>
      </c>
      <c r="G750" t="s">
        <v>700</v>
      </c>
      <c r="H750" t="s">
        <v>2510</v>
      </c>
      <c r="J750" t="s">
        <v>3146</v>
      </c>
      <c r="K750">
        <v>10033</v>
      </c>
      <c r="L750" t="s">
        <v>3185</v>
      </c>
      <c r="M750" t="s">
        <v>3189</v>
      </c>
      <c r="N750" t="s">
        <v>3186</v>
      </c>
      <c r="P750" t="s">
        <v>3612</v>
      </c>
      <c r="Q750" t="s">
        <v>3638</v>
      </c>
      <c r="S750" t="s">
        <v>198</v>
      </c>
      <c r="T750" t="s">
        <v>3660</v>
      </c>
      <c r="U750" t="s">
        <v>3185</v>
      </c>
      <c r="W750" t="s">
        <v>3670</v>
      </c>
      <c r="Y750">
        <v>0</v>
      </c>
      <c r="Z750" t="s">
        <v>3689</v>
      </c>
      <c r="AA750" t="s">
        <v>3697</v>
      </c>
      <c r="AC750" t="s">
        <v>4397</v>
      </c>
      <c r="AE750" t="s">
        <v>5493</v>
      </c>
      <c r="AF750">
        <v>0</v>
      </c>
      <c r="AG750" t="s">
        <v>5813</v>
      </c>
      <c r="AH750" t="s">
        <v>3188</v>
      </c>
      <c r="AI750">
        <v>0</v>
      </c>
      <c r="AJ750">
        <v>2</v>
      </c>
      <c r="AK750">
        <v>0</v>
      </c>
      <c r="AL750">
        <v>147.89</v>
      </c>
      <c r="AO750" t="s">
        <v>5843</v>
      </c>
      <c r="AP750">
        <v>25008</v>
      </c>
      <c r="AV750">
        <v>0</v>
      </c>
      <c r="AX750" t="s">
        <v>108</v>
      </c>
    </row>
    <row r="751" spans="1:50">
      <c r="A751" s="1">
        <f>HYPERLINK("https://lsnyc.legalserver.org/matter/dynamic-profile/view/1910129","19-1910129")</f>
        <v>0</v>
      </c>
      <c r="B751" t="s">
        <v>152</v>
      </c>
      <c r="C751" t="s">
        <v>191</v>
      </c>
      <c r="D751" t="s">
        <v>198</v>
      </c>
      <c r="F751" t="s">
        <v>957</v>
      </c>
      <c r="G751" t="s">
        <v>1718</v>
      </c>
      <c r="H751" t="s">
        <v>2514</v>
      </c>
      <c r="J751" t="s">
        <v>3146</v>
      </c>
      <c r="K751">
        <v>10032</v>
      </c>
      <c r="L751" t="s">
        <v>3185</v>
      </c>
      <c r="M751" t="s">
        <v>3189</v>
      </c>
      <c r="N751" t="s">
        <v>3186</v>
      </c>
      <c r="P751" t="s">
        <v>3612</v>
      </c>
      <c r="Q751" t="s">
        <v>3638</v>
      </c>
      <c r="S751" t="s">
        <v>198</v>
      </c>
      <c r="T751" t="s">
        <v>3660</v>
      </c>
      <c r="U751" t="s">
        <v>3185</v>
      </c>
      <c r="W751" t="s">
        <v>3670</v>
      </c>
      <c r="Y751">
        <v>2995</v>
      </c>
      <c r="Z751" t="s">
        <v>3689</v>
      </c>
      <c r="AA751" t="s">
        <v>3697</v>
      </c>
      <c r="AC751" t="s">
        <v>4398</v>
      </c>
      <c r="AE751" t="s">
        <v>5494</v>
      </c>
      <c r="AF751">
        <v>47</v>
      </c>
      <c r="AG751" t="s">
        <v>5813</v>
      </c>
      <c r="AH751" t="s">
        <v>3188</v>
      </c>
      <c r="AI751">
        <v>1</v>
      </c>
      <c r="AJ751">
        <v>2</v>
      </c>
      <c r="AK751">
        <v>0</v>
      </c>
      <c r="AL751">
        <v>1951.51</v>
      </c>
      <c r="AO751" t="s">
        <v>5843</v>
      </c>
      <c r="AP751">
        <v>330000</v>
      </c>
      <c r="AV751">
        <v>0</v>
      </c>
      <c r="AX751" t="s">
        <v>108</v>
      </c>
    </row>
    <row r="752" spans="1:50">
      <c r="A752" s="1">
        <f>HYPERLINK("https://lsnyc.legalserver.org/matter/dynamic-profile/view/1910161","19-1910161")</f>
        <v>0</v>
      </c>
      <c r="B752" t="s">
        <v>152</v>
      </c>
      <c r="C752" t="s">
        <v>191</v>
      </c>
      <c r="D752" t="s">
        <v>221</v>
      </c>
      <c r="F752" t="s">
        <v>623</v>
      </c>
      <c r="G752" t="s">
        <v>1603</v>
      </c>
      <c r="H752" t="s">
        <v>2020</v>
      </c>
      <c r="I752" t="s">
        <v>765</v>
      </c>
      <c r="J752" t="s">
        <v>3146</v>
      </c>
      <c r="K752">
        <v>10033</v>
      </c>
      <c r="L752" t="s">
        <v>3185</v>
      </c>
      <c r="M752" t="s">
        <v>3189</v>
      </c>
      <c r="N752" t="s">
        <v>3186</v>
      </c>
      <c r="Q752" t="s">
        <v>3637</v>
      </c>
      <c r="S752" t="s">
        <v>221</v>
      </c>
      <c r="T752" t="s">
        <v>3660</v>
      </c>
      <c r="U752" t="s">
        <v>3185</v>
      </c>
      <c r="W752" t="s">
        <v>3670</v>
      </c>
      <c r="Y752">
        <v>3250</v>
      </c>
      <c r="Z752" t="s">
        <v>3689</v>
      </c>
      <c r="AA752" t="s">
        <v>3697</v>
      </c>
      <c r="AC752" t="s">
        <v>4399</v>
      </c>
      <c r="AE752" t="s">
        <v>5495</v>
      </c>
      <c r="AF752">
        <v>14</v>
      </c>
      <c r="AG752" t="s">
        <v>5813</v>
      </c>
      <c r="AH752" t="s">
        <v>3188</v>
      </c>
      <c r="AI752">
        <v>1</v>
      </c>
      <c r="AJ752">
        <v>1</v>
      </c>
      <c r="AK752">
        <v>0</v>
      </c>
      <c r="AL752">
        <v>144.12</v>
      </c>
      <c r="AO752" t="s">
        <v>5843</v>
      </c>
      <c r="AP752">
        <v>18000</v>
      </c>
      <c r="AV752">
        <v>0</v>
      </c>
      <c r="AX752" t="s">
        <v>108</v>
      </c>
    </row>
    <row r="753" spans="1:50">
      <c r="A753" s="1">
        <f>HYPERLINK("https://lsnyc.legalserver.org/matter/dynamic-profile/view/1862825","18-1862825")</f>
        <v>0</v>
      </c>
      <c r="B753" t="s">
        <v>103</v>
      </c>
      <c r="C753" t="s">
        <v>191</v>
      </c>
      <c r="D753" t="s">
        <v>255</v>
      </c>
      <c r="F753" t="s">
        <v>958</v>
      </c>
      <c r="G753" t="s">
        <v>1719</v>
      </c>
      <c r="H753" t="s">
        <v>2515</v>
      </c>
      <c r="I753" t="s">
        <v>3046</v>
      </c>
      <c r="J753" t="s">
        <v>3148</v>
      </c>
      <c r="K753">
        <v>11233</v>
      </c>
      <c r="L753" t="s">
        <v>3184</v>
      </c>
      <c r="N753" t="s">
        <v>3186</v>
      </c>
      <c r="O753" t="s">
        <v>3473</v>
      </c>
      <c r="P753" t="s">
        <v>3612</v>
      </c>
      <c r="T753" t="s">
        <v>3660</v>
      </c>
      <c r="U753" t="s">
        <v>3185</v>
      </c>
      <c r="W753" t="s">
        <v>3670</v>
      </c>
      <c r="Y753">
        <v>1075</v>
      </c>
      <c r="Z753" t="s">
        <v>3691</v>
      </c>
      <c r="AA753" t="s">
        <v>3699</v>
      </c>
      <c r="AC753" t="s">
        <v>4400</v>
      </c>
      <c r="AD753" t="s">
        <v>4842</v>
      </c>
      <c r="AE753" t="s">
        <v>5496</v>
      </c>
      <c r="AF753">
        <v>6</v>
      </c>
      <c r="AG753" t="s">
        <v>5813</v>
      </c>
      <c r="AH753" t="s">
        <v>5831</v>
      </c>
      <c r="AI753">
        <v>17</v>
      </c>
      <c r="AJ753">
        <v>1</v>
      </c>
      <c r="AK753">
        <v>0</v>
      </c>
      <c r="AL753">
        <v>39.62</v>
      </c>
      <c r="AO753" t="s">
        <v>5843</v>
      </c>
      <c r="AP753">
        <v>4810</v>
      </c>
      <c r="AV753">
        <v>0</v>
      </c>
      <c r="AX753" t="s">
        <v>158</v>
      </c>
    </row>
    <row r="754" spans="1:50">
      <c r="A754" s="1">
        <f>HYPERLINK("https://lsnyc.legalserver.org/matter/dynamic-profile/view/1910083","19-1910083")</f>
        <v>0</v>
      </c>
      <c r="B754" t="s">
        <v>103</v>
      </c>
      <c r="C754" t="s">
        <v>191</v>
      </c>
      <c r="D754" t="s">
        <v>198</v>
      </c>
      <c r="F754" t="s">
        <v>959</v>
      </c>
      <c r="G754" t="s">
        <v>1720</v>
      </c>
      <c r="H754" t="s">
        <v>2516</v>
      </c>
      <c r="I754">
        <v>615</v>
      </c>
      <c r="J754" t="s">
        <v>3148</v>
      </c>
      <c r="K754">
        <v>11212</v>
      </c>
      <c r="L754" t="s">
        <v>3184</v>
      </c>
      <c r="M754" t="s">
        <v>3189</v>
      </c>
      <c r="N754" t="s">
        <v>3186</v>
      </c>
      <c r="O754" t="s">
        <v>3218</v>
      </c>
      <c r="P754" t="s">
        <v>3257</v>
      </c>
      <c r="T754" t="s">
        <v>3660</v>
      </c>
      <c r="U754" t="s">
        <v>3184</v>
      </c>
      <c r="W754" t="s">
        <v>3670</v>
      </c>
      <c r="X754" t="s">
        <v>3681</v>
      </c>
      <c r="Y754">
        <v>235</v>
      </c>
      <c r="Z754" t="s">
        <v>3691</v>
      </c>
      <c r="AA754" t="s">
        <v>3699</v>
      </c>
      <c r="AC754" t="s">
        <v>4401</v>
      </c>
      <c r="AD754" t="s">
        <v>4843</v>
      </c>
      <c r="AE754" t="s">
        <v>5497</v>
      </c>
      <c r="AF754">
        <v>45</v>
      </c>
      <c r="AG754" t="s">
        <v>5816</v>
      </c>
      <c r="AH754" t="s">
        <v>5830</v>
      </c>
      <c r="AI754">
        <v>20</v>
      </c>
      <c r="AJ754">
        <v>1</v>
      </c>
      <c r="AK754">
        <v>0</v>
      </c>
      <c r="AL754">
        <v>98.86</v>
      </c>
      <c r="AO754" t="s">
        <v>5843</v>
      </c>
      <c r="AP754">
        <v>12348</v>
      </c>
      <c r="AV754">
        <v>0.3</v>
      </c>
      <c r="AW754" t="s">
        <v>198</v>
      </c>
      <c r="AX754" t="s">
        <v>6022</v>
      </c>
    </row>
    <row r="755" spans="1:50">
      <c r="A755" s="1">
        <f>HYPERLINK("https://lsnyc.legalserver.org/matter/dynamic-profile/view/1909255","19-1909255")</f>
        <v>0</v>
      </c>
      <c r="B755" t="s">
        <v>103</v>
      </c>
      <c r="C755" t="s">
        <v>191</v>
      </c>
      <c r="D755" t="s">
        <v>222</v>
      </c>
      <c r="F755" t="s">
        <v>623</v>
      </c>
      <c r="G755" t="s">
        <v>1613</v>
      </c>
      <c r="H755" t="s">
        <v>2517</v>
      </c>
      <c r="I755">
        <v>2</v>
      </c>
      <c r="J755" t="s">
        <v>3148</v>
      </c>
      <c r="K755">
        <v>11233</v>
      </c>
      <c r="L755" t="s">
        <v>3184</v>
      </c>
      <c r="M755" t="s">
        <v>3188</v>
      </c>
      <c r="N755" t="s">
        <v>3186</v>
      </c>
      <c r="O755" t="s">
        <v>3218</v>
      </c>
      <c r="P755" t="s">
        <v>3612</v>
      </c>
      <c r="T755" t="s">
        <v>3660</v>
      </c>
      <c r="U755" t="s">
        <v>3184</v>
      </c>
      <c r="W755" t="s">
        <v>3670</v>
      </c>
      <c r="X755" t="s">
        <v>3681</v>
      </c>
      <c r="Y755">
        <v>2450</v>
      </c>
      <c r="Z755" t="s">
        <v>3691</v>
      </c>
      <c r="AA755" t="s">
        <v>3632</v>
      </c>
      <c r="AC755" t="s">
        <v>4402</v>
      </c>
      <c r="AD755" t="s">
        <v>3218</v>
      </c>
      <c r="AF755">
        <v>3</v>
      </c>
      <c r="AG755" t="s">
        <v>3263</v>
      </c>
      <c r="AH755" t="s">
        <v>3188</v>
      </c>
      <c r="AI755">
        <v>1</v>
      </c>
      <c r="AJ755">
        <v>1</v>
      </c>
      <c r="AK755">
        <v>0</v>
      </c>
      <c r="AL755">
        <v>147.28</v>
      </c>
      <c r="AO755" t="s">
        <v>5843</v>
      </c>
      <c r="AP755">
        <v>18395</v>
      </c>
      <c r="AV755">
        <v>0.7</v>
      </c>
      <c r="AW755" t="s">
        <v>243</v>
      </c>
      <c r="AX755" t="s">
        <v>6011</v>
      </c>
    </row>
    <row r="756" spans="1:50">
      <c r="A756" s="1">
        <f>HYPERLINK("https://lsnyc.legalserver.org/matter/dynamic-profile/view/1905779","19-1905779")</f>
        <v>0</v>
      </c>
      <c r="B756" t="s">
        <v>153</v>
      </c>
      <c r="C756" t="s">
        <v>191</v>
      </c>
      <c r="D756" t="s">
        <v>203</v>
      </c>
      <c r="F756" t="s">
        <v>545</v>
      </c>
      <c r="G756" t="s">
        <v>1721</v>
      </c>
      <c r="H756" t="s">
        <v>2518</v>
      </c>
      <c r="I756" t="s">
        <v>3047</v>
      </c>
      <c r="J756" t="s">
        <v>3153</v>
      </c>
      <c r="K756">
        <v>11691</v>
      </c>
      <c r="L756" t="s">
        <v>3185</v>
      </c>
      <c r="M756" t="s">
        <v>3189</v>
      </c>
      <c r="N756" t="s">
        <v>3186</v>
      </c>
      <c r="O756" t="s">
        <v>3474</v>
      </c>
      <c r="P756" t="s">
        <v>3613</v>
      </c>
      <c r="Q756" t="s">
        <v>3638</v>
      </c>
      <c r="S756" t="s">
        <v>219</v>
      </c>
      <c r="T756" t="s">
        <v>3660</v>
      </c>
      <c r="U756" t="s">
        <v>3184</v>
      </c>
      <c r="W756" t="s">
        <v>3670</v>
      </c>
      <c r="X756" t="s">
        <v>3684</v>
      </c>
      <c r="Y756">
        <v>1400</v>
      </c>
      <c r="Z756" t="s">
        <v>3688</v>
      </c>
      <c r="AA756" t="s">
        <v>3701</v>
      </c>
      <c r="AC756" t="s">
        <v>4403</v>
      </c>
      <c r="AE756" t="s">
        <v>5498</v>
      </c>
      <c r="AF756">
        <v>462</v>
      </c>
      <c r="AG756" t="s">
        <v>5815</v>
      </c>
      <c r="AH756" t="s">
        <v>5827</v>
      </c>
      <c r="AI756">
        <v>35</v>
      </c>
      <c r="AJ756">
        <v>1</v>
      </c>
      <c r="AK756">
        <v>0</v>
      </c>
      <c r="AL756">
        <v>78.78</v>
      </c>
      <c r="AO756" t="s">
        <v>5843</v>
      </c>
      <c r="AP756">
        <v>9840</v>
      </c>
      <c r="AV756">
        <v>20.31</v>
      </c>
      <c r="AW756" t="s">
        <v>246</v>
      </c>
      <c r="AX756" t="s">
        <v>56</v>
      </c>
    </row>
    <row r="757" spans="1:50">
      <c r="A757" s="1">
        <f>HYPERLINK("https://lsnyc.legalserver.org/matter/dynamic-profile/view/1910070","19-1910070")</f>
        <v>0</v>
      </c>
      <c r="B757" t="s">
        <v>73</v>
      </c>
      <c r="C757" t="s">
        <v>191</v>
      </c>
      <c r="D757" t="s">
        <v>198</v>
      </c>
      <c r="F757" t="s">
        <v>454</v>
      </c>
      <c r="G757" t="s">
        <v>1419</v>
      </c>
      <c r="H757" t="s">
        <v>2173</v>
      </c>
      <c r="I757" t="s">
        <v>3048</v>
      </c>
      <c r="J757" t="s">
        <v>3147</v>
      </c>
      <c r="K757">
        <v>10457</v>
      </c>
      <c r="L757" t="s">
        <v>3185</v>
      </c>
      <c r="M757" t="s">
        <v>3189</v>
      </c>
      <c r="N757" t="s">
        <v>3186</v>
      </c>
      <c r="P757" t="s">
        <v>3616</v>
      </c>
      <c r="Q757" t="s">
        <v>3636</v>
      </c>
      <c r="T757" t="s">
        <v>3660</v>
      </c>
      <c r="U757" t="s">
        <v>3184</v>
      </c>
      <c r="W757" t="s">
        <v>3670</v>
      </c>
      <c r="Y757">
        <v>1167</v>
      </c>
      <c r="Z757" t="s">
        <v>3690</v>
      </c>
      <c r="AA757" t="s">
        <v>3700</v>
      </c>
      <c r="AC757" t="s">
        <v>3995</v>
      </c>
      <c r="AF757">
        <v>0</v>
      </c>
      <c r="AG757" t="s">
        <v>5813</v>
      </c>
      <c r="AH757" t="s">
        <v>3188</v>
      </c>
      <c r="AI757">
        <v>23</v>
      </c>
      <c r="AJ757">
        <v>1</v>
      </c>
      <c r="AK757">
        <v>0</v>
      </c>
      <c r="AL757">
        <v>0</v>
      </c>
      <c r="AO757" t="s">
        <v>5843</v>
      </c>
      <c r="AP757">
        <v>0</v>
      </c>
      <c r="AV757">
        <v>0</v>
      </c>
      <c r="AX757" t="s">
        <v>73</v>
      </c>
    </row>
    <row r="758" spans="1:50">
      <c r="A758" s="1">
        <f>HYPERLINK("https://lsnyc.legalserver.org/matter/dynamic-profile/view/1909422","19-1909422")</f>
        <v>0</v>
      </c>
      <c r="B758" t="s">
        <v>73</v>
      </c>
      <c r="C758" t="s">
        <v>191</v>
      </c>
      <c r="D758" t="s">
        <v>196</v>
      </c>
      <c r="F758" t="s">
        <v>847</v>
      </c>
      <c r="G758" t="s">
        <v>1722</v>
      </c>
      <c r="H758" t="s">
        <v>2519</v>
      </c>
      <c r="I758" t="s">
        <v>2815</v>
      </c>
      <c r="J758" t="s">
        <v>3147</v>
      </c>
      <c r="K758">
        <v>10453</v>
      </c>
      <c r="L758" t="s">
        <v>3185</v>
      </c>
      <c r="M758" t="s">
        <v>3189</v>
      </c>
      <c r="N758" t="s">
        <v>3186</v>
      </c>
      <c r="O758">
        <v>6882</v>
      </c>
      <c r="P758" t="s">
        <v>3610</v>
      </c>
      <c r="Q758" t="s">
        <v>3634</v>
      </c>
      <c r="T758" t="s">
        <v>3660</v>
      </c>
      <c r="V758" t="s">
        <v>3660</v>
      </c>
      <c r="W758" t="s">
        <v>3670</v>
      </c>
      <c r="Y758">
        <v>889</v>
      </c>
      <c r="Z758" t="s">
        <v>3690</v>
      </c>
      <c r="AA758" t="s">
        <v>3632</v>
      </c>
      <c r="AC758" t="s">
        <v>4404</v>
      </c>
      <c r="AE758" t="s">
        <v>5499</v>
      </c>
      <c r="AF758">
        <v>47</v>
      </c>
      <c r="AG758" t="s">
        <v>5813</v>
      </c>
      <c r="AH758" t="s">
        <v>5828</v>
      </c>
      <c r="AI758">
        <v>35</v>
      </c>
      <c r="AJ758">
        <v>2</v>
      </c>
      <c r="AK758">
        <v>0</v>
      </c>
      <c r="AL758">
        <v>8.460000000000001</v>
      </c>
      <c r="AO758" t="s">
        <v>5843</v>
      </c>
      <c r="AP758">
        <v>1430</v>
      </c>
      <c r="AV758">
        <v>0.5</v>
      </c>
      <c r="AW758" t="s">
        <v>196</v>
      </c>
      <c r="AX758" t="s">
        <v>6022</v>
      </c>
    </row>
    <row r="759" spans="1:50">
      <c r="A759" s="1">
        <f>HYPERLINK("https://lsnyc.legalserver.org/matter/dynamic-profile/view/1910045","19-1910045")</f>
        <v>0</v>
      </c>
      <c r="B759" t="s">
        <v>73</v>
      </c>
      <c r="C759" t="s">
        <v>191</v>
      </c>
      <c r="D759" t="s">
        <v>198</v>
      </c>
      <c r="F759" t="s">
        <v>960</v>
      </c>
      <c r="G759" t="s">
        <v>1723</v>
      </c>
      <c r="H759" t="s">
        <v>2520</v>
      </c>
      <c r="I759" t="s">
        <v>2875</v>
      </c>
      <c r="J759" t="s">
        <v>3147</v>
      </c>
      <c r="K759">
        <v>10456</v>
      </c>
      <c r="L759" t="s">
        <v>3185</v>
      </c>
      <c r="M759" t="s">
        <v>3189</v>
      </c>
      <c r="N759" t="s">
        <v>3186</v>
      </c>
      <c r="O759" t="s">
        <v>3475</v>
      </c>
      <c r="Q759" t="s">
        <v>3634</v>
      </c>
      <c r="T759" t="s">
        <v>3660</v>
      </c>
      <c r="U759" t="s">
        <v>3184</v>
      </c>
      <c r="W759" t="s">
        <v>3670</v>
      </c>
      <c r="Y759">
        <v>83</v>
      </c>
      <c r="Z759" t="s">
        <v>3690</v>
      </c>
      <c r="AA759" t="s">
        <v>3700</v>
      </c>
      <c r="AC759" t="s">
        <v>4405</v>
      </c>
      <c r="AE759" t="s">
        <v>5500</v>
      </c>
      <c r="AF759">
        <v>0</v>
      </c>
      <c r="AG759" t="s">
        <v>5822</v>
      </c>
      <c r="AI759">
        <v>5</v>
      </c>
      <c r="AJ759">
        <v>1</v>
      </c>
      <c r="AK759">
        <v>3</v>
      </c>
      <c r="AL759">
        <v>37.28</v>
      </c>
      <c r="AO759" t="s">
        <v>5844</v>
      </c>
      <c r="AP759">
        <v>9600</v>
      </c>
      <c r="AV759">
        <v>0</v>
      </c>
      <c r="AX759" t="s">
        <v>73</v>
      </c>
    </row>
    <row r="760" spans="1:50">
      <c r="A760" s="1">
        <f>HYPERLINK("https://lsnyc.legalserver.org/matter/dynamic-profile/view/1910142","19-1910142")</f>
        <v>0</v>
      </c>
      <c r="B760" t="s">
        <v>73</v>
      </c>
      <c r="C760" t="s">
        <v>191</v>
      </c>
      <c r="D760" t="s">
        <v>198</v>
      </c>
      <c r="F760" t="s">
        <v>452</v>
      </c>
      <c r="G760" t="s">
        <v>1203</v>
      </c>
      <c r="H760" t="s">
        <v>2521</v>
      </c>
      <c r="I760" t="s">
        <v>2887</v>
      </c>
      <c r="J760" t="s">
        <v>3147</v>
      </c>
      <c r="K760">
        <v>10452</v>
      </c>
      <c r="L760" t="s">
        <v>3185</v>
      </c>
      <c r="M760" t="s">
        <v>3189</v>
      </c>
      <c r="N760" t="s">
        <v>3186</v>
      </c>
      <c r="P760" t="s">
        <v>3610</v>
      </c>
      <c r="Q760" t="s">
        <v>3634</v>
      </c>
      <c r="T760" t="s">
        <v>3660</v>
      </c>
      <c r="U760" t="s">
        <v>3184</v>
      </c>
      <c r="W760" t="s">
        <v>3670</v>
      </c>
      <c r="Y760">
        <v>1169.2</v>
      </c>
      <c r="Z760" t="s">
        <v>3690</v>
      </c>
      <c r="AA760" t="s">
        <v>3700</v>
      </c>
      <c r="AC760" t="s">
        <v>4406</v>
      </c>
      <c r="AE760" t="s">
        <v>5501</v>
      </c>
      <c r="AF760">
        <v>0</v>
      </c>
      <c r="AH760" t="s">
        <v>5826</v>
      </c>
      <c r="AI760">
        <v>30</v>
      </c>
      <c r="AJ760">
        <v>2</v>
      </c>
      <c r="AK760">
        <v>0</v>
      </c>
      <c r="AL760">
        <v>69.47</v>
      </c>
      <c r="AO760" t="s">
        <v>5844</v>
      </c>
      <c r="AP760">
        <v>11748</v>
      </c>
      <c r="AV760">
        <v>0</v>
      </c>
      <c r="AX760" t="s">
        <v>73</v>
      </c>
    </row>
    <row r="761" spans="1:50">
      <c r="A761" s="1">
        <f>HYPERLINK("https://lsnyc.legalserver.org/matter/dynamic-profile/view/1909768","19-1909768")</f>
        <v>0</v>
      </c>
      <c r="B761" t="s">
        <v>103</v>
      </c>
      <c r="C761" t="s">
        <v>191</v>
      </c>
      <c r="D761" t="s">
        <v>252</v>
      </c>
      <c r="F761" t="s">
        <v>961</v>
      </c>
      <c r="G761" t="s">
        <v>1685</v>
      </c>
      <c r="H761" t="s">
        <v>2522</v>
      </c>
      <c r="I761" t="s">
        <v>2823</v>
      </c>
      <c r="J761" t="s">
        <v>3148</v>
      </c>
      <c r="K761">
        <v>11207</v>
      </c>
      <c r="L761" t="s">
        <v>3184</v>
      </c>
      <c r="M761" t="s">
        <v>3188</v>
      </c>
      <c r="N761" t="s">
        <v>3186</v>
      </c>
      <c r="O761" t="s">
        <v>3476</v>
      </c>
      <c r="P761" t="s">
        <v>3610</v>
      </c>
      <c r="Q761" t="s">
        <v>3638</v>
      </c>
      <c r="T761" t="s">
        <v>3660</v>
      </c>
      <c r="U761" t="s">
        <v>3184</v>
      </c>
      <c r="W761" t="s">
        <v>3670</v>
      </c>
      <c r="X761" t="s">
        <v>3681</v>
      </c>
      <c r="Y761">
        <v>1300</v>
      </c>
      <c r="Z761" t="s">
        <v>3691</v>
      </c>
      <c r="AA761" t="s">
        <v>3696</v>
      </c>
      <c r="AC761" t="s">
        <v>4407</v>
      </c>
      <c r="AD761" t="s">
        <v>3218</v>
      </c>
      <c r="AE761" t="s">
        <v>5502</v>
      </c>
      <c r="AF761">
        <v>6</v>
      </c>
      <c r="AG761" t="s">
        <v>5813</v>
      </c>
      <c r="AH761" t="s">
        <v>3188</v>
      </c>
      <c r="AI761">
        <v>3</v>
      </c>
      <c r="AJ761">
        <v>2</v>
      </c>
      <c r="AK761">
        <v>3</v>
      </c>
      <c r="AL761">
        <v>180.97</v>
      </c>
      <c r="AO761" t="s">
        <v>5843</v>
      </c>
      <c r="AP761">
        <v>54600</v>
      </c>
      <c r="AV761">
        <v>2.6</v>
      </c>
      <c r="AW761" t="s">
        <v>221</v>
      </c>
      <c r="AX761" t="s">
        <v>158</v>
      </c>
    </row>
    <row r="762" spans="1:50">
      <c r="A762" s="1">
        <f>HYPERLINK("https://lsnyc.legalserver.org/matter/dynamic-profile/view/1910141","19-1910141")</f>
        <v>0</v>
      </c>
      <c r="B762" t="s">
        <v>73</v>
      </c>
      <c r="C762" t="s">
        <v>191</v>
      </c>
      <c r="D762" t="s">
        <v>198</v>
      </c>
      <c r="F762" t="s">
        <v>962</v>
      </c>
      <c r="G762" t="s">
        <v>1724</v>
      </c>
      <c r="H762" t="s">
        <v>2523</v>
      </c>
      <c r="I762" t="s">
        <v>2860</v>
      </c>
      <c r="J762" t="s">
        <v>3147</v>
      </c>
      <c r="K762">
        <v>10468</v>
      </c>
      <c r="L762" t="s">
        <v>3185</v>
      </c>
      <c r="M762" t="s">
        <v>3189</v>
      </c>
      <c r="N762" t="s">
        <v>3186</v>
      </c>
      <c r="O762" t="s">
        <v>3477</v>
      </c>
      <c r="P762" t="s">
        <v>3612</v>
      </c>
      <c r="Q762" t="s">
        <v>3634</v>
      </c>
      <c r="T762" t="s">
        <v>3660</v>
      </c>
      <c r="U762" t="s">
        <v>3184</v>
      </c>
      <c r="W762" t="s">
        <v>3670</v>
      </c>
      <c r="Y762">
        <v>913.75</v>
      </c>
      <c r="Z762" t="s">
        <v>3690</v>
      </c>
      <c r="AA762" t="s">
        <v>3700</v>
      </c>
      <c r="AC762" t="s">
        <v>4408</v>
      </c>
      <c r="AE762" t="s">
        <v>5503</v>
      </c>
      <c r="AF762">
        <v>0</v>
      </c>
      <c r="AG762" t="s">
        <v>5813</v>
      </c>
      <c r="AH762" t="s">
        <v>5826</v>
      </c>
      <c r="AI762">
        <v>16</v>
      </c>
      <c r="AJ762">
        <v>1</v>
      </c>
      <c r="AK762">
        <v>0</v>
      </c>
      <c r="AL762">
        <v>75.13</v>
      </c>
      <c r="AP762">
        <v>9384</v>
      </c>
      <c r="AV762">
        <v>0</v>
      </c>
      <c r="AX762" t="s">
        <v>73</v>
      </c>
    </row>
    <row r="763" spans="1:50">
      <c r="A763" s="1">
        <f>HYPERLINK("https://lsnyc.legalserver.org/matter/dynamic-profile/view/1910089","19-1910089")</f>
        <v>0</v>
      </c>
      <c r="B763" t="s">
        <v>73</v>
      </c>
      <c r="C763" t="s">
        <v>191</v>
      </c>
      <c r="D763" t="s">
        <v>198</v>
      </c>
      <c r="F763" t="s">
        <v>440</v>
      </c>
      <c r="G763" t="s">
        <v>1366</v>
      </c>
      <c r="H763" t="s">
        <v>2524</v>
      </c>
      <c r="I763" t="s">
        <v>3049</v>
      </c>
      <c r="J763" t="s">
        <v>3147</v>
      </c>
      <c r="K763">
        <v>10451</v>
      </c>
      <c r="L763" t="s">
        <v>3185</v>
      </c>
      <c r="M763" t="s">
        <v>3189</v>
      </c>
      <c r="N763" t="s">
        <v>3186</v>
      </c>
      <c r="Q763" t="s">
        <v>3634</v>
      </c>
      <c r="T763" t="s">
        <v>3660</v>
      </c>
      <c r="W763" t="s">
        <v>3670</v>
      </c>
      <c r="Y763">
        <v>191</v>
      </c>
      <c r="Z763" t="s">
        <v>3690</v>
      </c>
      <c r="AA763" t="s">
        <v>3700</v>
      </c>
      <c r="AC763" t="s">
        <v>4409</v>
      </c>
      <c r="AE763" t="s">
        <v>5504</v>
      </c>
      <c r="AF763">
        <v>0</v>
      </c>
      <c r="AG763" t="s">
        <v>3263</v>
      </c>
      <c r="AH763" t="s">
        <v>5827</v>
      </c>
      <c r="AI763">
        <v>10</v>
      </c>
      <c r="AJ763">
        <v>1</v>
      </c>
      <c r="AK763">
        <v>0</v>
      </c>
      <c r="AL763">
        <v>77.34</v>
      </c>
      <c r="AO763" t="s">
        <v>5843</v>
      </c>
      <c r="AP763">
        <v>9660</v>
      </c>
      <c r="AV763">
        <v>0.6</v>
      </c>
      <c r="AW763" t="s">
        <v>198</v>
      </c>
      <c r="AX763" t="s">
        <v>73</v>
      </c>
    </row>
    <row r="764" spans="1:50">
      <c r="A764" s="1">
        <f>HYPERLINK("https://lsnyc.legalserver.org/matter/dynamic-profile/view/1909345","19-1909345")</f>
        <v>0</v>
      </c>
      <c r="B764" t="s">
        <v>73</v>
      </c>
      <c r="C764" t="s">
        <v>191</v>
      </c>
      <c r="D764" t="s">
        <v>222</v>
      </c>
      <c r="F764" t="s">
        <v>963</v>
      </c>
      <c r="G764" t="s">
        <v>1725</v>
      </c>
      <c r="H764" t="s">
        <v>1974</v>
      </c>
      <c r="I764" t="s">
        <v>3006</v>
      </c>
      <c r="J764" t="s">
        <v>3147</v>
      </c>
      <c r="K764">
        <v>10460</v>
      </c>
      <c r="L764" t="s">
        <v>3185</v>
      </c>
      <c r="M764" t="s">
        <v>3189</v>
      </c>
      <c r="N764" t="s">
        <v>3186</v>
      </c>
      <c r="Q764" t="s">
        <v>3634</v>
      </c>
      <c r="T764" t="s">
        <v>3660</v>
      </c>
      <c r="U764" t="s">
        <v>3184</v>
      </c>
      <c r="W764" t="s">
        <v>3670</v>
      </c>
      <c r="Y764">
        <v>1120</v>
      </c>
      <c r="Z764" t="s">
        <v>3690</v>
      </c>
      <c r="AA764" t="s">
        <v>3701</v>
      </c>
      <c r="AC764" t="s">
        <v>4410</v>
      </c>
      <c r="AF764">
        <v>168</v>
      </c>
      <c r="AG764" t="s">
        <v>5816</v>
      </c>
      <c r="AI764">
        <v>0</v>
      </c>
      <c r="AJ764">
        <v>1</v>
      </c>
      <c r="AK764">
        <v>0</v>
      </c>
      <c r="AL764">
        <v>187.35</v>
      </c>
      <c r="AO764" t="s">
        <v>5843</v>
      </c>
      <c r="AP764">
        <v>23400</v>
      </c>
      <c r="AV764">
        <v>0.6</v>
      </c>
      <c r="AW764" t="s">
        <v>222</v>
      </c>
      <c r="AX764" t="s">
        <v>6021</v>
      </c>
    </row>
    <row r="765" spans="1:50">
      <c r="A765" s="1">
        <f>HYPERLINK("https://lsnyc.legalserver.org/matter/dynamic-profile/view/1910075","19-1910075")</f>
        <v>0</v>
      </c>
      <c r="B765" t="s">
        <v>73</v>
      </c>
      <c r="C765" t="s">
        <v>191</v>
      </c>
      <c r="D765" t="s">
        <v>198</v>
      </c>
      <c r="F765" t="s">
        <v>605</v>
      </c>
      <c r="G765" t="s">
        <v>1726</v>
      </c>
      <c r="H765" t="s">
        <v>2525</v>
      </c>
      <c r="J765" t="s">
        <v>3147</v>
      </c>
      <c r="K765">
        <v>10456</v>
      </c>
      <c r="L765" t="s">
        <v>3185</v>
      </c>
      <c r="M765" t="s">
        <v>3189</v>
      </c>
      <c r="N765" t="s">
        <v>3186</v>
      </c>
      <c r="P765" t="s">
        <v>3257</v>
      </c>
      <c r="Q765" t="s">
        <v>3634</v>
      </c>
      <c r="T765" t="s">
        <v>3660</v>
      </c>
      <c r="U765" t="s">
        <v>3184</v>
      </c>
      <c r="W765" t="s">
        <v>3670</v>
      </c>
      <c r="Y765">
        <v>0</v>
      </c>
      <c r="Z765" t="s">
        <v>3690</v>
      </c>
      <c r="AA765" t="s">
        <v>3700</v>
      </c>
      <c r="AC765" t="s">
        <v>4411</v>
      </c>
      <c r="AE765" t="s">
        <v>5505</v>
      </c>
      <c r="AF765">
        <v>0</v>
      </c>
      <c r="AI765">
        <v>0</v>
      </c>
      <c r="AJ765">
        <v>1</v>
      </c>
      <c r="AK765">
        <v>0</v>
      </c>
      <c r="AL765">
        <v>199.36</v>
      </c>
      <c r="AP765">
        <v>24900</v>
      </c>
      <c r="AV765">
        <v>0</v>
      </c>
      <c r="AX765" t="s">
        <v>73</v>
      </c>
    </row>
    <row r="766" spans="1:50">
      <c r="A766" s="1">
        <f>HYPERLINK("https://lsnyc.legalserver.org/matter/dynamic-profile/view/1910121","19-1910121")</f>
        <v>0</v>
      </c>
      <c r="B766" t="s">
        <v>73</v>
      </c>
      <c r="C766" t="s">
        <v>191</v>
      </c>
      <c r="D766" t="s">
        <v>198</v>
      </c>
      <c r="F766" t="s">
        <v>964</v>
      </c>
      <c r="G766" t="s">
        <v>1727</v>
      </c>
      <c r="H766" t="s">
        <v>2526</v>
      </c>
      <c r="I766" t="s">
        <v>2897</v>
      </c>
      <c r="J766" t="s">
        <v>3147</v>
      </c>
      <c r="K766">
        <v>10463</v>
      </c>
      <c r="L766" t="s">
        <v>3185</v>
      </c>
      <c r="M766" t="s">
        <v>3189</v>
      </c>
      <c r="N766" t="s">
        <v>3186</v>
      </c>
      <c r="Q766" t="s">
        <v>3636</v>
      </c>
      <c r="T766" t="s">
        <v>3660</v>
      </c>
      <c r="U766" t="s">
        <v>3184</v>
      </c>
      <c r="W766" t="s">
        <v>3670</v>
      </c>
      <c r="Y766">
        <v>1200</v>
      </c>
      <c r="Z766" t="s">
        <v>3690</v>
      </c>
      <c r="AA766" t="s">
        <v>3700</v>
      </c>
      <c r="AC766" t="s">
        <v>4412</v>
      </c>
      <c r="AE766" t="s">
        <v>5506</v>
      </c>
      <c r="AF766">
        <v>0</v>
      </c>
      <c r="AG766" t="s">
        <v>5823</v>
      </c>
      <c r="AI766">
        <v>24</v>
      </c>
      <c r="AJ766">
        <v>2</v>
      </c>
      <c r="AK766">
        <v>0</v>
      </c>
      <c r="AL766">
        <v>1096.89</v>
      </c>
      <c r="AO766" t="s">
        <v>5844</v>
      </c>
      <c r="AP766">
        <v>185484</v>
      </c>
      <c r="AV766">
        <v>0</v>
      </c>
      <c r="AX766" t="s">
        <v>73</v>
      </c>
    </row>
    <row r="767" spans="1:50">
      <c r="A767" s="1">
        <f>HYPERLINK("https://lsnyc.legalserver.org/matter/dynamic-profile/view/1907622","19-1907622")</f>
        <v>0</v>
      </c>
      <c r="B767" t="s">
        <v>74</v>
      </c>
      <c r="C767" t="s">
        <v>191</v>
      </c>
      <c r="D767" t="s">
        <v>206</v>
      </c>
      <c r="F767" t="s">
        <v>965</v>
      </c>
      <c r="G767" t="s">
        <v>1470</v>
      </c>
      <c r="H767" t="s">
        <v>2527</v>
      </c>
      <c r="I767" t="s">
        <v>2927</v>
      </c>
      <c r="J767" t="s">
        <v>3147</v>
      </c>
      <c r="K767">
        <v>10470</v>
      </c>
      <c r="L767" t="s">
        <v>3185</v>
      </c>
      <c r="N767" t="s">
        <v>3186</v>
      </c>
      <c r="P767" t="s">
        <v>3257</v>
      </c>
      <c r="Q767" t="s">
        <v>3634</v>
      </c>
      <c r="T767" t="s">
        <v>3660</v>
      </c>
      <c r="U767" t="s">
        <v>3184</v>
      </c>
      <c r="W767" t="s">
        <v>3670</v>
      </c>
      <c r="Y767">
        <v>0</v>
      </c>
      <c r="Z767" t="s">
        <v>3690</v>
      </c>
      <c r="AA767" t="s">
        <v>3697</v>
      </c>
      <c r="AC767" t="s">
        <v>4413</v>
      </c>
      <c r="AF767">
        <v>0</v>
      </c>
      <c r="AI767">
        <v>0</v>
      </c>
      <c r="AJ767">
        <v>1</v>
      </c>
      <c r="AK767">
        <v>0</v>
      </c>
      <c r="AL767">
        <v>0</v>
      </c>
      <c r="AO767" t="s">
        <v>5843</v>
      </c>
      <c r="AP767">
        <v>0</v>
      </c>
      <c r="AV767">
        <v>0.2</v>
      </c>
      <c r="AW767" t="s">
        <v>206</v>
      </c>
      <c r="AX767" t="s">
        <v>74</v>
      </c>
    </row>
    <row r="768" spans="1:50">
      <c r="A768" s="1">
        <f>HYPERLINK("https://lsnyc.legalserver.org/matter/dynamic-profile/view/1895220","19-1895220")</f>
        <v>0</v>
      </c>
      <c r="B768" t="s">
        <v>129</v>
      </c>
      <c r="C768" t="s">
        <v>192</v>
      </c>
      <c r="D768" t="s">
        <v>248</v>
      </c>
      <c r="E768" t="s">
        <v>216</v>
      </c>
      <c r="F768" t="s">
        <v>470</v>
      </c>
      <c r="G768" t="s">
        <v>1728</v>
      </c>
      <c r="H768" t="s">
        <v>2528</v>
      </c>
      <c r="I768" t="s">
        <v>2901</v>
      </c>
      <c r="J768" t="s">
        <v>3148</v>
      </c>
      <c r="K768">
        <v>11233</v>
      </c>
      <c r="L768" t="s">
        <v>3184</v>
      </c>
      <c r="N768" t="s">
        <v>3184</v>
      </c>
      <c r="O768" t="s">
        <v>3188</v>
      </c>
      <c r="P768" t="s">
        <v>3611</v>
      </c>
      <c r="Q768" t="s">
        <v>3635</v>
      </c>
      <c r="R768" t="s">
        <v>3645</v>
      </c>
      <c r="T768" t="s">
        <v>3660</v>
      </c>
      <c r="U768" t="s">
        <v>3184</v>
      </c>
      <c r="W768" t="s">
        <v>3672</v>
      </c>
      <c r="X768" t="s">
        <v>3681</v>
      </c>
      <c r="Y768">
        <v>957.15</v>
      </c>
      <c r="Z768" t="s">
        <v>3691</v>
      </c>
      <c r="AA768" t="s">
        <v>3696</v>
      </c>
      <c r="AB768" t="s">
        <v>3715</v>
      </c>
      <c r="AC768" t="s">
        <v>4414</v>
      </c>
      <c r="AD768" t="s">
        <v>4844</v>
      </c>
      <c r="AE768" t="s">
        <v>5507</v>
      </c>
      <c r="AF768">
        <v>15</v>
      </c>
      <c r="AG768" t="s">
        <v>3263</v>
      </c>
      <c r="AH768" t="s">
        <v>3188</v>
      </c>
      <c r="AI768">
        <v>25</v>
      </c>
      <c r="AJ768">
        <v>1</v>
      </c>
      <c r="AK768">
        <v>0</v>
      </c>
      <c r="AL768">
        <v>70.62</v>
      </c>
      <c r="AO768" t="s">
        <v>5843</v>
      </c>
      <c r="AP768">
        <v>8820</v>
      </c>
      <c r="AV768">
        <v>20.75</v>
      </c>
      <c r="AW768" t="s">
        <v>216</v>
      </c>
      <c r="AX768" t="s">
        <v>158</v>
      </c>
    </row>
    <row r="769" spans="1:50">
      <c r="A769" s="1">
        <f>HYPERLINK("https://lsnyc.legalserver.org/matter/dynamic-profile/view/1906734","19-1906734")</f>
        <v>0</v>
      </c>
      <c r="B769" t="s">
        <v>74</v>
      </c>
      <c r="C769" t="s">
        <v>191</v>
      </c>
      <c r="D769" t="s">
        <v>277</v>
      </c>
      <c r="F769" t="s">
        <v>966</v>
      </c>
      <c r="G769" t="s">
        <v>1729</v>
      </c>
      <c r="H769" t="s">
        <v>2529</v>
      </c>
      <c r="I769" t="s">
        <v>3050</v>
      </c>
      <c r="J769" t="s">
        <v>3147</v>
      </c>
      <c r="K769">
        <v>10457</v>
      </c>
      <c r="L769" t="s">
        <v>3185</v>
      </c>
      <c r="M769" t="s">
        <v>3189</v>
      </c>
      <c r="N769" t="s">
        <v>3186</v>
      </c>
      <c r="Q769" t="s">
        <v>3634</v>
      </c>
      <c r="T769" t="s">
        <v>3660</v>
      </c>
      <c r="U769" t="s">
        <v>3185</v>
      </c>
      <c r="W769" t="s">
        <v>3670</v>
      </c>
      <c r="Y769">
        <v>0</v>
      </c>
      <c r="Z769" t="s">
        <v>3690</v>
      </c>
      <c r="AA769" t="s">
        <v>3700</v>
      </c>
      <c r="AC769" t="s">
        <v>4415</v>
      </c>
      <c r="AF769">
        <v>20</v>
      </c>
      <c r="AG769" t="s">
        <v>5812</v>
      </c>
      <c r="AI769">
        <v>17</v>
      </c>
      <c r="AJ769">
        <v>1</v>
      </c>
      <c r="AK769">
        <v>0</v>
      </c>
      <c r="AL769">
        <v>76</v>
      </c>
      <c r="AO769" t="s">
        <v>5843</v>
      </c>
      <c r="AP769">
        <v>9492</v>
      </c>
      <c r="AV769">
        <v>0.3</v>
      </c>
      <c r="AW769" t="s">
        <v>252</v>
      </c>
      <c r="AX769" t="s">
        <v>6019</v>
      </c>
    </row>
    <row r="770" spans="1:50">
      <c r="A770" s="1">
        <f>HYPERLINK("https://lsnyc.legalserver.org/matter/dynamic-profile/view/1906131","19-1906131")</f>
        <v>0</v>
      </c>
      <c r="B770" t="s">
        <v>74</v>
      </c>
      <c r="C770" t="s">
        <v>191</v>
      </c>
      <c r="D770" t="s">
        <v>208</v>
      </c>
      <c r="F770" t="s">
        <v>967</v>
      </c>
      <c r="G770" t="s">
        <v>1730</v>
      </c>
      <c r="H770" t="s">
        <v>2530</v>
      </c>
      <c r="I770" t="s">
        <v>2927</v>
      </c>
      <c r="J770" t="s">
        <v>3147</v>
      </c>
      <c r="K770">
        <v>10452</v>
      </c>
      <c r="L770" t="s">
        <v>3185</v>
      </c>
      <c r="M770" t="s">
        <v>3189</v>
      </c>
      <c r="N770" t="s">
        <v>3186</v>
      </c>
      <c r="P770" t="s">
        <v>3616</v>
      </c>
      <c r="Q770" t="s">
        <v>3636</v>
      </c>
      <c r="T770" t="s">
        <v>3660</v>
      </c>
      <c r="U770" t="s">
        <v>3184</v>
      </c>
      <c r="W770" t="s">
        <v>3670</v>
      </c>
      <c r="Y770">
        <v>1191</v>
      </c>
      <c r="Z770" t="s">
        <v>3690</v>
      </c>
      <c r="AA770" t="s">
        <v>3697</v>
      </c>
      <c r="AC770" t="s">
        <v>4416</v>
      </c>
      <c r="AE770" t="s">
        <v>5508</v>
      </c>
      <c r="AF770">
        <v>0</v>
      </c>
      <c r="AI770">
        <v>20</v>
      </c>
      <c r="AJ770">
        <v>1</v>
      </c>
      <c r="AK770">
        <v>0</v>
      </c>
      <c r="AL770">
        <v>96.08</v>
      </c>
      <c r="AO770" t="s">
        <v>5843</v>
      </c>
      <c r="AP770">
        <v>12000</v>
      </c>
      <c r="AV770">
        <v>0.5</v>
      </c>
      <c r="AW770" t="s">
        <v>208</v>
      </c>
      <c r="AX770" t="s">
        <v>74</v>
      </c>
    </row>
    <row r="771" spans="1:50">
      <c r="A771" s="1">
        <f>HYPERLINK("https://lsnyc.legalserver.org/matter/dynamic-profile/view/1906107","19-1906107")</f>
        <v>0</v>
      </c>
      <c r="B771" t="s">
        <v>74</v>
      </c>
      <c r="C771" t="s">
        <v>191</v>
      </c>
      <c r="D771" t="s">
        <v>208</v>
      </c>
      <c r="F771" t="s">
        <v>716</v>
      </c>
      <c r="G771" t="s">
        <v>1731</v>
      </c>
      <c r="H771" t="s">
        <v>2531</v>
      </c>
      <c r="I771" t="s">
        <v>2926</v>
      </c>
      <c r="J771" t="s">
        <v>3147</v>
      </c>
      <c r="K771">
        <v>10458</v>
      </c>
      <c r="L771" t="s">
        <v>3185</v>
      </c>
      <c r="M771" t="s">
        <v>3189</v>
      </c>
      <c r="N771" t="s">
        <v>3186</v>
      </c>
      <c r="Q771" t="s">
        <v>3635</v>
      </c>
      <c r="T771" t="s">
        <v>3660</v>
      </c>
      <c r="U771" t="s">
        <v>3184</v>
      </c>
      <c r="W771" t="s">
        <v>3670</v>
      </c>
      <c r="Y771">
        <v>1091.27</v>
      </c>
      <c r="Z771" t="s">
        <v>3690</v>
      </c>
      <c r="AA771" t="s">
        <v>3700</v>
      </c>
      <c r="AC771" t="s">
        <v>4417</v>
      </c>
      <c r="AF771">
        <v>50</v>
      </c>
      <c r="AI771">
        <v>0</v>
      </c>
      <c r="AJ771">
        <v>4</v>
      </c>
      <c r="AK771">
        <v>0</v>
      </c>
      <c r="AL771">
        <v>123.5</v>
      </c>
      <c r="AO771" t="s">
        <v>5843</v>
      </c>
      <c r="AP771">
        <v>31800</v>
      </c>
      <c r="AV771">
        <v>0.9</v>
      </c>
      <c r="AW771" t="s">
        <v>208</v>
      </c>
      <c r="AX771" t="s">
        <v>74</v>
      </c>
    </row>
    <row r="772" spans="1:50">
      <c r="A772" s="1">
        <f>HYPERLINK("https://lsnyc.legalserver.org/matter/dynamic-profile/view/1904814","19-1904814")</f>
        <v>0</v>
      </c>
      <c r="B772" t="s">
        <v>74</v>
      </c>
      <c r="C772" t="s">
        <v>191</v>
      </c>
      <c r="D772" t="s">
        <v>245</v>
      </c>
      <c r="F772" t="s">
        <v>620</v>
      </c>
      <c r="G772" t="s">
        <v>1732</v>
      </c>
      <c r="H772" t="s">
        <v>2532</v>
      </c>
      <c r="I772" t="s">
        <v>3051</v>
      </c>
      <c r="J772" t="s">
        <v>3147</v>
      </c>
      <c r="K772">
        <v>10452</v>
      </c>
      <c r="L772" t="s">
        <v>3185</v>
      </c>
      <c r="M772" t="s">
        <v>3189</v>
      </c>
      <c r="N772" t="s">
        <v>3186</v>
      </c>
      <c r="Q772" t="s">
        <v>3634</v>
      </c>
      <c r="T772" t="s">
        <v>3660</v>
      </c>
      <c r="W772" t="s">
        <v>3670</v>
      </c>
      <c r="Y772">
        <v>1350</v>
      </c>
      <c r="Z772" t="s">
        <v>3690</v>
      </c>
      <c r="AC772" t="s">
        <v>4418</v>
      </c>
      <c r="AE772" t="s">
        <v>5509</v>
      </c>
      <c r="AF772">
        <v>139</v>
      </c>
      <c r="AI772">
        <v>12</v>
      </c>
      <c r="AJ772">
        <v>2</v>
      </c>
      <c r="AK772">
        <v>0</v>
      </c>
      <c r="AL772">
        <v>179.49</v>
      </c>
      <c r="AO772" t="s">
        <v>5843</v>
      </c>
      <c r="AP772">
        <v>30352</v>
      </c>
      <c r="AV772">
        <v>2</v>
      </c>
      <c r="AW772" t="s">
        <v>265</v>
      </c>
      <c r="AX772" t="s">
        <v>6012</v>
      </c>
    </row>
    <row r="773" spans="1:50">
      <c r="A773" s="1">
        <f>HYPERLINK("https://lsnyc.legalserver.org/matter/dynamic-profile/view/1898330","19-1898330")</f>
        <v>0</v>
      </c>
      <c r="B773" t="s">
        <v>74</v>
      </c>
      <c r="C773" t="s">
        <v>191</v>
      </c>
      <c r="D773" t="s">
        <v>375</v>
      </c>
      <c r="F773" t="s">
        <v>697</v>
      </c>
      <c r="G773" t="s">
        <v>1733</v>
      </c>
      <c r="H773" t="s">
        <v>2533</v>
      </c>
      <c r="I773" t="s">
        <v>2901</v>
      </c>
      <c r="J773" t="s">
        <v>3147</v>
      </c>
      <c r="K773">
        <v>10467</v>
      </c>
      <c r="L773" t="s">
        <v>3185</v>
      </c>
      <c r="N773" t="s">
        <v>3185</v>
      </c>
      <c r="P773" t="s">
        <v>3616</v>
      </c>
      <c r="Q773" t="s">
        <v>3639</v>
      </c>
      <c r="T773" t="s">
        <v>3660</v>
      </c>
      <c r="U773" t="s">
        <v>3185</v>
      </c>
      <c r="W773" t="s">
        <v>3670</v>
      </c>
      <c r="Y773">
        <v>752</v>
      </c>
      <c r="Z773" t="s">
        <v>3690</v>
      </c>
      <c r="AA773" t="s">
        <v>3700</v>
      </c>
      <c r="AC773" t="s">
        <v>4419</v>
      </c>
      <c r="AE773" t="s">
        <v>5510</v>
      </c>
      <c r="AF773">
        <v>60</v>
      </c>
      <c r="AG773" t="s">
        <v>5813</v>
      </c>
      <c r="AH773" t="s">
        <v>3188</v>
      </c>
      <c r="AI773">
        <v>19</v>
      </c>
      <c r="AJ773">
        <v>1</v>
      </c>
      <c r="AK773">
        <v>0</v>
      </c>
      <c r="AL773">
        <v>340.27</v>
      </c>
      <c r="AO773" t="s">
        <v>5843</v>
      </c>
      <c r="AP773">
        <v>42500</v>
      </c>
      <c r="AV773">
        <v>0</v>
      </c>
      <c r="AX773" t="s">
        <v>6024</v>
      </c>
    </row>
    <row r="774" spans="1:50">
      <c r="A774" s="1">
        <f>HYPERLINK("https://lsnyc.legalserver.org/matter/dynamic-profile/view/1898235","19-1898235")</f>
        <v>0</v>
      </c>
      <c r="B774" t="s">
        <v>74</v>
      </c>
      <c r="C774" t="s">
        <v>191</v>
      </c>
      <c r="D774" t="s">
        <v>375</v>
      </c>
      <c r="F774" t="s">
        <v>697</v>
      </c>
      <c r="G774" t="s">
        <v>1733</v>
      </c>
      <c r="H774" t="s">
        <v>2533</v>
      </c>
      <c r="I774" t="s">
        <v>2901</v>
      </c>
      <c r="J774" t="s">
        <v>3147</v>
      </c>
      <c r="K774">
        <v>10467</v>
      </c>
      <c r="L774" t="s">
        <v>3185</v>
      </c>
      <c r="N774" t="s">
        <v>3185</v>
      </c>
      <c r="P774" t="s">
        <v>3622</v>
      </c>
      <c r="Q774" t="s">
        <v>3635</v>
      </c>
      <c r="T774" t="s">
        <v>3660</v>
      </c>
      <c r="U774" t="s">
        <v>3185</v>
      </c>
      <c r="W774" t="s">
        <v>3670</v>
      </c>
      <c r="Y774">
        <v>752</v>
      </c>
      <c r="Z774" t="s">
        <v>3690</v>
      </c>
      <c r="AA774" t="s">
        <v>3696</v>
      </c>
      <c r="AC774" t="s">
        <v>4419</v>
      </c>
      <c r="AE774" t="s">
        <v>5510</v>
      </c>
      <c r="AF774">
        <v>59</v>
      </c>
      <c r="AG774" t="s">
        <v>5813</v>
      </c>
      <c r="AH774" t="s">
        <v>3188</v>
      </c>
      <c r="AI774">
        <v>19</v>
      </c>
      <c r="AJ774">
        <v>1</v>
      </c>
      <c r="AK774">
        <v>0</v>
      </c>
      <c r="AL774">
        <v>340.27</v>
      </c>
      <c r="AO774" t="s">
        <v>5843</v>
      </c>
      <c r="AP774">
        <v>42500</v>
      </c>
      <c r="AV774">
        <v>0</v>
      </c>
      <c r="AX774" t="s">
        <v>6024</v>
      </c>
    </row>
    <row r="775" spans="1:50">
      <c r="A775" s="1">
        <f>HYPERLINK("https://lsnyc.legalserver.org/matter/dynamic-profile/view/1887832","19-1887832")</f>
        <v>0</v>
      </c>
      <c r="B775" t="s">
        <v>74</v>
      </c>
      <c r="C775" t="s">
        <v>191</v>
      </c>
      <c r="D775" t="s">
        <v>299</v>
      </c>
      <c r="F775" t="s">
        <v>697</v>
      </c>
      <c r="G775" t="s">
        <v>1733</v>
      </c>
      <c r="H775" t="s">
        <v>2533</v>
      </c>
      <c r="I775" t="s">
        <v>2901</v>
      </c>
      <c r="J775" t="s">
        <v>3147</v>
      </c>
      <c r="K775">
        <v>10467</v>
      </c>
      <c r="L775" t="s">
        <v>3185</v>
      </c>
      <c r="N775" t="s">
        <v>3185</v>
      </c>
      <c r="O775" t="s">
        <v>3478</v>
      </c>
      <c r="P775" t="s">
        <v>3612</v>
      </c>
      <c r="Q775" t="s">
        <v>3638</v>
      </c>
      <c r="T775" t="s">
        <v>3660</v>
      </c>
      <c r="U775" t="s">
        <v>3185</v>
      </c>
      <c r="W775" t="s">
        <v>3670</v>
      </c>
      <c r="Y775">
        <v>752</v>
      </c>
      <c r="Z775" t="s">
        <v>3690</v>
      </c>
      <c r="AA775" t="s">
        <v>3694</v>
      </c>
      <c r="AC775" t="s">
        <v>4419</v>
      </c>
      <c r="AE775" t="s">
        <v>5510</v>
      </c>
      <c r="AF775">
        <v>59</v>
      </c>
      <c r="AG775" t="s">
        <v>5813</v>
      </c>
      <c r="AH775" t="s">
        <v>3188</v>
      </c>
      <c r="AI775">
        <v>19</v>
      </c>
      <c r="AJ775">
        <v>1</v>
      </c>
      <c r="AK775">
        <v>0</v>
      </c>
      <c r="AL775">
        <v>350.08</v>
      </c>
      <c r="AO775" t="s">
        <v>5843</v>
      </c>
      <c r="AP775">
        <v>42500</v>
      </c>
      <c r="AV775">
        <v>1.6</v>
      </c>
      <c r="AW775" t="s">
        <v>252</v>
      </c>
      <c r="AX775" t="s">
        <v>75</v>
      </c>
    </row>
    <row r="776" spans="1:50">
      <c r="A776" s="1">
        <f>HYPERLINK("https://lsnyc.legalserver.org/matter/dynamic-profile/view/1904264","19-1904264")</f>
        <v>0</v>
      </c>
      <c r="B776" t="s">
        <v>74</v>
      </c>
      <c r="C776" t="s">
        <v>191</v>
      </c>
      <c r="D776" t="s">
        <v>249</v>
      </c>
      <c r="F776" t="s">
        <v>925</v>
      </c>
      <c r="G776" t="s">
        <v>1716</v>
      </c>
      <c r="H776" t="s">
        <v>2534</v>
      </c>
      <c r="I776" t="s">
        <v>2996</v>
      </c>
      <c r="J776" t="s">
        <v>3147</v>
      </c>
      <c r="K776">
        <v>10452</v>
      </c>
      <c r="L776" t="s">
        <v>3185</v>
      </c>
      <c r="M776" t="s">
        <v>3189</v>
      </c>
      <c r="N776" t="s">
        <v>3186</v>
      </c>
      <c r="T776" t="s">
        <v>3660</v>
      </c>
      <c r="W776" t="s">
        <v>3670</v>
      </c>
      <c r="Y776">
        <v>1096.48</v>
      </c>
      <c r="Z776" t="s">
        <v>3690</v>
      </c>
      <c r="AA776" t="s">
        <v>3701</v>
      </c>
      <c r="AC776" t="s">
        <v>4304</v>
      </c>
      <c r="AE776" t="s">
        <v>5511</v>
      </c>
      <c r="AF776">
        <v>77</v>
      </c>
      <c r="AH776" t="s">
        <v>3188</v>
      </c>
      <c r="AI776">
        <v>15</v>
      </c>
      <c r="AJ776">
        <v>1</v>
      </c>
      <c r="AK776">
        <v>3</v>
      </c>
      <c r="AL776">
        <v>136.31</v>
      </c>
      <c r="AO776" t="s">
        <v>5843</v>
      </c>
      <c r="AP776">
        <v>35100</v>
      </c>
      <c r="AV776">
        <v>2.1</v>
      </c>
      <c r="AW776" t="s">
        <v>208</v>
      </c>
      <c r="AX776" t="s">
        <v>6012</v>
      </c>
    </row>
    <row r="777" spans="1:50">
      <c r="A777" s="1">
        <f>HYPERLINK("https://lsnyc.legalserver.org/matter/dynamic-profile/view/1894172","19-1894172")</f>
        <v>0</v>
      </c>
      <c r="B777" t="s">
        <v>129</v>
      </c>
      <c r="C777" t="s">
        <v>192</v>
      </c>
      <c r="D777" t="s">
        <v>376</v>
      </c>
      <c r="E777" t="s">
        <v>218</v>
      </c>
      <c r="F777" t="s">
        <v>968</v>
      </c>
      <c r="G777" t="s">
        <v>1734</v>
      </c>
      <c r="H777" t="s">
        <v>2535</v>
      </c>
      <c r="I777" t="s">
        <v>3052</v>
      </c>
      <c r="J777" t="s">
        <v>3148</v>
      </c>
      <c r="K777">
        <v>11239</v>
      </c>
      <c r="L777" t="s">
        <v>3184</v>
      </c>
      <c r="N777" t="s">
        <v>3184</v>
      </c>
      <c r="O777" t="s">
        <v>3479</v>
      </c>
      <c r="P777" t="s">
        <v>3610</v>
      </c>
      <c r="Q777" t="s">
        <v>3639</v>
      </c>
      <c r="R777" t="s">
        <v>3645</v>
      </c>
      <c r="T777" t="s">
        <v>3660</v>
      </c>
      <c r="U777" t="s">
        <v>3184</v>
      </c>
      <c r="W777" t="s">
        <v>3672</v>
      </c>
      <c r="Y777">
        <v>1191</v>
      </c>
      <c r="Z777" t="s">
        <v>3691</v>
      </c>
      <c r="AB777" t="s">
        <v>3715</v>
      </c>
      <c r="AC777" t="s">
        <v>4420</v>
      </c>
      <c r="AE777" t="s">
        <v>5512</v>
      </c>
      <c r="AF777">
        <v>1168</v>
      </c>
      <c r="AG777" t="s">
        <v>5813</v>
      </c>
      <c r="AH777" t="s">
        <v>3632</v>
      </c>
      <c r="AI777">
        <v>2</v>
      </c>
      <c r="AJ777">
        <v>1</v>
      </c>
      <c r="AK777">
        <v>0</v>
      </c>
      <c r="AL777">
        <v>384.31</v>
      </c>
      <c r="AO777" t="s">
        <v>5843</v>
      </c>
      <c r="AP777">
        <v>48000</v>
      </c>
      <c r="AV777">
        <v>32</v>
      </c>
      <c r="AW777" t="s">
        <v>218</v>
      </c>
      <c r="AX777" t="s">
        <v>82</v>
      </c>
    </row>
    <row r="778" spans="1:50">
      <c r="A778" s="1">
        <f>HYPERLINK("https://lsnyc.legalserver.org/matter/dynamic-profile/view/1910497","19-1910497")</f>
        <v>0</v>
      </c>
      <c r="B778" t="s">
        <v>129</v>
      </c>
      <c r="C778" t="s">
        <v>191</v>
      </c>
      <c r="D778" t="s">
        <v>199</v>
      </c>
      <c r="F778" t="s">
        <v>969</v>
      </c>
      <c r="G778" t="s">
        <v>1324</v>
      </c>
      <c r="H778" t="s">
        <v>2536</v>
      </c>
      <c r="I778" t="s">
        <v>2830</v>
      </c>
      <c r="J778" t="s">
        <v>3148</v>
      </c>
      <c r="K778">
        <v>11208</v>
      </c>
      <c r="L778" t="s">
        <v>3184</v>
      </c>
      <c r="M778" t="s">
        <v>3188</v>
      </c>
      <c r="N778" t="s">
        <v>3186</v>
      </c>
      <c r="O778" t="s">
        <v>3480</v>
      </c>
      <c r="P778" t="s">
        <v>3610</v>
      </c>
      <c r="T778" t="s">
        <v>3660</v>
      </c>
      <c r="U778" t="s">
        <v>3184</v>
      </c>
      <c r="W778" t="s">
        <v>3672</v>
      </c>
      <c r="X778" t="s">
        <v>3681</v>
      </c>
      <c r="Y778">
        <v>1515</v>
      </c>
      <c r="Z778" t="s">
        <v>3691</v>
      </c>
      <c r="AA778" t="s">
        <v>3696</v>
      </c>
      <c r="AC778" t="s">
        <v>4014</v>
      </c>
      <c r="AD778" t="s">
        <v>4845</v>
      </c>
      <c r="AE778" t="s">
        <v>5513</v>
      </c>
      <c r="AF778">
        <v>6</v>
      </c>
      <c r="AG778" t="s">
        <v>5813</v>
      </c>
      <c r="AH778" t="s">
        <v>5828</v>
      </c>
      <c r="AI778">
        <v>3</v>
      </c>
      <c r="AJ778">
        <v>1</v>
      </c>
      <c r="AK778">
        <v>2</v>
      </c>
      <c r="AL778">
        <v>13.39</v>
      </c>
      <c r="AO778" t="s">
        <v>5843</v>
      </c>
      <c r="AP778">
        <v>2856</v>
      </c>
      <c r="AV778">
        <v>0</v>
      </c>
      <c r="AX778" t="s">
        <v>158</v>
      </c>
    </row>
    <row r="779" spans="1:50">
      <c r="A779" s="1">
        <f>HYPERLINK("https://lsnyc.legalserver.org/matter/dynamic-profile/view/1860718","18-1860718")</f>
        <v>0</v>
      </c>
      <c r="B779" t="s">
        <v>150</v>
      </c>
      <c r="C779" t="s">
        <v>191</v>
      </c>
      <c r="D779" t="s">
        <v>377</v>
      </c>
      <c r="F779" t="s">
        <v>622</v>
      </c>
      <c r="G779" t="s">
        <v>1735</v>
      </c>
      <c r="H779" t="s">
        <v>2537</v>
      </c>
      <c r="I779" t="s">
        <v>3053</v>
      </c>
      <c r="J779" t="s">
        <v>3148</v>
      </c>
      <c r="K779">
        <v>11235</v>
      </c>
      <c r="L779" t="s">
        <v>3184</v>
      </c>
      <c r="N779" t="s">
        <v>3186</v>
      </c>
      <c r="O779" t="s">
        <v>3481</v>
      </c>
      <c r="P779" t="s">
        <v>3610</v>
      </c>
      <c r="Q779" t="s">
        <v>3638</v>
      </c>
      <c r="T779" t="s">
        <v>3660</v>
      </c>
      <c r="U779" t="s">
        <v>3184</v>
      </c>
      <c r="W779" t="s">
        <v>3670</v>
      </c>
      <c r="Y779">
        <v>1500</v>
      </c>
      <c r="Z779" t="s">
        <v>3691</v>
      </c>
      <c r="AA779" t="s">
        <v>3696</v>
      </c>
      <c r="AC779" t="s">
        <v>4421</v>
      </c>
      <c r="AE779" t="s">
        <v>5514</v>
      </c>
      <c r="AF779">
        <v>5</v>
      </c>
      <c r="AG779" t="s">
        <v>5813</v>
      </c>
      <c r="AH779" t="s">
        <v>3188</v>
      </c>
      <c r="AI779">
        <v>2</v>
      </c>
      <c r="AJ779">
        <v>2</v>
      </c>
      <c r="AK779">
        <v>0</v>
      </c>
      <c r="AL779">
        <v>200.49</v>
      </c>
      <c r="AO779" t="s">
        <v>5843</v>
      </c>
      <c r="AP779">
        <v>33000</v>
      </c>
      <c r="AV779">
        <v>22.7</v>
      </c>
      <c r="AW779" t="s">
        <v>270</v>
      </c>
      <c r="AX779" t="s">
        <v>6052</v>
      </c>
    </row>
    <row r="780" spans="1:50">
      <c r="A780" s="1">
        <f>HYPERLINK("https://lsnyc.legalserver.org/matter/dynamic-profile/view/0830965","17-0830965")</f>
        <v>0</v>
      </c>
      <c r="B780" t="s">
        <v>130</v>
      </c>
      <c r="C780" t="s">
        <v>192</v>
      </c>
      <c r="D780" t="s">
        <v>378</v>
      </c>
      <c r="E780" t="s">
        <v>262</v>
      </c>
      <c r="F780" t="s">
        <v>574</v>
      </c>
      <c r="G780" t="s">
        <v>1736</v>
      </c>
      <c r="H780" t="s">
        <v>2538</v>
      </c>
      <c r="I780" t="s">
        <v>3054</v>
      </c>
      <c r="J780" t="s">
        <v>3148</v>
      </c>
      <c r="K780">
        <v>11220</v>
      </c>
      <c r="L780" t="s">
        <v>3184</v>
      </c>
      <c r="N780" t="s">
        <v>3186</v>
      </c>
      <c r="P780" t="s">
        <v>3624</v>
      </c>
      <c r="Q780" t="s">
        <v>3638</v>
      </c>
      <c r="R780" t="s">
        <v>3644</v>
      </c>
      <c r="T780" t="s">
        <v>3660</v>
      </c>
      <c r="V780" t="s">
        <v>3664</v>
      </c>
      <c r="W780" t="s">
        <v>3670</v>
      </c>
      <c r="Y780">
        <v>869.28</v>
      </c>
      <c r="Z780" t="s">
        <v>3691</v>
      </c>
      <c r="AB780" t="s">
        <v>3716</v>
      </c>
      <c r="AC780" t="s">
        <v>4422</v>
      </c>
      <c r="AE780" t="s">
        <v>5515</v>
      </c>
      <c r="AF780">
        <v>0</v>
      </c>
      <c r="AG780" t="s">
        <v>5813</v>
      </c>
      <c r="AI780">
        <v>43</v>
      </c>
      <c r="AJ780">
        <v>1</v>
      </c>
      <c r="AK780">
        <v>0</v>
      </c>
      <c r="AL780">
        <v>0</v>
      </c>
      <c r="AO780" t="s">
        <v>5843</v>
      </c>
      <c r="AP780">
        <v>0</v>
      </c>
      <c r="AV780">
        <v>66</v>
      </c>
      <c r="AW780" t="s">
        <v>286</v>
      </c>
      <c r="AX780" t="s">
        <v>6053</v>
      </c>
    </row>
    <row r="781" spans="1:50">
      <c r="A781" s="1">
        <f>HYPERLINK("https://lsnyc.legalserver.org/matter/dynamic-profile/view/1905313","19-1905313")</f>
        <v>0</v>
      </c>
      <c r="B781" t="s">
        <v>154</v>
      </c>
      <c r="C781" t="s">
        <v>192</v>
      </c>
      <c r="D781" t="s">
        <v>254</v>
      </c>
      <c r="E781" t="s">
        <v>206</v>
      </c>
      <c r="F781" t="s">
        <v>970</v>
      </c>
      <c r="G781" t="s">
        <v>1199</v>
      </c>
      <c r="H781" t="s">
        <v>2539</v>
      </c>
      <c r="I781">
        <v>404</v>
      </c>
      <c r="J781" t="s">
        <v>3147</v>
      </c>
      <c r="K781">
        <v>10460</v>
      </c>
      <c r="L781" t="s">
        <v>3185</v>
      </c>
      <c r="M781" t="s">
        <v>3188</v>
      </c>
      <c r="N781" t="s">
        <v>3186</v>
      </c>
      <c r="O781" t="s">
        <v>3482</v>
      </c>
      <c r="P781" t="s">
        <v>3610</v>
      </c>
      <c r="Q781" t="s">
        <v>3638</v>
      </c>
      <c r="R781" t="s">
        <v>3644</v>
      </c>
      <c r="S781" t="s">
        <v>249</v>
      </c>
      <c r="T781" t="s">
        <v>3660</v>
      </c>
      <c r="U781" t="s">
        <v>3184</v>
      </c>
      <c r="W781" t="s">
        <v>3670</v>
      </c>
      <c r="X781" t="s">
        <v>3684</v>
      </c>
      <c r="Y781">
        <v>1269</v>
      </c>
      <c r="Z781" t="s">
        <v>3690</v>
      </c>
      <c r="AA781" t="s">
        <v>3706</v>
      </c>
      <c r="AB781" t="s">
        <v>3720</v>
      </c>
      <c r="AC781" t="s">
        <v>4423</v>
      </c>
      <c r="AE781" t="s">
        <v>5516</v>
      </c>
      <c r="AF781">
        <v>27</v>
      </c>
      <c r="AG781" t="s">
        <v>5813</v>
      </c>
      <c r="AH781" t="s">
        <v>5827</v>
      </c>
      <c r="AI781">
        <v>13</v>
      </c>
      <c r="AJ781">
        <v>3</v>
      </c>
      <c r="AK781">
        <v>0</v>
      </c>
      <c r="AL781">
        <v>24.19</v>
      </c>
      <c r="AO781" t="s">
        <v>5843</v>
      </c>
      <c r="AP781">
        <v>5160</v>
      </c>
      <c r="AR781" t="s">
        <v>5933</v>
      </c>
      <c r="AS781" t="s">
        <v>5937</v>
      </c>
      <c r="AT781" t="s">
        <v>5946</v>
      </c>
      <c r="AU781" t="s">
        <v>5968</v>
      </c>
      <c r="AV781">
        <v>10.8</v>
      </c>
      <c r="AW781" t="s">
        <v>206</v>
      </c>
      <c r="AX781" t="s">
        <v>83</v>
      </c>
    </row>
    <row r="782" spans="1:50">
      <c r="A782" s="1">
        <f>HYPERLINK("https://lsnyc.legalserver.org/matter/dynamic-profile/view/1908822","19-1908822")</f>
        <v>0</v>
      </c>
      <c r="B782" t="s">
        <v>155</v>
      </c>
      <c r="C782" t="s">
        <v>192</v>
      </c>
      <c r="D782" t="s">
        <v>280</v>
      </c>
      <c r="E782" t="s">
        <v>280</v>
      </c>
      <c r="F782" t="s">
        <v>483</v>
      </c>
      <c r="G782" t="s">
        <v>1737</v>
      </c>
      <c r="H782" t="s">
        <v>2540</v>
      </c>
      <c r="I782">
        <v>2</v>
      </c>
      <c r="J782" t="s">
        <v>3148</v>
      </c>
      <c r="K782">
        <v>11207</v>
      </c>
      <c r="L782" t="s">
        <v>3185</v>
      </c>
      <c r="M782" t="s">
        <v>3189</v>
      </c>
      <c r="N782" t="s">
        <v>3186</v>
      </c>
      <c r="O782" t="s">
        <v>3483</v>
      </c>
      <c r="P782" t="s">
        <v>3621</v>
      </c>
      <c r="Q782" t="s">
        <v>3634</v>
      </c>
      <c r="R782" t="s">
        <v>3642</v>
      </c>
      <c r="T782" t="s">
        <v>3660</v>
      </c>
      <c r="W782" t="s">
        <v>3670</v>
      </c>
      <c r="Y782">
        <v>0</v>
      </c>
      <c r="Z782" t="s">
        <v>3691</v>
      </c>
      <c r="AA782" t="s">
        <v>3698</v>
      </c>
      <c r="AB782" t="s">
        <v>3712</v>
      </c>
      <c r="AC782" t="s">
        <v>4424</v>
      </c>
      <c r="AD782" t="s">
        <v>4846</v>
      </c>
      <c r="AE782" t="s">
        <v>5517</v>
      </c>
      <c r="AF782">
        <v>0</v>
      </c>
      <c r="AI782">
        <v>0</v>
      </c>
      <c r="AJ782">
        <v>1</v>
      </c>
      <c r="AK782">
        <v>0</v>
      </c>
      <c r="AL782">
        <v>80.7</v>
      </c>
      <c r="AO782" t="s">
        <v>5844</v>
      </c>
      <c r="AP782">
        <v>10080</v>
      </c>
      <c r="AV782">
        <v>0.4</v>
      </c>
      <c r="AW782" t="s">
        <v>196</v>
      </c>
      <c r="AX782" t="s">
        <v>6032</v>
      </c>
    </row>
    <row r="783" spans="1:50">
      <c r="A783" s="1">
        <f>HYPERLINK("https://lsnyc.legalserver.org/matter/dynamic-profile/view/1896627","19-1896627")</f>
        <v>0</v>
      </c>
      <c r="B783" t="s">
        <v>156</v>
      </c>
      <c r="C783" t="s">
        <v>191</v>
      </c>
      <c r="D783" t="s">
        <v>239</v>
      </c>
      <c r="F783" t="s">
        <v>971</v>
      </c>
      <c r="G783" t="s">
        <v>1548</v>
      </c>
      <c r="H783" t="s">
        <v>2460</v>
      </c>
      <c r="I783" t="s">
        <v>3055</v>
      </c>
      <c r="J783" t="s">
        <v>3148</v>
      </c>
      <c r="K783">
        <v>11233</v>
      </c>
      <c r="L783" t="s">
        <v>3185</v>
      </c>
      <c r="M783" t="s">
        <v>3189</v>
      </c>
      <c r="N783" t="s">
        <v>3184</v>
      </c>
      <c r="P783" t="s">
        <v>3622</v>
      </c>
      <c r="Q783" t="s">
        <v>3636</v>
      </c>
      <c r="S783" t="s">
        <v>285</v>
      </c>
      <c r="T783" t="s">
        <v>3660</v>
      </c>
      <c r="U783" t="s">
        <v>3185</v>
      </c>
      <c r="W783" t="s">
        <v>3670</v>
      </c>
      <c r="X783" t="s">
        <v>3681</v>
      </c>
      <c r="Y783">
        <v>1056</v>
      </c>
      <c r="Z783" t="s">
        <v>3691</v>
      </c>
      <c r="AC783" t="s">
        <v>4425</v>
      </c>
      <c r="AF783">
        <v>1107</v>
      </c>
      <c r="AG783" t="s">
        <v>5813</v>
      </c>
      <c r="AH783" t="s">
        <v>3188</v>
      </c>
      <c r="AI783">
        <v>9</v>
      </c>
      <c r="AJ783">
        <v>2</v>
      </c>
      <c r="AK783">
        <v>0</v>
      </c>
      <c r="AL783">
        <v>37.21</v>
      </c>
      <c r="AO783" t="s">
        <v>5843</v>
      </c>
      <c r="AP783">
        <v>6292</v>
      </c>
      <c r="AQ783" t="s">
        <v>5912</v>
      </c>
      <c r="AV783">
        <v>0</v>
      </c>
      <c r="AX783" t="s">
        <v>82</v>
      </c>
    </row>
    <row r="784" spans="1:50">
      <c r="A784" s="1">
        <f>HYPERLINK("https://lsnyc.legalserver.org/matter/dynamic-profile/view/1904298","19-1904298")</f>
        <v>0</v>
      </c>
      <c r="B784" t="s">
        <v>156</v>
      </c>
      <c r="C784" t="s">
        <v>191</v>
      </c>
      <c r="D784" t="s">
        <v>193</v>
      </c>
      <c r="F784" t="s">
        <v>855</v>
      </c>
      <c r="G784" t="s">
        <v>1738</v>
      </c>
      <c r="H784" t="s">
        <v>2541</v>
      </c>
      <c r="I784" t="s">
        <v>3056</v>
      </c>
      <c r="J784" t="s">
        <v>3148</v>
      </c>
      <c r="K784">
        <v>11213</v>
      </c>
      <c r="L784" t="s">
        <v>3185</v>
      </c>
      <c r="M784" t="s">
        <v>3189</v>
      </c>
      <c r="N784" t="s">
        <v>3186</v>
      </c>
      <c r="O784" t="s">
        <v>3484</v>
      </c>
      <c r="P784" t="s">
        <v>3613</v>
      </c>
      <c r="Q784" t="s">
        <v>3638</v>
      </c>
      <c r="S784" t="s">
        <v>213</v>
      </c>
      <c r="T784" t="s">
        <v>3660</v>
      </c>
      <c r="U784" t="s">
        <v>3184</v>
      </c>
      <c r="W784" t="s">
        <v>3670</v>
      </c>
      <c r="X784" t="s">
        <v>3681</v>
      </c>
      <c r="Y784">
        <v>300</v>
      </c>
      <c r="Z784" t="s">
        <v>3691</v>
      </c>
      <c r="AA784" t="s">
        <v>3700</v>
      </c>
      <c r="AC784" t="s">
        <v>4426</v>
      </c>
      <c r="AD784" t="s">
        <v>4779</v>
      </c>
      <c r="AE784" t="s">
        <v>5518</v>
      </c>
      <c r="AF784">
        <v>34</v>
      </c>
      <c r="AG784" t="s">
        <v>5811</v>
      </c>
      <c r="AH784" t="s">
        <v>3188</v>
      </c>
      <c r="AI784">
        <v>44</v>
      </c>
      <c r="AJ784">
        <v>1</v>
      </c>
      <c r="AK784">
        <v>0</v>
      </c>
      <c r="AL784">
        <v>86.47</v>
      </c>
      <c r="AO784" t="s">
        <v>5843</v>
      </c>
      <c r="AP784">
        <v>10800</v>
      </c>
      <c r="AV784">
        <v>14.9</v>
      </c>
      <c r="AW784" t="s">
        <v>222</v>
      </c>
      <c r="AX784" t="s">
        <v>158</v>
      </c>
    </row>
    <row r="785" spans="1:50">
      <c r="A785" s="1">
        <f>HYPERLINK("https://lsnyc.legalserver.org/matter/dynamic-profile/view/1907897","19-1907897")</f>
        <v>0</v>
      </c>
      <c r="B785" t="s">
        <v>156</v>
      </c>
      <c r="C785" t="s">
        <v>191</v>
      </c>
      <c r="D785" t="s">
        <v>268</v>
      </c>
      <c r="F785" t="s">
        <v>972</v>
      </c>
      <c r="G785" t="s">
        <v>1739</v>
      </c>
      <c r="H785" t="s">
        <v>2542</v>
      </c>
      <c r="I785" t="s">
        <v>2823</v>
      </c>
      <c r="J785" t="s">
        <v>3148</v>
      </c>
      <c r="K785">
        <v>11233</v>
      </c>
      <c r="L785" t="s">
        <v>3185</v>
      </c>
      <c r="N785" t="s">
        <v>3186</v>
      </c>
      <c r="P785" t="s">
        <v>3622</v>
      </c>
      <c r="Q785" t="s">
        <v>3636</v>
      </c>
      <c r="S785" t="s">
        <v>268</v>
      </c>
      <c r="T785" t="s">
        <v>3660</v>
      </c>
      <c r="U785" t="s">
        <v>3184</v>
      </c>
      <c r="W785" t="s">
        <v>3670</v>
      </c>
      <c r="Y785">
        <v>482.02</v>
      </c>
      <c r="Z785" t="s">
        <v>3691</v>
      </c>
      <c r="AA785" t="s">
        <v>3696</v>
      </c>
      <c r="AC785" t="s">
        <v>4427</v>
      </c>
      <c r="AE785" t="s">
        <v>5519</v>
      </c>
      <c r="AF785">
        <v>8</v>
      </c>
      <c r="AG785" t="s">
        <v>5819</v>
      </c>
      <c r="AI785">
        <v>13</v>
      </c>
      <c r="AJ785">
        <v>2</v>
      </c>
      <c r="AK785">
        <v>2</v>
      </c>
      <c r="AL785">
        <v>166.99</v>
      </c>
      <c r="AO785" t="s">
        <v>5843</v>
      </c>
      <c r="AP785">
        <v>43000</v>
      </c>
      <c r="AV785">
        <v>1.6</v>
      </c>
      <c r="AW785" t="s">
        <v>269</v>
      </c>
      <c r="AX785" t="s">
        <v>156</v>
      </c>
    </row>
    <row r="786" spans="1:50">
      <c r="A786" s="1">
        <f>HYPERLINK("https://lsnyc.legalserver.org/matter/dynamic-profile/view/1910536","19-1910536")</f>
        <v>0</v>
      </c>
      <c r="B786" t="s">
        <v>156</v>
      </c>
      <c r="C786" t="s">
        <v>191</v>
      </c>
      <c r="D786" t="s">
        <v>261</v>
      </c>
      <c r="F786" t="s">
        <v>973</v>
      </c>
      <c r="G786" t="s">
        <v>1740</v>
      </c>
      <c r="H786" t="s">
        <v>2460</v>
      </c>
      <c r="J786" t="s">
        <v>3148</v>
      </c>
      <c r="K786">
        <v>11233</v>
      </c>
      <c r="L786" t="s">
        <v>3185</v>
      </c>
      <c r="M786" t="s">
        <v>3188</v>
      </c>
      <c r="N786" t="s">
        <v>3186</v>
      </c>
      <c r="O786" t="s">
        <v>3485</v>
      </c>
      <c r="P786" t="s">
        <v>3616</v>
      </c>
      <c r="Q786" t="s">
        <v>3639</v>
      </c>
      <c r="S786" t="s">
        <v>3650</v>
      </c>
      <c r="T786" t="s">
        <v>3660</v>
      </c>
      <c r="U786" t="s">
        <v>3185</v>
      </c>
      <c r="W786" t="s">
        <v>3670</v>
      </c>
      <c r="X786" t="s">
        <v>3681</v>
      </c>
      <c r="Y786">
        <v>0</v>
      </c>
      <c r="Z786" t="s">
        <v>3691</v>
      </c>
      <c r="AA786" t="s">
        <v>3704</v>
      </c>
      <c r="AC786" t="s">
        <v>4428</v>
      </c>
      <c r="AD786" t="s">
        <v>3218</v>
      </c>
      <c r="AF786">
        <v>359</v>
      </c>
      <c r="AG786" t="s">
        <v>5813</v>
      </c>
      <c r="AH786" t="s">
        <v>3632</v>
      </c>
      <c r="AI786">
        <v>0</v>
      </c>
      <c r="AJ786">
        <v>4</v>
      </c>
      <c r="AK786">
        <v>0</v>
      </c>
      <c r="AL786">
        <v>0</v>
      </c>
      <c r="AO786" t="s">
        <v>5843</v>
      </c>
      <c r="AP786">
        <v>0</v>
      </c>
      <c r="AQ786" t="s">
        <v>5913</v>
      </c>
      <c r="AV786">
        <v>0</v>
      </c>
      <c r="AX786" t="s">
        <v>158</v>
      </c>
    </row>
    <row r="787" spans="1:50">
      <c r="A787" s="1">
        <f>HYPERLINK("https://lsnyc.legalserver.org/matter/dynamic-profile/view/1909085","19-1909085")</f>
        <v>0</v>
      </c>
      <c r="B787" t="s">
        <v>156</v>
      </c>
      <c r="C787" t="s">
        <v>191</v>
      </c>
      <c r="D787" t="s">
        <v>207</v>
      </c>
      <c r="F787" t="s">
        <v>974</v>
      </c>
      <c r="G787" t="s">
        <v>1741</v>
      </c>
      <c r="H787" t="s">
        <v>2543</v>
      </c>
      <c r="I787" t="s">
        <v>3057</v>
      </c>
      <c r="J787" t="s">
        <v>3148</v>
      </c>
      <c r="K787">
        <v>11233</v>
      </c>
      <c r="L787" t="s">
        <v>3185</v>
      </c>
      <c r="M787" t="s">
        <v>3188</v>
      </c>
      <c r="N787" t="s">
        <v>3186</v>
      </c>
      <c r="O787" t="s">
        <v>3485</v>
      </c>
      <c r="P787" t="s">
        <v>3616</v>
      </c>
      <c r="Q787" t="s">
        <v>3639</v>
      </c>
      <c r="S787" t="s">
        <v>3650</v>
      </c>
      <c r="T787" t="s">
        <v>3660</v>
      </c>
      <c r="U787" t="s">
        <v>3185</v>
      </c>
      <c r="W787" t="s">
        <v>3670</v>
      </c>
      <c r="X787" t="s">
        <v>3681</v>
      </c>
      <c r="Y787">
        <v>840</v>
      </c>
      <c r="Z787" t="s">
        <v>3691</v>
      </c>
      <c r="AA787" t="s">
        <v>3632</v>
      </c>
      <c r="AC787" t="s">
        <v>4429</v>
      </c>
      <c r="AF787">
        <v>1107</v>
      </c>
      <c r="AG787" t="s">
        <v>5813</v>
      </c>
      <c r="AI787">
        <v>20</v>
      </c>
      <c r="AJ787">
        <v>2</v>
      </c>
      <c r="AK787">
        <v>0</v>
      </c>
      <c r="AL787">
        <v>35.48</v>
      </c>
      <c r="AO787" t="s">
        <v>5843</v>
      </c>
      <c r="AP787">
        <v>6000</v>
      </c>
      <c r="AQ787" t="s">
        <v>5914</v>
      </c>
      <c r="AV787">
        <v>0</v>
      </c>
      <c r="AX787" t="s">
        <v>82</v>
      </c>
    </row>
    <row r="788" spans="1:50">
      <c r="A788" s="1">
        <f>HYPERLINK("https://lsnyc.legalserver.org/matter/dynamic-profile/view/1909092","19-1909092")</f>
        <v>0</v>
      </c>
      <c r="B788" t="s">
        <v>156</v>
      </c>
      <c r="C788" t="s">
        <v>191</v>
      </c>
      <c r="D788" t="s">
        <v>207</v>
      </c>
      <c r="F788" t="s">
        <v>922</v>
      </c>
      <c r="G788" t="s">
        <v>1742</v>
      </c>
      <c r="H788" t="s">
        <v>2544</v>
      </c>
      <c r="I788" t="s">
        <v>2976</v>
      </c>
      <c r="J788" t="s">
        <v>3148</v>
      </c>
      <c r="K788">
        <v>11233</v>
      </c>
      <c r="L788" t="s">
        <v>3185</v>
      </c>
      <c r="M788" t="s">
        <v>3188</v>
      </c>
      <c r="N788" t="s">
        <v>3186</v>
      </c>
      <c r="O788" t="s">
        <v>3485</v>
      </c>
      <c r="P788" t="s">
        <v>3616</v>
      </c>
      <c r="Q788" t="s">
        <v>3639</v>
      </c>
      <c r="S788" t="s">
        <v>3650</v>
      </c>
      <c r="T788" t="s">
        <v>3660</v>
      </c>
      <c r="U788" t="s">
        <v>3185</v>
      </c>
      <c r="W788" t="s">
        <v>3670</v>
      </c>
      <c r="X788" t="s">
        <v>3681</v>
      </c>
      <c r="Y788">
        <v>1059</v>
      </c>
      <c r="Z788" t="s">
        <v>3691</v>
      </c>
      <c r="AA788" t="s">
        <v>3632</v>
      </c>
      <c r="AC788" t="s">
        <v>4430</v>
      </c>
      <c r="AF788">
        <v>1107</v>
      </c>
      <c r="AG788" t="s">
        <v>5813</v>
      </c>
      <c r="AH788" t="s">
        <v>3188</v>
      </c>
      <c r="AI788">
        <v>18</v>
      </c>
      <c r="AJ788">
        <v>2</v>
      </c>
      <c r="AK788">
        <v>2</v>
      </c>
      <c r="AL788">
        <v>120.39</v>
      </c>
      <c r="AO788" t="s">
        <v>5843</v>
      </c>
      <c r="AP788">
        <v>31000</v>
      </c>
      <c r="AQ788" t="s">
        <v>5915</v>
      </c>
      <c r="AV788">
        <v>0</v>
      </c>
      <c r="AX788" t="s">
        <v>82</v>
      </c>
    </row>
    <row r="789" spans="1:50">
      <c r="A789" s="1">
        <f>HYPERLINK("https://lsnyc.legalserver.org/matter/dynamic-profile/view/1909089","19-1909089")</f>
        <v>0</v>
      </c>
      <c r="B789" t="s">
        <v>156</v>
      </c>
      <c r="C789" t="s">
        <v>191</v>
      </c>
      <c r="D789" t="s">
        <v>207</v>
      </c>
      <c r="F789" t="s">
        <v>975</v>
      </c>
      <c r="G789" t="s">
        <v>1743</v>
      </c>
      <c r="H789" t="s">
        <v>2460</v>
      </c>
      <c r="I789" t="s">
        <v>3058</v>
      </c>
      <c r="J789" t="s">
        <v>3148</v>
      </c>
      <c r="K789">
        <v>11233</v>
      </c>
      <c r="L789" t="s">
        <v>3185</v>
      </c>
      <c r="M789" t="s">
        <v>3188</v>
      </c>
      <c r="N789" t="s">
        <v>3186</v>
      </c>
      <c r="O789" t="s">
        <v>3485</v>
      </c>
      <c r="P789" t="s">
        <v>3616</v>
      </c>
      <c r="Q789" t="s">
        <v>3639</v>
      </c>
      <c r="S789" t="s">
        <v>3650</v>
      </c>
      <c r="T789" t="s">
        <v>3660</v>
      </c>
      <c r="U789" t="s">
        <v>3185</v>
      </c>
      <c r="W789" t="s">
        <v>3670</v>
      </c>
      <c r="X789" t="s">
        <v>3681</v>
      </c>
      <c r="Y789">
        <v>879</v>
      </c>
      <c r="Z789" t="s">
        <v>3691</v>
      </c>
      <c r="AA789" t="s">
        <v>3632</v>
      </c>
      <c r="AC789" t="s">
        <v>4431</v>
      </c>
      <c r="AF789">
        <v>1107</v>
      </c>
      <c r="AG789" t="s">
        <v>5813</v>
      </c>
      <c r="AH789" t="s">
        <v>3188</v>
      </c>
      <c r="AI789">
        <v>28</v>
      </c>
      <c r="AJ789">
        <v>1</v>
      </c>
      <c r="AK789">
        <v>0</v>
      </c>
      <c r="AL789">
        <v>160.13</v>
      </c>
      <c r="AO789" t="s">
        <v>5843</v>
      </c>
      <c r="AP789">
        <v>20000</v>
      </c>
      <c r="AQ789" t="s">
        <v>5916</v>
      </c>
      <c r="AV789">
        <v>0</v>
      </c>
      <c r="AX789" t="s">
        <v>82</v>
      </c>
    </row>
    <row r="790" spans="1:50">
      <c r="A790" s="1">
        <f>HYPERLINK("https://lsnyc.legalserver.org/matter/dynamic-profile/view/1909087","19-1909087")</f>
        <v>0</v>
      </c>
      <c r="B790" t="s">
        <v>156</v>
      </c>
      <c r="C790" t="s">
        <v>191</v>
      </c>
      <c r="D790" t="s">
        <v>207</v>
      </c>
      <c r="F790" t="s">
        <v>976</v>
      </c>
      <c r="G790" t="s">
        <v>1744</v>
      </c>
      <c r="H790" t="s">
        <v>2544</v>
      </c>
      <c r="I790" t="s">
        <v>2829</v>
      </c>
      <c r="J790" t="s">
        <v>3148</v>
      </c>
      <c r="K790">
        <v>11233</v>
      </c>
      <c r="L790" t="s">
        <v>3185</v>
      </c>
      <c r="M790" t="s">
        <v>3188</v>
      </c>
      <c r="N790" t="s">
        <v>3186</v>
      </c>
      <c r="O790" t="s">
        <v>3485</v>
      </c>
      <c r="P790" t="s">
        <v>3616</v>
      </c>
      <c r="Q790" t="s">
        <v>3639</v>
      </c>
      <c r="S790" t="s">
        <v>3650</v>
      </c>
      <c r="T790" t="s">
        <v>3660</v>
      </c>
      <c r="U790" t="s">
        <v>3185</v>
      </c>
      <c r="W790" t="s">
        <v>3670</v>
      </c>
      <c r="X790" t="s">
        <v>3681</v>
      </c>
      <c r="Y790">
        <v>840.39</v>
      </c>
      <c r="Z790" t="s">
        <v>3691</v>
      </c>
      <c r="AA790" t="s">
        <v>3632</v>
      </c>
      <c r="AC790" t="s">
        <v>4432</v>
      </c>
      <c r="AF790">
        <v>1107</v>
      </c>
      <c r="AG790" t="s">
        <v>5813</v>
      </c>
      <c r="AH790" t="s">
        <v>3188</v>
      </c>
      <c r="AI790">
        <v>8</v>
      </c>
      <c r="AJ790">
        <v>2</v>
      </c>
      <c r="AK790">
        <v>1</v>
      </c>
      <c r="AL790">
        <v>201.59</v>
      </c>
      <c r="AO790" t="s">
        <v>5843</v>
      </c>
      <c r="AP790">
        <v>43000</v>
      </c>
      <c r="AQ790" t="s">
        <v>5917</v>
      </c>
      <c r="AV790">
        <v>0</v>
      </c>
      <c r="AX790" t="s">
        <v>82</v>
      </c>
    </row>
    <row r="791" spans="1:50">
      <c r="A791" s="1">
        <f>HYPERLINK("https://lsnyc.legalserver.org/matter/dynamic-profile/view/1909731","19-1909731")</f>
        <v>0</v>
      </c>
      <c r="B791" t="s">
        <v>156</v>
      </c>
      <c r="C791" t="s">
        <v>191</v>
      </c>
      <c r="D791" t="s">
        <v>252</v>
      </c>
      <c r="F791" t="s">
        <v>977</v>
      </c>
      <c r="G791" t="s">
        <v>1745</v>
      </c>
      <c r="H791" t="s">
        <v>2545</v>
      </c>
      <c r="J791" t="s">
        <v>3148</v>
      </c>
      <c r="K791">
        <v>11213</v>
      </c>
      <c r="L791" t="s">
        <v>3185</v>
      </c>
      <c r="M791" t="s">
        <v>3189</v>
      </c>
      <c r="N791" t="s">
        <v>3186</v>
      </c>
      <c r="O791" t="s">
        <v>3257</v>
      </c>
      <c r="P791" t="s">
        <v>3257</v>
      </c>
      <c r="Q791" t="s">
        <v>3636</v>
      </c>
      <c r="S791" t="s">
        <v>269</v>
      </c>
      <c r="T791" t="s">
        <v>3660</v>
      </c>
      <c r="U791" t="s">
        <v>3184</v>
      </c>
      <c r="W791" t="s">
        <v>3670</v>
      </c>
      <c r="Y791">
        <v>798.41</v>
      </c>
      <c r="Z791" t="s">
        <v>3691</v>
      </c>
      <c r="AA791" t="s">
        <v>3632</v>
      </c>
      <c r="AC791" t="s">
        <v>4433</v>
      </c>
      <c r="AD791" t="s">
        <v>3188</v>
      </c>
      <c r="AE791" t="s">
        <v>5520</v>
      </c>
      <c r="AF791">
        <v>31</v>
      </c>
      <c r="AG791" t="s">
        <v>5813</v>
      </c>
      <c r="AH791" t="s">
        <v>5826</v>
      </c>
      <c r="AI791">
        <v>41</v>
      </c>
      <c r="AJ791">
        <v>2</v>
      </c>
      <c r="AK791">
        <v>0</v>
      </c>
      <c r="AL791">
        <v>146.08</v>
      </c>
      <c r="AO791" t="s">
        <v>5843</v>
      </c>
      <c r="AP791">
        <v>24702</v>
      </c>
      <c r="AV791">
        <v>4.3</v>
      </c>
      <c r="AW791" t="s">
        <v>275</v>
      </c>
      <c r="AX791" t="s">
        <v>82</v>
      </c>
    </row>
    <row r="792" spans="1:50">
      <c r="A792" s="1">
        <f>HYPERLINK("https://lsnyc.legalserver.org/matter/dynamic-profile/view/1905076","19-1905076")</f>
        <v>0</v>
      </c>
      <c r="B792" t="s">
        <v>156</v>
      </c>
      <c r="C792" t="s">
        <v>191</v>
      </c>
      <c r="D792" t="s">
        <v>249</v>
      </c>
      <c r="F792" t="s">
        <v>876</v>
      </c>
      <c r="G792" t="s">
        <v>1746</v>
      </c>
      <c r="H792" t="s">
        <v>2546</v>
      </c>
      <c r="I792" t="s">
        <v>2860</v>
      </c>
      <c r="J792" t="s">
        <v>3148</v>
      </c>
      <c r="K792">
        <v>11221</v>
      </c>
      <c r="L792" t="s">
        <v>3185</v>
      </c>
      <c r="M792" t="s">
        <v>3189</v>
      </c>
      <c r="N792" t="s">
        <v>3186</v>
      </c>
      <c r="O792" t="s">
        <v>3486</v>
      </c>
      <c r="P792" t="s">
        <v>3619</v>
      </c>
      <c r="Q792" t="s">
        <v>3640</v>
      </c>
      <c r="T792" t="s">
        <v>3660</v>
      </c>
      <c r="U792" t="s">
        <v>3185</v>
      </c>
      <c r="W792" t="s">
        <v>3675</v>
      </c>
      <c r="X792" t="s">
        <v>3681</v>
      </c>
      <c r="Y792">
        <v>700</v>
      </c>
      <c r="Z792" t="s">
        <v>3691</v>
      </c>
      <c r="AA792" t="s">
        <v>3700</v>
      </c>
      <c r="AC792" t="s">
        <v>4434</v>
      </c>
      <c r="AD792" t="s">
        <v>3188</v>
      </c>
      <c r="AF792">
        <v>13</v>
      </c>
      <c r="AG792" t="s">
        <v>5813</v>
      </c>
      <c r="AH792" t="s">
        <v>3188</v>
      </c>
      <c r="AI792">
        <v>14</v>
      </c>
      <c r="AJ792">
        <v>2</v>
      </c>
      <c r="AK792">
        <v>2</v>
      </c>
      <c r="AL792">
        <v>427.18</v>
      </c>
      <c r="AO792" t="s">
        <v>5843</v>
      </c>
      <c r="AP792">
        <v>110000</v>
      </c>
      <c r="AQ792" t="s">
        <v>5918</v>
      </c>
      <c r="AV792">
        <v>0.5</v>
      </c>
      <c r="AW792" t="s">
        <v>227</v>
      </c>
      <c r="AX792" t="s">
        <v>158</v>
      </c>
    </row>
    <row r="793" spans="1:50">
      <c r="A793" s="1">
        <f>HYPERLINK("https://lsnyc.legalserver.org/matter/dynamic-profile/view/1901828","19-1901828")</f>
        <v>0</v>
      </c>
      <c r="B793" t="s">
        <v>105</v>
      </c>
      <c r="C793" t="s">
        <v>191</v>
      </c>
      <c r="D793" t="s">
        <v>267</v>
      </c>
      <c r="F793" t="s">
        <v>978</v>
      </c>
      <c r="G793" t="s">
        <v>1747</v>
      </c>
      <c r="H793" t="s">
        <v>2547</v>
      </c>
      <c r="I793" t="s">
        <v>3059</v>
      </c>
      <c r="J793" t="s">
        <v>3148</v>
      </c>
      <c r="K793">
        <v>11225</v>
      </c>
      <c r="L793" t="s">
        <v>3185</v>
      </c>
      <c r="M793" t="s">
        <v>3189</v>
      </c>
      <c r="N793" t="s">
        <v>3186</v>
      </c>
      <c r="P793" t="s">
        <v>3609</v>
      </c>
      <c r="Q793" t="s">
        <v>3635</v>
      </c>
      <c r="S793" t="s">
        <v>285</v>
      </c>
      <c r="T793" t="s">
        <v>3660</v>
      </c>
      <c r="U793" t="s">
        <v>3184</v>
      </c>
      <c r="W793" t="s">
        <v>3670</v>
      </c>
      <c r="Y793">
        <v>0</v>
      </c>
      <c r="Z793" t="s">
        <v>3691</v>
      </c>
      <c r="AC793" t="s">
        <v>4435</v>
      </c>
      <c r="AE793" t="s">
        <v>5521</v>
      </c>
      <c r="AF793">
        <v>21</v>
      </c>
      <c r="AI793">
        <v>0</v>
      </c>
      <c r="AJ793">
        <v>2</v>
      </c>
      <c r="AK793">
        <v>0</v>
      </c>
      <c r="AL793">
        <v>214.67</v>
      </c>
      <c r="AM793" t="s">
        <v>254</v>
      </c>
      <c r="AN793" t="s">
        <v>5839</v>
      </c>
      <c r="AO793" t="s">
        <v>5843</v>
      </c>
      <c r="AP793">
        <v>36300</v>
      </c>
      <c r="AS793" t="s">
        <v>3632</v>
      </c>
      <c r="AT793" t="s">
        <v>5946</v>
      </c>
      <c r="AU793" t="s">
        <v>5969</v>
      </c>
      <c r="AV793">
        <v>4.2</v>
      </c>
      <c r="AW793" t="s">
        <v>249</v>
      </c>
      <c r="AX793" t="s">
        <v>131</v>
      </c>
    </row>
    <row r="794" spans="1:50">
      <c r="A794" s="1">
        <f>HYPERLINK("https://lsnyc.legalserver.org/matter/dynamic-profile/view/1904052","19-1904052")</f>
        <v>0</v>
      </c>
      <c r="B794" t="s">
        <v>105</v>
      </c>
      <c r="C794" t="s">
        <v>191</v>
      </c>
      <c r="D794" t="s">
        <v>223</v>
      </c>
      <c r="F794" t="s">
        <v>941</v>
      </c>
      <c r="G794" t="s">
        <v>1748</v>
      </c>
      <c r="H794" t="s">
        <v>2548</v>
      </c>
      <c r="I794" t="s">
        <v>3060</v>
      </c>
      <c r="J794" t="s">
        <v>3148</v>
      </c>
      <c r="K794">
        <v>11203</v>
      </c>
      <c r="L794" t="s">
        <v>3185</v>
      </c>
      <c r="N794" t="s">
        <v>3186</v>
      </c>
      <c r="P794" t="s">
        <v>3612</v>
      </c>
      <c r="Q794" t="s">
        <v>3638</v>
      </c>
      <c r="S794" t="s">
        <v>223</v>
      </c>
      <c r="T794" t="s">
        <v>3660</v>
      </c>
      <c r="U794" t="s">
        <v>3184</v>
      </c>
      <c r="W794" t="s">
        <v>3670</v>
      </c>
      <c r="Y794">
        <v>0</v>
      </c>
      <c r="Z794" t="s">
        <v>3691</v>
      </c>
      <c r="AA794" t="s">
        <v>3696</v>
      </c>
      <c r="AC794" t="s">
        <v>4436</v>
      </c>
      <c r="AE794" t="s">
        <v>5522</v>
      </c>
      <c r="AF794">
        <v>42</v>
      </c>
      <c r="AG794" t="s">
        <v>5813</v>
      </c>
      <c r="AI794">
        <v>13</v>
      </c>
      <c r="AJ794">
        <v>2</v>
      </c>
      <c r="AK794">
        <v>0</v>
      </c>
      <c r="AL794">
        <v>225.03</v>
      </c>
      <c r="AM794" t="s">
        <v>193</v>
      </c>
      <c r="AN794" t="s">
        <v>5839</v>
      </c>
      <c r="AO794" t="s">
        <v>5843</v>
      </c>
      <c r="AP794">
        <v>38052</v>
      </c>
      <c r="AV794">
        <v>25.5</v>
      </c>
      <c r="AW794" t="s">
        <v>280</v>
      </c>
      <c r="AX794" t="s">
        <v>61</v>
      </c>
    </row>
    <row r="795" spans="1:50">
      <c r="A795" s="1">
        <f>HYPERLINK("https://lsnyc.legalserver.org/matter/dynamic-profile/view/1907662","19-1907662")</f>
        <v>0</v>
      </c>
      <c r="B795" t="s">
        <v>105</v>
      </c>
      <c r="C795" t="s">
        <v>191</v>
      </c>
      <c r="D795" t="s">
        <v>246</v>
      </c>
      <c r="F795" t="s">
        <v>713</v>
      </c>
      <c r="G795" t="s">
        <v>1749</v>
      </c>
      <c r="H795" t="s">
        <v>2549</v>
      </c>
      <c r="I795" t="s">
        <v>3061</v>
      </c>
      <c r="J795" t="s">
        <v>3148</v>
      </c>
      <c r="K795">
        <v>11238</v>
      </c>
      <c r="L795" t="s">
        <v>3185</v>
      </c>
      <c r="N795" t="s">
        <v>3186</v>
      </c>
      <c r="P795" t="s">
        <v>3622</v>
      </c>
      <c r="Q795" t="s">
        <v>3635</v>
      </c>
      <c r="S795" t="s">
        <v>246</v>
      </c>
      <c r="T795" t="s">
        <v>3660</v>
      </c>
      <c r="U795" t="s">
        <v>3184</v>
      </c>
      <c r="W795" t="s">
        <v>3670</v>
      </c>
      <c r="Y795">
        <v>0</v>
      </c>
      <c r="Z795" t="s">
        <v>3691</v>
      </c>
      <c r="AC795" t="s">
        <v>4437</v>
      </c>
      <c r="AE795" t="s">
        <v>5523</v>
      </c>
      <c r="AF795">
        <v>29</v>
      </c>
      <c r="AI795">
        <v>0</v>
      </c>
      <c r="AJ795">
        <v>2</v>
      </c>
      <c r="AK795">
        <v>0</v>
      </c>
      <c r="AL795">
        <v>53.22</v>
      </c>
      <c r="AO795" t="s">
        <v>5843</v>
      </c>
      <c r="AP795">
        <v>9000</v>
      </c>
      <c r="AV795">
        <v>5</v>
      </c>
      <c r="AW795" t="s">
        <v>197</v>
      </c>
      <c r="AX795" t="s">
        <v>131</v>
      </c>
    </row>
    <row r="796" spans="1:50">
      <c r="A796" s="1">
        <f>HYPERLINK("https://lsnyc.legalserver.org/matter/dynamic-profile/view/1877280","18-1877280")</f>
        <v>0</v>
      </c>
      <c r="B796" t="s">
        <v>157</v>
      </c>
      <c r="C796" t="s">
        <v>192</v>
      </c>
      <c r="D796" t="s">
        <v>379</v>
      </c>
      <c r="E796" t="s">
        <v>200</v>
      </c>
      <c r="F796" t="s">
        <v>979</v>
      </c>
      <c r="G796" t="s">
        <v>762</v>
      </c>
      <c r="H796" t="s">
        <v>2550</v>
      </c>
      <c r="I796" t="s">
        <v>2849</v>
      </c>
      <c r="J796" t="s">
        <v>3148</v>
      </c>
      <c r="K796">
        <v>11207</v>
      </c>
      <c r="L796" t="s">
        <v>3184</v>
      </c>
      <c r="N796" t="s">
        <v>3186</v>
      </c>
      <c r="P796" t="s">
        <v>3257</v>
      </c>
      <c r="Q796" t="s">
        <v>3636</v>
      </c>
      <c r="R796" t="s">
        <v>3642</v>
      </c>
      <c r="T796" t="s">
        <v>3660</v>
      </c>
      <c r="U796" t="s">
        <v>3184</v>
      </c>
      <c r="W796" t="s">
        <v>3670</v>
      </c>
      <c r="Y796">
        <v>1050.19</v>
      </c>
      <c r="Z796" t="s">
        <v>3691</v>
      </c>
      <c r="AA796" t="s">
        <v>3697</v>
      </c>
      <c r="AB796" t="s">
        <v>3712</v>
      </c>
      <c r="AC796" t="s">
        <v>4438</v>
      </c>
      <c r="AE796" t="s">
        <v>5524</v>
      </c>
      <c r="AF796">
        <v>66</v>
      </c>
      <c r="AG796" t="s">
        <v>5813</v>
      </c>
      <c r="AH796" t="s">
        <v>5827</v>
      </c>
      <c r="AI796">
        <v>14</v>
      </c>
      <c r="AJ796">
        <v>1</v>
      </c>
      <c r="AK796">
        <v>0</v>
      </c>
      <c r="AL796">
        <v>98.84999999999999</v>
      </c>
      <c r="AO796" t="s">
        <v>5843</v>
      </c>
      <c r="AP796">
        <v>12000</v>
      </c>
      <c r="AQ796" t="s">
        <v>5919</v>
      </c>
      <c r="AV796">
        <v>1.7</v>
      </c>
      <c r="AW796" t="s">
        <v>319</v>
      </c>
      <c r="AX796" t="s">
        <v>158</v>
      </c>
    </row>
    <row r="797" spans="1:50">
      <c r="A797" s="1">
        <f>HYPERLINK("https://lsnyc.legalserver.org/matter/dynamic-profile/view/1909640","19-1909640")</f>
        <v>0</v>
      </c>
      <c r="B797" t="s">
        <v>105</v>
      </c>
      <c r="C797" t="s">
        <v>191</v>
      </c>
      <c r="D797" t="s">
        <v>269</v>
      </c>
      <c r="F797" t="s">
        <v>571</v>
      </c>
      <c r="G797" t="s">
        <v>573</v>
      </c>
      <c r="H797" t="s">
        <v>2551</v>
      </c>
      <c r="I797" t="s">
        <v>3062</v>
      </c>
      <c r="J797" t="s">
        <v>3148</v>
      </c>
      <c r="K797">
        <v>11210</v>
      </c>
      <c r="L797" t="s">
        <v>3185</v>
      </c>
      <c r="M797" t="s">
        <v>3189</v>
      </c>
      <c r="N797" t="s">
        <v>3186</v>
      </c>
      <c r="O797" t="s">
        <v>3487</v>
      </c>
      <c r="P797" t="s">
        <v>3613</v>
      </c>
      <c r="Q797" t="s">
        <v>3636</v>
      </c>
      <c r="S797" t="s">
        <v>269</v>
      </c>
      <c r="T797" t="s">
        <v>3660</v>
      </c>
      <c r="U797" t="s">
        <v>3184</v>
      </c>
      <c r="W797" t="s">
        <v>3670</v>
      </c>
      <c r="X797" t="s">
        <v>3681</v>
      </c>
      <c r="Y797">
        <v>1004.5</v>
      </c>
      <c r="Z797" t="s">
        <v>3691</v>
      </c>
      <c r="AA797" t="s">
        <v>3701</v>
      </c>
      <c r="AC797" t="s">
        <v>4439</v>
      </c>
      <c r="AF797">
        <v>4</v>
      </c>
      <c r="AG797" t="s">
        <v>5814</v>
      </c>
      <c r="AH797" t="s">
        <v>3188</v>
      </c>
      <c r="AI797">
        <v>5</v>
      </c>
      <c r="AJ797">
        <v>2</v>
      </c>
      <c r="AK797">
        <v>3</v>
      </c>
      <c r="AL797">
        <v>106.07</v>
      </c>
      <c r="AO797" t="s">
        <v>5847</v>
      </c>
      <c r="AP797">
        <v>32000</v>
      </c>
      <c r="AR797" t="s">
        <v>5931</v>
      </c>
      <c r="AV797">
        <v>5</v>
      </c>
      <c r="AW797" t="s">
        <v>269</v>
      </c>
      <c r="AX797" t="s">
        <v>105</v>
      </c>
    </row>
    <row r="798" spans="1:50">
      <c r="A798" s="1">
        <f>HYPERLINK("https://lsnyc.legalserver.org/matter/dynamic-profile/view/1910248","19-1910248")</f>
        <v>0</v>
      </c>
      <c r="B798" t="s">
        <v>105</v>
      </c>
      <c r="C798" t="s">
        <v>191</v>
      </c>
      <c r="D798" t="s">
        <v>221</v>
      </c>
      <c r="F798" t="s">
        <v>713</v>
      </c>
      <c r="G798" t="s">
        <v>1749</v>
      </c>
      <c r="H798" t="s">
        <v>2549</v>
      </c>
      <c r="I798" t="s">
        <v>3061</v>
      </c>
      <c r="J798" t="s">
        <v>3148</v>
      </c>
      <c r="K798">
        <v>11238</v>
      </c>
      <c r="L798" t="s">
        <v>3185</v>
      </c>
      <c r="M798" t="s">
        <v>3189</v>
      </c>
      <c r="N798" t="s">
        <v>3186</v>
      </c>
      <c r="P798" t="s">
        <v>3610</v>
      </c>
      <c r="Q798" t="s">
        <v>3638</v>
      </c>
      <c r="S798" t="s">
        <v>221</v>
      </c>
      <c r="T798" t="s">
        <v>3660</v>
      </c>
      <c r="U798" t="s">
        <v>3184</v>
      </c>
      <c r="W798" t="s">
        <v>3670</v>
      </c>
      <c r="Y798">
        <v>0</v>
      </c>
      <c r="Z798" t="s">
        <v>3691</v>
      </c>
      <c r="AC798" t="s">
        <v>4437</v>
      </c>
      <c r="AE798" t="s">
        <v>5523</v>
      </c>
      <c r="AF798">
        <v>0</v>
      </c>
      <c r="AI798">
        <v>0</v>
      </c>
      <c r="AJ798">
        <v>1</v>
      </c>
      <c r="AK798">
        <v>0</v>
      </c>
      <c r="AL798">
        <v>72.06</v>
      </c>
      <c r="AO798" t="s">
        <v>5843</v>
      </c>
      <c r="AP798">
        <v>9000</v>
      </c>
      <c r="AV798">
        <v>0</v>
      </c>
      <c r="AX798" t="s">
        <v>61</v>
      </c>
    </row>
    <row r="799" spans="1:50">
      <c r="A799" s="1">
        <f>HYPERLINK("https://lsnyc.legalserver.org/matter/dynamic-profile/view/1866220","18-1866220")</f>
        <v>0</v>
      </c>
      <c r="B799" t="s">
        <v>157</v>
      </c>
      <c r="C799" t="s">
        <v>192</v>
      </c>
      <c r="D799" t="s">
        <v>380</v>
      </c>
      <c r="E799" t="s">
        <v>265</v>
      </c>
      <c r="F799" t="s">
        <v>980</v>
      </c>
      <c r="G799" t="s">
        <v>1750</v>
      </c>
      <c r="H799" t="s">
        <v>2552</v>
      </c>
      <c r="J799" t="s">
        <v>3148</v>
      </c>
      <c r="K799">
        <v>11207</v>
      </c>
      <c r="L799" t="s">
        <v>3184</v>
      </c>
      <c r="N799" t="s">
        <v>3186</v>
      </c>
      <c r="O799" t="s">
        <v>3257</v>
      </c>
      <c r="P799" t="s">
        <v>3257</v>
      </c>
      <c r="Q799" t="s">
        <v>3634</v>
      </c>
      <c r="R799" t="s">
        <v>3642</v>
      </c>
      <c r="T799" t="s">
        <v>3660</v>
      </c>
      <c r="U799" t="s">
        <v>3662</v>
      </c>
      <c r="W799" t="s">
        <v>3670</v>
      </c>
      <c r="Y799">
        <v>930</v>
      </c>
      <c r="Z799" t="s">
        <v>3691</v>
      </c>
      <c r="AB799" t="s">
        <v>3712</v>
      </c>
      <c r="AC799" t="s">
        <v>4440</v>
      </c>
      <c r="AE799" t="s">
        <v>5525</v>
      </c>
      <c r="AF799">
        <v>7</v>
      </c>
      <c r="AG799" t="s">
        <v>3263</v>
      </c>
      <c r="AH799" t="s">
        <v>3188</v>
      </c>
      <c r="AI799">
        <v>0</v>
      </c>
      <c r="AJ799">
        <v>1</v>
      </c>
      <c r="AK799">
        <v>0</v>
      </c>
      <c r="AL799">
        <v>257</v>
      </c>
      <c r="AO799" t="s">
        <v>5843</v>
      </c>
      <c r="AP799">
        <v>31200</v>
      </c>
      <c r="AV799">
        <v>0.5</v>
      </c>
      <c r="AW799" t="s">
        <v>380</v>
      </c>
      <c r="AX799" t="s">
        <v>6022</v>
      </c>
    </row>
    <row r="800" spans="1:50">
      <c r="A800" s="1">
        <f>HYPERLINK("https://lsnyc.legalserver.org/matter/dynamic-profile/view/1904815","19-1904815")</f>
        <v>0</v>
      </c>
      <c r="B800" t="s">
        <v>75</v>
      </c>
      <c r="C800" t="s">
        <v>192</v>
      </c>
      <c r="D800" t="s">
        <v>245</v>
      </c>
      <c r="E800" t="s">
        <v>216</v>
      </c>
      <c r="F800" t="s">
        <v>981</v>
      </c>
      <c r="G800" t="s">
        <v>1369</v>
      </c>
      <c r="H800" t="s">
        <v>2553</v>
      </c>
      <c r="I800">
        <v>225</v>
      </c>
      <c r="J800" t="s">
        <v>3147</v>
      </c>
      <c r="K800">
        <v>10457</v>
      </c>
      <c r="L800" t="s">
        <v>3185</v>
      </c>
      <c r="M800" t="s">
        <v>3189</v>
      </c>
      <c r="N800" t="s">
        <v>3186</v>
      </c>
      <c r="P800" t="s">
        <v>3257</v>
      </c>
      <c r="Q800" t="s">
        <v>3636</v>
      </c>
      <c r="R800" t="s">
        <v>3642</v>
      </c>
      <c r="T800" t="s">
        <v>3660</v>
      </c>
      <c r="U800" t="s">
        <v>3184</v>
      </c>
      <c r="W800" t="s">
        <v>3670</v>
      </c>
      <c r="Y800">
        <v>222</v>
      </c>
      <c r="Z800" t="s">
        <v>3690</v>
      </c>
      <c r="AB800" t="s">
        <v>3712</v>
      </c>
      <c r="AC800" t="s">
        <v>4441</v>
      </c>
      <c r="AE800" t="s">
        <v>5526</v>
      </c>
      <c r="AF800">
        <v>75</v>
      </c>
      <c r="AG800" t="s">
        <v>5812</v>
      </c>
      <c r="AH800" t="s">
        <v>5827</v>
      </c>
      <c r="AI800">
        <v>40</v>
      </c>
      <c r="AJ800">
        <v>2</v>
      </c>
      <c r="AK800">
        <v>0</v>
      </c>
      <c r="AL800">
        <v>51.8</v>
      </c>
      <c r="AO800" t="s">
        <v>5844</v>
      </c>
      <c r="AP800">
        <v>8760</v>
      </c>
      <c r="AV800">
        <v>1.75</v>
      </c>
      <c r="AW800" t="s">
        <v>265</v>
      </c>
      <c r="AX800" t="s">
        <v>6015</v>
      </c>
    </row>
    <row r="801" spans="1:50">
      <c r="A801" s="1">
        <f>HYPERLINK("https://lsnyc.legalserver.org/matter/dynamic-profile/view/1908112","19-1908112")</f>
        <v>0</v>
      </c>
      <c r="B801" t="s">
        <v>75</v>
      </c>
      <c r="C801" t="s">
        <v>192</v>
      </c>
      <c r="D801" t="s">
        <v>251</v>
      </c>
      <c r="E801" t="s">
        <v>231</v>
      </c>
      <c r="F801" t="s">
        <v>938</v>
      </c>
      <c r="G801" t="s">
        <v>1751</v>
      </c>
      <c r="H801" t="s">
        <v>2554</v>
      </c>
      <c r="I801" t="s">
        <v>2860</v>
      </c>
      <c r="J801" t="s">
        <v>3147</v>
      </c>
      <c r="K801">
        <v>10463</v>
      </c>
      <c r="L801" t="s">
        <v>3185</v>
      </c>
      <c r="M801" t="s">
        <v>3189</v>
      </c>
      <c r="N801" t="s">
        <v>3186</v>
      </c>
      <c r="P801" t="s">
        <v>3257</v>
      </c>
      <c r="Q801" t="s">
        <v>3636</v>
      </c>
      <c r="R801" t="s">
        <v>3643</v>
      </c>
      <c r="T801" t="s">
        <v>3660</v>
      </c>
      <c r="W801" t="s">
        <v>3670</v>
      </c>
      <c r="Y801">
        <v>884.9400000000001</v>
      </c>
      <c r="Z801" t="s">
        <v>3690</v>
      </c>
      <c r="AB801" t="s">
        <v>3712</v>
      </c>
      <c r="AE801" t="s">
        <v>5527</v>
      </c>
      <c r="AF801">
        <v>0</v>
      </c>
      <c r="AH801" t="s">
        <v>3188</v>
      </c>
      <c r="AI801">
        <v>38</v>
      </c>
      <c r="AJ801">
        <v>1</v>
      </c>
      <c r="AK801">
        <v>0</v>
      </c>
      <c r="AL801">
        <v>0</v>
      </c>
      <c r="AO801" t="s">
        <v>5843</v>
      </c>
      <c r="AP801">
        <v>0</v>
      </c>
      <c r="AV801">
        <v>1.75</v>
      </c>
      <c r="AW801" t="s">
        <v>195</v>
      </c>
      <c r="AX801" t="s">
        <v>75</v>
      </c>
    </row>
    <row r="802" spans="1:50">
      <c r="A802" s="1">
        <f>HYPERLINK("https://lsnyc.legalserver.org/matter/dynamic-profile/view/1906843","19-1906843")</f>
        <v>0</v>
      </c>
      <c r="B802" t="s">
        <v>75</v>
      </c>
      <c r="C802" t="s">
        <v>192</v>
      </c>
      <c r="D802" t="s">
        <v>265</v>
      </c>
      <c r="E802" t="s">
        <v>231</v>
      </c>
      <c r="F802" t="s">
        <v>470</v>
      </c>
      <c r="G802" t="s">
        <v>1752</v>
      </c>
      <c r="H802" t="s">
        <v>2555</v>
      </c>
      <c r="I802" t="s">
        <v>2829</v>
      </c>
      <c r="J802" t="s">
        <v>3147</v>
      </c>
      <c r="K802">
        <v>10459</v>
      </c>
      <c r="L802" t="s">
        <v>3185</v>
      </c>
      <c r="M802" t="s">
        <v>3189</v>
      </c>
      <c r="N802" t="s">
        <v>3186</v>
      </c>
      <c r="Q802" t="s">
        <v>3636</v>
      </c>
      <c r="R802" t="s">
        <v>3643</v>
      </c>
      <c r="T802" t="s">
        <v>3660</v>
      </c>
      <c r="U802" t="s">
        <v>3184</v>
      </c>
      <c r="W802" t="s">
        <v>3670</v>
      </c>
      <c r="Y802">
        <v>1750</v>
      </c>
      <c r="Z802" t="s">
        <v>3690</v>
      </c>
      <c r="AA802" t="s">
        <v>3696</v>
      </c>
      <c r="AB802" t="s">
        <v>3712</v>
      </c>
      <c r="AC802" t="s">
        <v>4442</v>
      </c>
      <c r="AE802" t="s">
        <v>5528</v>
      </c>
      <c r="AF802">
        <v>0</v>
      </c>
      <c r="AG802" t="s">
        <v>3263</v>
      </c>
      <c r="AH802" t="s">
        <v>3188</v>
      </c>
      <c r="AI802">
        <v>1</v>
      </c>
      <c r="AJ802">
        <v>2</v>
      </c>
      <c r="AK802">
        <v>0</v>
      </c>
      <c r="AL802">
        <v>0</v>
      </c>
      <c r="AO802" t="s">
        <v>5843</v>
      </c>
      <c r="AP802">
        <v>0</v>
      </c>
      <c r="AV802">
        <v>0.25</v>
      </c>
      <c r="AW802" t="s">
        <v>231</v>
      </c>
      <c r="AX802" t="s">
        <v>75</v>
      </c>
    </row>
    <row r="803" spans="1:50">
      <c r="A803" s="1">
        <f>HYPERLINK("https://lsnyc.legalserver.org/matter/dynamic-profile/view/1909649","19-1909649")</f>
        <v>0</v>
      </c>
      <c r="B803" t="s">
        <v>75</v>
      </c>
      <c r="C803" t="s">
        <v>191</v>
      </c>
      <c r="D803" t="s">
        <v>269</v>
      </c>
      <c r="F803" t="s">
        <v>478</v>
      </c>
      <c r="G803" t="s">
        <v>1753</v>
      </c>
      <c r="H803" t="s">
        <v>2556</v>
      </c>
      <c r="I803">
        <v>45</v>
      </c>
      <c r="J803" t="s">
        <v>3147</v>
      </c>
      <c r="K803">
        <v>10456</v>
      </c>
      <c r="L803" t="s">
        <v>3185</v>
      </c>
      <c r="M803" t="s">
        <v>3189</v>
      </c>
      <c r="N803" t="s">
        <v>3186</v>
      </c>
      <c r="P803" t="s">
        <v>3257</v>
      </c>
      <c r="Q803" t="s">
        <v>3634</v>
      </c>
      <c r="T803" t="s">
        <v>3660</v>
      </c>
      <c r="U803" t="s">
        <v>3184</v>
      </c>
      <c r="W803" t="s">
        <v>3670</v>
      </c>
      <c r="Y803">
        <v>0</v>
      </c>
      <c r="Z803" t="s">
        <v>3690</v>
      </c>
      <c r="AC803" t="s">
        <v>4443</v>
      </c>
      <c r="AE803" t="s">
        <v>5529</v>
      </c>
      <c r="AF803">
        <v>0</v>
      </c>
      <c r="AH803" t="s">
        <v>3188</v>
      </c>
      <c r="AI803">
        <v>30</v>
      </c>
      <c r="AJ803">
        <v>1</v>
      </c>
      <c r="AK803">
        <v>0</v>
      </c>
      <c r="AL803">
        <v>0</v>
      </c>
      <c r="AO803" t="s">
        <v>5844</v>
      </c>
      <c r="AP803">
        <v>0</v>
      </c>
      <c r="AV803">
        <v>0</v>
      </c>
      <c r="AX803" t="s">
        <v>75</v>
      </c>
    </row>
    <row r="804" spans="1:50">
      <c r="A804" s="1">
        <f>HYPERLINK("https://lsnyc.legalserver.org/matter/dynamic-profile/view/1909633","19-1909633")</f>
        <v>0</v>
      </c>
      <c r="B804" t="s">
        <v>75</v>
      </c>
      <c r="C804" t="s">
        <v>191</v>
      </c>
      <c r="D804" t="s">
        <v>269</v>
      </c>
      <c r="F804" t="s">
        <v>982</v>
      </c>
      <c r="G804" t="s">
        <v>1754</v>
      </c>
      <c r="H804" t="s">
        <v>2557</v>
      </c>
      <c r="I804" t="s">
        <v>2829</v>
      </c>
      <c r="J804" t="s">
        <v>3147</v>
      </c>
      <c r="K804">
        <v>10452</v>
      </c>
      <c r="L804" t="s">
        <v>3185</v>
      </c>
      <c r="M804" t="s">
        <v>3189</v>
      </c>
      <c r="N804" t="s">
        <v>3186</v>
      </c>
      <c r="P804" t="s">
        <v>3257</v>
      </c>
      <c r="Q804" t="s">
        <v>3634</v>
      </c>
      <c r="T804" t="s">
        <v>3660</v>
      </c>
      <c r="U804" t="s">
        <v>3184</v>
      </c>
      <c r="W804" t="s">
        <v>3670</v>
      </c>
      <c r="Y804">
        <v>100</v>
      </c>
      <c r="Z804" t="s">
        <v>3690</v>
      </c>
      <c r="AA804" t="s">
        <v>3700</v>
      </c>
      <c r="AC804" t="s">
        <v>4444</v>
      </c>
      <c r="AE804" t="s">
        <v>5530</v>
      </c>
      <c r="AF804">
        <v>27</v>
      </c>
      <c r="AH804" t="s">
        <v>5827</v>
      </c>
      <c r="AI804">
        <v>25</v>
      </c>
      <c r="AJ804">
        <v>1</v>
      </c>
      <c r="AK804">
        <v>0</v>
      </c>
      <c r="AL804">
        <v>15.99</v>
      </c>
      <c r="AO804" t="s">
        <v>5843</v>
      </c>
      <c r="AP804">
        <v>1997.28</v>
      </c>
      <c r="AV804">
        <v>1</v>
      </c>
      <c r="AW804" t="s">
        <v>197</v>
      </c>
      <c r="AX804" t="s">
        <v>75</v>
      </c>
    </row>
    <row r="805" spans="1:50">
      <c r="A805" s="1">
        <f>HYPERLINK("https://lsnyc.legalserver.org/matter/dynamic-profile/view/1908834","19-1908834")</f>
        <v>0</v>
      </c>
      <c r="B805" t="s">
        <v>75</v>
      </c>
      <c r="C805" t="s">
        <v>191</v>
      </c>
      <c r="D805" t="s">
        <v>280</v>
      </c>
      <c r="F805" t="s">
        <v>888</v>
      </c>
      <c r="G805" t="s">
        <v>1392</v>
      </c>
      <c r="H805" t="s">
        <v>2558</v>
      </c>
      <c r="I805" t="s">
        <v>2887</v>
      </c>
      <c r="J805" t="s">
        <v>3147</v>
      </c>
      <c r="K805">
        <v>10455</v>
      </c>
      <c r="L805" t="s">
        <v>3185</v>
      </c>
      <c r="M805" t="s">
        <v>3189</v>
      </c>
      <c r="N805" t="s">
        <v>3186</v>
      </c>
      <c r="P805" t="s">
        <v>3257</v>
      </c>
      <c r="Q805" t="s">
        <v>3634</v>
      </c>
      <c r="T805" t="s">
        <v>3660</v>
      </c>
      <c r="U805" t="s">
        <v>3184</v>
      </c>
      <c r="W805" t="s">
        <v>3670</v>
      </c>
      <c r="Y805">
        <v>903</v>
      </c>
      <c r="Z805" t="s">
        <v>3690</v>
      </c>
      <c r="AA805" t="s">
        <v>3695</v>
      </c>
      <c r="AC805" t="s">
        <v>4445</v>
      </c>
      <c r="AE805" t="s">
        <v>5531</v>
      </c>
      <c r="AF805">
        <v>0</v>
      </c>
      <c r="AG805" t="s">
        <v>5812</v>
      </c>
      <c r="AH805" t="s">
        <v>5827</v>
      </c>
      <c r="AI805">
        <v>21</v>
      </c>
      <c r="AJ805">
        <v>1</v>
      </c>
      <c r="AK805">
        <v>0</v>
      </c>
      <c r="AL805">
        <v>17.29</v>
      </c>
      <c r="AO805" t="s">
        <v>5844</v>
      </c>
      <c r="AP805">
        <v>2160</v>
      </c>
      <c r="AV805">
        <v>2.35</v>
      </c>
      <c r="AW805" t="s">
        <v>197</v>
      </c>
      <c r="AX805" t="s">
        <v>6021</v>
      </c>
    </row>
    <row r="806" spans="1:50">
      <c r="A806" s="1">
        <f>HYPERLINK("https://lsnyc.legalserver.org/matter/dynamic-profile/view/1879615","18-1879615")</f>
        <v>0</v>
      </c>
      <c r="B806" t="s">
        <v>157</v>
      </c>
      <c r="C806" t="s">
        <v>191</v>
      </c>
      <c r="D806" t="s">
        <v>381</v>
      </c>
      <c r="F806" t="s">
        <v>983</v>
      </c>
      <c r="G806" t="s">
        <v>1755</v>
      </c>
      <c r="H806" t="s">
        <v>2559</v>
      </c>
      <c r="I806" t="s">
        <v>2944</v>
      </c>
      <c r="J806" t="s">
        <v>3148</v>
      </c>
      <c r="K806">
        <v>11207</v>
      </c>
      <c r="L806" t="s">
        <v>3184</v>
      </c>
      <c r="N806" t="s">
        <v>3184</v>
      </c>
      <c r="O806" t="s">
        <v>3257</v>
      </c>
      <c r="P806" t="s">
        <v>3622</v>
      </c>
      <c r="Q806" t="s">
        <v>3635</v>
      </c>
      <c r="T806" t="s">
        <v>3660</v>
      </c>
      <c r="U806" t="s">
        <v>3185</v>
      </c>
      <c r="W806" t="s">
        <v>3670</v>
      </c>
      <c r="X806" t="s">
        <v>3681</v>
      </c>
      <c r="Y806">
        <v>1000</v>
      </c>
      <c r="Z806" t="s">
        <v>3691</v>
      </c>
      <c r="AA806" t="s">
        <v>3696</v>
      </c>
      <c r="AC806" t="s">
        <v>4446</v>
      </c>
      <c r="AD806" t="s">
        <v>4779</v>
      </c>
      <c r="AE806" t="s">
        <v>5532</v>
      </c>
      <c r="AF806">
        <v>6</v>
      </c>
      <c r="AG806" t="s">
        <v>5813</v>
      </c>
      <c r="AH806" t="s">
        <v>3188</v>
      </c>
      <c r="AI806">
        <v>4</v>
      </c>
      <c r="AJ806">
        <v>1</v>
      </c>
      <c r="AK806">
        <v>3</v>
      </c>
      <c r="AL806">
        <v>82.87</v>
      </c>
      <c r="AO806" t="s">
        <v>5843</v>
      </c>
      <c r="AP806">
        <v>20800</v>
      </c>
      <c r="AV806">
        <v>0</v>
      </c>
      <c r="AX806" t="s">
        <v>158</v>
      </c>
    </row>
    <row r="807" spans="1:50">
      <c r="A807" s="1">
        <f>HYPERLINK("https://lsnyc.legalserver.org/matter/dynamic-profile/view/1908080","19-1908080")</f>
        <v>0</v>
      </c>
      <c r="B807" t="s">
        <v>75</v>
      </c>
      <c r="C807" t="s">
        <v>191</v>
      </c>
      <c r="D807" t="s">
        <v>251</v>
      </c>
      <c r="F807" t="s">
        <v>740</v>
      </c>
      <c r="G807" t="s">
        <v>1756</v>
      </c>
      <c r="H807" t="s">
        <v>2560</v>
      </c>
      <c r="I807" t="s">
        <v>2928</v>
      </c>
      <c r="J807" t="s">
        <v>3147</v>
      </c>
      <c r="K807">
        <v>10452</v>
      </c>
      <c r="L807" t="s">
        <v>3185</v>
      </c>
      <c r="M807" t="s">
        <v>3189</v>
      </c>
      <c r="N807" t="s">
        <v>3186</v>
      </c>
      <c r="P807" t="s">
        <v>3610</v>
      </c>
      <c r="Q807" t="s">
        <v>3634</v>
      </c>
      <c r="T807" t="s">
        <v>3660</v>
      </c>
      <c r="U807" t="s">
        <v>3184</v>
      </c>
      <c r="W807" t="s">
        <v>3670</v>
      </c>
      <c r="X807" t="s">
        <v>3681</v>
      </c>
      <c r="Y807">
        <v>687.8</v>
      </c>
      <c r="Z807" t="s">
        <v>3690</v>
      </c>
      <c r="AA807" t="s">
        <v>3700</v>
      </c>
      <c r="AC807" t="s">
        <v>4447</v>
      </c>
      <c r="AE807" t="s">
        <v>5533</v>
      </c>
      <c r="AF807">
        <v>0</v>
      </c>
      <c r="AG807" t="s">
        <v>5813</v>
      </c>
      <c r="AH807" t="s">
        <v>3188</v>
      </c>
      <c r="AI807">
        <v>5</v>
      </c>
      <c r="AJ807">
        <v>2</v>
      </c>
      <c r="AK807">
        <v>0</v>
      </c>
      <c r="AL807">
        <v>28.39</v>
      </c>
      <c r="AO807" t="s">
        <v>5843</v>
      </c>
      <c r="AP807">
        <v>4800</v>
      </c>
      <c r="AV807">
        <v>3</v>
      </c>
      <c r="AW807" t="s">
        <v>207</v>
      </c>
      <c r="AX807" t="s">
        <v>75</v>
      </c>
    </row>
    <row r="808" spans="1:50">
      <c r="A808" s="1">
        <f>HYPERLINK("https://lsnyc.legalserver.org/matter/dynamic-profile/view/1908074","19-1908074")</f>
        <v>0</v>
      </c>
      <c r="B808" t="s">
        <v>75</v>
      </c>
      <c r="C808" t="s">
        <v>191</v>
      </c>
      <c r="D808" t="s">
        <v>251</v>
      </c>
      <c r="F808" t="s">
        <v>697</v>
      </c>
      <c r="G808" t="s">
        <v>1757</v>
      </c>
      <c r="H808" t="s">
        <v>2045</v>
      </c>
      <c r="I808" t="s">
        <v>3063</v>
      </c>
      <c r="J808" t="s">
        <v>3147</v>
      </c>
      <c r="K808">
        <v>10452</v>
      </c>
      <c r="L808" t="s">
        <v>3185</v>
      </c>
      <c r="M808" t="s">
        <v>3189</v>
      </c>
      <c r="N808" t="s">
        <v>3186</v>
      </c>
      <c r="Q808" t="s">
        <v>3634</v>
      </c>
      <c r="T808" t="s">
        <v>3660</v>
      </c>
      <c r="U808" t="s">
        <v>3184</v>
      </c>
      <c r="W808" t="s">
        <v>3670</v>
      </c>
      <c r="Y808">
        <v>1750</v>
      </c>
      <c r="Z808" t="s">
        <v>3690</v>
      </c>
      <c r="AA808" t="s">
        <v>3696</v>
      </c>
      <c r="AC808" t="s">
        <v>4448</v>
      </c>
      <c r="AE808" t="s">
        <v>5534</v>
      </c>
      <c r="AF808">
        <v>0</v>
      </c>
      <c r="AG808" t="s">
        <v>5813</v>
      </c>
      <c r="AH808" t="s">
        <v>5828</v>
      </c>
      <c r="AI808">
        <v>7</v>
      </c>
      <c r="AJ808">
        <v>1</v>
      </c>
      <c r="AK808">
        <v>3</v>
      </c>
      <c r="AL808">
        <v>50.49</v>
      </c>
      <c r="AO808" t="s">
        <v>5843</v>
      </c>
      <c r="AP808">
        <v>13000</v>
      </c>
      <c r="AV808">
        <v>5.85</v>
      </c>
      <c r="AW808" t="s">
        <v>243</v>
      </c>
      <c r="AX808" t="s">
        <v>75</v>
      </c>
    </row>
    <row r="809" spans="1:50">
      <c r="A809" s="1">
        <f>HYPERLINK("https://lsnyc.legalserver.org/matter/dynamic-profile/view/1908086","19-1908086")</f>
        <v>0</v>
      </c>
      <c r="B809" t="s">
        <v>75</v>
      </c>
      <c r="C809" t="s">
        <v>191</v>
      </c>
      <c r="D809" t="s">
        <v>251</v>
      </c>
      <c r="F809" t="s">
        <v>984</v>
      </c>
      <c r="G809" t="s">
        <v>1624</v>
      </c>
      <c r="H809" t="s">
        <v>2561</v>
      </c>
      <c r="I809" t="s">
        <v>2839</v>
      </c>
      <c r="J809" t="s">
        <v>3147</v>
      </c>
      <c r="K809">
        <v>10459</v>
      </c>
      <c r="L809" t="s">
        <v>3185</v>
      </c>
      <c r="M809" t="s">
        <v>3189</v>
      </c>
      <c r="N809" t="s">
        <v>3186</v>
      </c>
      <c r="Q809" t="s">
        <v>3636</v>
      </c>
      <c r="T809" t="s">
        <v>3660</v>
      </c>
      <c r="U809" t="s">
        <v>3184</v>
      </c>
      <c r="W809" t="s">
        <v>3670</v>
      </c>
      <c r="Y809">
        <v>1200</v>
      </c>
      <c r="Z809" t="s">
        <v>3690</v>
      </c>
      <c r="AC809" t="s">
        <v>4449</v>
      </c>
      <c r="AE809" t="s">
        <v>5535</v>
      </c>
      <c r="AF809">
        <v>0</v>
      </c>
      <c r="AI809">
        <v>11</v>
      </c>
      <c r="AJ809">
        <v>1</v>
      </c>
      <c r="AK809">
        <v>0</v>
      </c>
      <c r="AL809">
        <v>74.08</v>
      </c>
      <c r="AO809" t="s">
        <v>5844</v>
      </c>
      <c r="AP809">
        <v>9252</v>
      </c>
      <c r="AV809">
        <v>2.25</v>
      </c>
      <c r="AW809" t="s">
        <v>195</v>
      </c>
      <c r="AX809" t="s">
        <v>75</v>
      </c>
    </row>
    <row r="810" spans="1:50">
      <c r="A810" s="1">
        <f>HYPERLINK("https://lsnyc.legalserver.org/matter/dynamic-profile/view/1908730","19-1908730")</f>
        <v>0</v>
      </c>
      <c r="B810" t="s">
        <v>75</v>
      </c>
      <c r="C810" t="s">
        <v>191</v>
      </c>
      <c r="D810" t="s">
        <v>244</v>
      </c>
      <c r="F810" t="s">
        <v>985</v>
      </c>
      <c r="G810" t="s">
        <v>1203</v>
      </c>
      <c r="H810" t="s">
        <v>2562</v>
      </c>
      <c r="I810">
        <v>22</v>
      </c>
      <c r="J810" t="s">
        <v>3147</v>
      </c>
      <c r="K810">
        <v>10453</v>
      </c>
      <c r="L810" t="s">
        <v>3185</v>
      </c>
      <c r="M810" t="s">
        <v>3189</v>
      </c>
      <c r="N810" t="s">
        <v>3186</v>
      </c>
      <c r="P810" t="s">
        <v>3257</v>
      </c>
      <c r="Q810" t="s">
        <v>3634</v>
      </c>
      <c r="T810" t="s">
        <v>3660</v>
      </c>
      <c r="U810" t="s">
        <v>3184</v>
      </c>
      <c r="W810" t="s">
        <v>3670</v>
      </c>
      <c r="Y810">
        <v>1400</v>
      </c>
      <c r="Z810" t="s">
        <v>3690</v>
      </c>
      <c r="AA810" t="s">
        <v>3696</v>
      </c>
      <c r="AC810" t="s">
        <v>4450</v>
      </c>
      <c r="AE810" t="s">
        <v>5536</v>
      </c>
      <c r="AF810">
        <v>6</v>
      </c>
      <c r="AH810" t="s">
        <v>5828</v>
      </c>
      <c r="AI810">
        <v>8</v>
      </c>
      <c r="AJ810">
        <v>2</v>
      </c>
      <c r="AK810">
        <v>0</v>
      </c>
      <c r="AL810">
        <v>109.07</v>
      </c>
      <c r="AO810" t="s">
        <v>5844</v>
      </c>
      <c r="AP810">
        <v>18444</v>
      </c>
      <c r="AV810">
        <v>4.75</v>
      </c>
      <c r="AW810" t="s">
        <v>252</v>
      </c>
      <c r="AX810" t="s">
        <v>6038</v>
      </c>
    </row>
    <row r="811" spans="1:50">
      <c r="A811" s="1">
        <f>HYPERLINK("https://lsnyc.legalserver.org/matter/dynamic-profile/view/1907608","19-1907608")</f>
        <v>0</v>
      </c>
      <c r="B811" t="s">
        <v>75</v>
      </c>
      <c r="C811" t="s">
        <v>191</v>
      </c>
      <c r="D811" t="s">
        <v>234</v>
      </c>
      <c r="F811" t="s">
        <v>986</v>
      </c>
      <c r="G811" t="s">
        <v>1186</v>
      </c>
      <c r="H811" t="s">
        <v>2071</v>
      </c>
      <c r="I811" t="s">
        <v>2980</v>
      </c>
      <c r="J811" t="s">
        <v>3147</v>
      </c>
      <c r="K811">
        <v>10474</v>
      </c>
      <c r="L811" t="s">
        <v>3185</v>
      </c>
      <c r="M811" t="s">
        <v>3189</v>
      </c>
      <c r="N811" t="s">
        <v>3186</v>
      </c>
      <c r="P811" t="s">
        <v>3612</v>
      </c>
      <c r="Q811" t="s">
        <v>3638</v>
      </c>
      <c r="T811" t="s">
        <v>3660</v>
      </c>
      <c r="U811" t="s">
        <v>3185</v>
      </c>
      <c r="W811" t="s">
        <v>3670</v>
      </c>
      <c r="Y811">
        <v>1650</v>
      </c>
      <c r="Z811" t="s">
        <v>3690</v>
      </c>
      <c r="AC811" t="s">
        <v>4451</v>
      </c>
      <c r="AE811" t="s">
        <v>5537</v>
      </c>
      <c r="AF811">
        <v>40</v>
      </c>
      <c r="AH811" t="s">
        <v>3188</v>
      </c>
      <c r="AI811">
        <v>3</v>
      </c>
      <c r="AJ811">
        <v>1</v>
      </c>
      <c r="AK811">
        <v>2</v>
      </c>
      <c r="AL811">
        <v>199.66</v>
      </c>
      <c r="AO811" t="s">
        <v>5843</v>
      </c>
      <c r="AP811">
        <v>42588</v>
      </c>
      <c r="AV811">
        <v>0</v>
      </c>
      <c r="AX811" t="s">
        <v>75</v>
      </c>
    </row>
    <row r="812" spans="1:50">
      <c r="A812" s="1">
        <f>HYPERLINK("https://lsnyc.legalserver.org/matter/dynamic-profile/view/1906257","19-1906257")</f>
        <v>0</v>
      </c>
      <c r="B812" t="s">
        <v>75</v>
      </c>
      <c r="C812" t="s">
        <v>191</v>
      </c>
      <c r="D812" t="s">
        <v>265</v>
      </c>
      <c r="F812" t="s">
        <v>573</v>
      </c>
      <c r="G812" t="s">
        <v>1758</v>
      </c>
      <c r="H812" t="s">
        <v>2563</v>
      </c>
      <c r="I812" t="s">
        <v>3064</v>
      </c>
      <c r="J812" t="s">
        <v>3147</v>
      </c>
      <c r="K812">
        <v>10472</v>
      </c>
      <c r="L812" t="s">
        <v>3185</v>
      </c>
      <c r="M812" t="s">
        <v>3189</v>
      </c>
      <c r="N812" t="s">
        <v>3186</v>
      </c>
      <c r="Q812" t="s">
        <v>3634</v>
      </c>
      <c r="T812" t="s">
        <v>3660</v>
      </c>
      <c r="U812" t="s">
        <v>3184</v>
      </c>
      <c r="W812" t="s">
        <v>3670</v>
      </c>
      <c r="Y812">
        <v>1907</v>
      </c>
      <c r="Z812" t="s">
        <v>3690</v>
      </c>
      <c r="AA812" t="s">
        <v>3700</v>
      </c>
      <c r="AE812" t="s">
        <v>5538</v>
      </c>
      <c r="AF812">
        <v>59</v>
      </c>
      <c r="AG812" t="s">
        <v>5813</v>
      </c>
      <c r="AH812" t="s">
        <v>3188</v>
      </c>
      <c r="AI812">
        <v>7</v>
      </c>
      <c r="AJ812">
        <v>2</v>
      </c>
      <c r="AK812">
        <v>2</v>
      </c>
      <c r="AL812">
        <v>222.14</v>
      </c>
      <c r="AO812" t="s">
        <v>5843</v>
      </c>
      <c r="AP812">
        <v>57200</v>
      </c>
      <c r="AV812">
        <v>1.8</v>
      </c>
      <c r="AW812" t="s">
        <v>234</v>
      </c>
      <c r="AX812" t="s">
        <v>75</v>
      </c>
    </row>
    <row r="813" spans="1:50">
      <c r="A813" s="1">
        <f>HYPERLINK("https://lsnyc.legalserver.org/matter/dynamic-profile/view/1906010","19-1906010")</f>
        <v>0</v>
      </c>
      <c r="B813" t="s">
        <v>157</v>
      </c>
      <c r="C813" t="s">
        <v>191</v>
      </c>
      <c r="D813" t="s">
        <v>200</v>
      </c>
      <c r="F813" t="s">
        <v>478</v>
      </c>
      <c r="G813" t="s">
        <v>1678</v>
      </c>
      <c r="H813" t="s">
        <v>2460</v>
      </c>
      <c r="J813" t="s">
        <v>3148</v>
      </c>
      <c r="K813">
        <v>11233</v>
      </c>
      <c r="L813" t="s">
        <v>3184</v>
      </c>
      <c r="M813" t="s">
        <v>3188</v>
      </c>
      <c r="N813" t="s">
        <v>3186</v>
      </c>
      <c r="O813" t="s">
        <v>3200</v>
      </c>
      <c r="P813" t="s">
        <v>3257</v>
      </c>
      <c r="T813" t="s">
        <v>3660</v>
      </c>
      <c r="U813" t="s">
        <v>3184</v>
      </c>
      <c r="W813" t="s">
        <v>3670</v>
      </c>
      <c r="X813" t="s">
        <v>3681</v>
      </c>
      <c r="Y813">
        <v>0</v>
      </c>
      <c r="Z813" t="s">
        <v>3691</v>
      </c>
      <c r="AA813" t="s">
        <v>3632</v>
      </c>
      <c r="AE813" t="s">
        <v>5432</v>
      </c>
      <c r="AF813">
        <v>1117</v>
      </c>
      <c r="AG813" t="s">
        <v>5813</v>
      </c>
      <c r="AI813">
        <v>1</v>
      </c>
      <c r="AJ813">
        <v>1</v>
      </c>
      <c r="AK813">
        <v>0</v>
      </c>
      <c r="AL813">
        <v>0</v>
      </c>
      <c r="AO813" t="s">
        <v>5843</v>
      </c>
      <c r="AP813">
        <v>0</v>
      </c>
      <c r="AV813">
        <v>0</v>
      </c>
      <c r="AX813" t="s">
        <v>158</v>
      </c>
    </row>
    <row r="814" spans="1:50">
      <c r="A814" s="1">
        <f>HYPERLINK("https://lsnyc.legalserver.org/matter/dynamic-profile/view/1861154","18-1861154")</f>
        <v>0</v>
      </c>
      <c r="B814" t="s">
        <v>157</v>
      </c>
      <c r="C814" t="s">
        <v>191</v>
      </c>
      <c r="D814" t="s">
        <v>382</v>
      </c>
      <c r="F814" t="s">
        <v>507</v>
      </c>
      <c r="G814" t="s">
        <v>1759</v>
      </c>
      <c r="H814" t="s">
        <v>2564</v>
      </c>
      <c r="I814" t="s">
        <v>3065</v>
      </c>
      <c r="J814" t="s">
        <v>3148</v>
      </c>
      <c r="K814">
        <v>11212</v>
      </c>
      <c r="L814" t="s">
        <v>3184</v>
      </c>
      <c r="N814" t="s">
        <v>3186</v>
      </c>
      <c r="O814" t="s">
        <v>3257</v>
      </c>
      <c r="T814" t="s">
        <v>3660</v>
      </c>
      <c r="W814" t="s">
        <v>3670</v>
      </c>
      <c r="Y814">
        <v>48</v>
      </c>
      <c r="Z814" t="s">
        <v>3691</v>
      </c>
      <c r="AA814" t="s">
        <v>3697</v>
      </c>
      <c r="AC814" t="s">
        <v>4452</v>
      </c>
      <c r="AE814" t="s">
        <v>5539</v>
      </c>
      <c r="AF814">
        <v>43</v>
      </c>
      <c r="AG814" t="s">
        <v>5813</v>
      </c>
      <c r="AH814" t="s">
        <v>5827</v>
      </c>
      <c r="AI814">
        <v>9</v>
      </c>
      <c r="AJ814">
        <v>1</v>
      </c>
      <c r="AK814">
        <v>0</v>
      </c>
      <c r="AL814">
        <v>76.11</v>
      </c>
      <c r="AO814" t="s">
        <v>5844</v>
      </c>
      <c r="AP814">
        <v>9240</v>
      </c>
      <c r="AV814">
        <v>1.75</v>
      </c>
      <c r="AW814" t="s">
        <v>5995</v>
      </c>
      <c r="AX814" t="s">
        <v>6022</v>
      </c>
    </row>
    <row r="815" spans="1:50">
      <c r="A815" s="1">
        <f>HYPERLINK("https://lsnyc.legalserver.org/matter/dynamic-profile/view/1895292","19-1895292")</f>
        <v>0</v>
      </c>
      <c r="B815" t="s">
        <v>157</v>
      </c>
      <c r="C815" t="s">
        <v>191</v>
      </c>
      <c r="D815" t="s">
        <v>284</v>
      </c>
      <c r="F815" t="s">
        <v>791</v>
      </c>
      <c r="G815" t="s">
        <v>1760</v>
      </c>
      <c r="H815" t="s">
        <v>2088</v>
      </c>
      <c r="I815" t="s">
        <v>2819</v>
      </c>
      <c r="J815" t="s">
        <v>3148</v>
      </c>
      <c r="K815">
        <v>11212</v>
      </c>
      <c r="L815" t="s">
        <v>3184</v>
      </c>
      <c r="N815" t="s">
        <v>3184</v>
      </c>
      <c r="P815" t="s">
        <v>3619</v>
      </c>
      <c r="T815" t="s">
        <v>3660</v>
      </c>
      <c r="U815" t="s">
        <v>3185</v>
      </c>
      <c r="W815" t="s">
        <v>3670</v>
      </c>
      <c r="Y815">
        <v>663</v>
      </c>
      <c r="Z815" t="s">
        <v>3691</v>
      </c>
      <c r="AA815" t="s">
        <v>3632</v>
      </c>
      <c r="AC815" t="s">
        <v>4453</v>
      </c>
      <c r="AD815" t="s">
        <v>3218</v>
      </c>
      <c r="AF815">
        <v>0</v>
      </c>
      <c r="AG815" t="s">
        <v>5813</v>
      </c>
      <c r="AI815">
        <v>25</v>
      </c>
      <c r="AJ815">
        <v>3</v>
      </c>
      <c r="AK815">
        <v>0</v>
      </c>
      <c r="AL815">
        <v>150.02</v>
      </c>
      <c r="AO815" t="s">
        <v>5843</v>
      </c>
      <c r="AP815">
        <v>32000</v>
      </c>
      <c r="AV815">
        <v>14</v>
      </c>
      <c r="AW815" t="s">
        <v>282</v>
      </c>
      <c r="AX815" t="s">
        <v>82</v>
      </c>
    </row>
    <row r="816" spans="1:50">
      <c r="A816" s="1">
        <f>HYPERLINK("https://lsnyc.legalserver.org/matter/dynamic-profile/view/1906127","19-1906127")</f>
        <v>0</v>
      </c>
      <c r="B816" t="s">
        <v>158</v>
      </c>
      <c r="C816" t="s">
        <v>192</v>
      </c>
      <c r="D816" t="s">
        <v>208</v>
      </c>
      <c r="E816" t="s">
        <v>260</v>
      </c>
      <c r="F816" t="s">
        <v>987</v>
      </c>
      <c r="G816" t="s">
        <v>1761</v>
      </c>
      <c r="H816" t="s">
        <v>2565</v>
      </c>
      <c r="I816">
        <v>1</v>
      </c>
      <c r="J816" t="s">
        <v>3148</v>
      </c>
      <c r="K816">
        <v>11233</v>
      </c>
      <c r="L816" t="s">
        <v>3184</v>
      </c>
      <c r="M816" t="s">
        <v>3188</v>
      </c>
      <c r="N816" t="s">
        <v>3186</v>
      </c>
      <c r="O816" t="s">
        <v>3200</v>
      </c>
      <c r="P816" t="s">
        <v>3257</v>
      </c>
      <c r="Q816" t="s">
        <v>3634</v>
      </c>
      <c r="R816" t="s">
        <v>3642</v>
      </c>
      <c r="T816" t="s">
        <v>3660</v>
      </c>
      <c r="U816" t="s">
        <v>3184</v>
      </c>
      <c r="W816" t="s">
        <v>3670</v>
      </c>
      <c r="X816" t="s">
        <v>3681</v>
      </c>
      <c r="Y816">
        <v>1284</v>
      </c>
      <c r="Z816" t="s">
        <v>3691</v>
      </c>
      <c r="AA816" t="s">
        <v>3632</v>
      </c>
      <c r="AB816" t="s">
        <v>3712</v>
      </c>
      <c r="AC816" t="s">
        <v>4454</v>
      </c>
      <c r="AD816" t="s">
        <v>4847</v>
      </c>
      <c r="AF816">
        <v>3</v>
      </c>
      <c r="AG816" t="s">
        <v>5814</v>
      </c>
      <c r="AH816" t="s">
        <v>5825</v>
      </c>
      <c r="AI816">
        <v>1</v>
      </c>
      <c r="AJ816">
        <v>1</v>
      </c>
      <c r="AK816">
        <v>1</v>
      </c>
      <c r="AL816">
        <v>106.52</v>
      </c>
      <c r="AO816" t="s">
        <v>5843</v>
      </c>
      <c r="AP816">
        <v>18012</v>
      </c>
      <c r="AV816">
        <v>0.5</v>
      </c>
      <c r="AW816" t="s">
        <v>208</v>
      </c>
      <c r="AX816" t="s">
        <v>6011</v>
      </c>
    </row>
    <row r="817" spans="1:50">
      <c r="A817" s="1">
        <f>HYPERLINK("https://lsnyc.legalserver.org/matter/dynamic-profile/view/1904333","19-1904333")</f>
        <v>0</v>
      </c>
      <c r="B817" t="s">
        <v>98</v>
      </c>
      <c r="C817" t="s">
        <v>191</v>
      </c>
      <c r="D817" t="s">
        <v>193</v>
      </c>
      <c r="F817" t="s">
        <v>988</v>
      </c>
      <c r="G817" t="s">
        <v>1762</v>
      </c>
      <c r="H817" t="s">
        <v>2566</v>
      </c>
      <c r="I817">
        <v>55</v>
      </c>
      <c r="J817" t="s">
        <v>3146</v>
      </c>
      <c r="K817">
        <v>10034</v>
      </c>
      <c r="L817" t="s">
        <v>3185</v>
      </c>
      <c r="M817" t="s">
        <v>3189</v>
      </c>
      <c r="N817" t="s">
        <v>3186</v>
      </c>
      <c r="P817" t="s">
        <v>3615</v>
      </c>
      <c r="Q817" t="s">
        <v>3637</v>
      </c>
      <c r="S817" t="s">
        <v>193</v>
      </c>
      <c r="T817" t="s">
        <v>3660</v>
      </c>
      <c r="U817" t="s">
        <v>3184</v>
      </c>
      <c r="W817" t="s">
        <v>3670</v>
      </c>
      <c r="Y817">
        <v>1408.53</v>
      </c>
      <c r="Z817" t="s">
        <v>3689</v>
      </c>
      <c r="AA817" t="s">
        <v>3697</v>
      </c>
      <c r="AC817" t="s">
        <v>4455</v>
      </c>
      <c r="AE817" t="s">
        <v>5540</v>
      </c>
      <c r="AF817">
        <v>50</v>
      </c>
      <c r="AG817" t="s">
        <v>5813</v>
      </c>
      <c r="AH817" t="s">
        <v>3188</v>
      </c>
      <c r="AI817">
        <v>14</v>
      </c>
      <c r="AJ817">
        <v>3</v>
      </c>
      <c r="AK817">
        <v>0</v>
      </c>
      <c r="AL817">
        <v>154.71</v>
      </c>
      <c r="AO817" t="s">
        <v>5844</v>
      </c>
      <c r="AP817">
        <v>33000</v>
      </c>
      <c r="AV817">
        <v>0</v>
      </c>
      <c r="AX817" t="s">
        <v>108</v>
      </c>
    </row>
    <row r="818" spans="1:50">
      <c r="A818" s="1">
        <f>HYPERLINK("https://lsnyc.legalserver.org/matter/dynamic-profile/view/1904308","19-1904308")</f>
        <v>0</v>
      </c>
      <c r="B818" t="s">
        <v>98</v>
      </c>
      <c r="C818" t="s">
        <v>191</v>
      </c>
      <c r="D818" t="s">
        <v>193</v>
      </c>
      <c r="F818" t="s">
        <v>989</v>
      </c>
      <c r="G818" t="s">
        <v>1203</v>
      </c>
      <c r="H818" t="s">
        <v>2030</v>
      </c>
      <c r="I818" t="s">
        <v>2816</v>
      </c>
      <c r="J818" t="s">
        <v>3146</v>
      </c>
      <c r="K818">
        <v>10034</v>
      </c>
      <c r="L818" t="s">
        <v>3185</v>
      </c>
      <c r="M818" t="s">
        <v>3189</v>
      </c>
      <c r="N818" t="s">
        <v>3186</v>
      </c>
      <c r="P818" t="s">
        <v>3615</v>
      </c>
      <c r="Q818" t="s">
        <v>3637</v>
      </c>
      <c r="S818" t="s">
        <v>193</v>
      </c>
      <c r="T818" t="s">
        <v>3660</v>
      </c>
      <c r="U818" t="s">
        <v>3184</v>
      </c>
      <c r="W818" t="s">
        <v>3670</v>
      </c>
      <c r="Y818">
        <v>2100</v>
      </c>
      <c r="Z818" t="s">
        <v>3689</v>
      </c>
      <c r="AA818" t="s">
        <v>3697</v>
      </c>
      <c r="AC818" t="s">
        <v>4456</v>
      </c>
      <c r="AF818">
        <v>65</v>
      </c>
      <c r="AG818" t="s">
        <v>5813</v>
      </c>
      <c r="AH818" t="s">
        <v>3188</v>
      </c>
      <c r="AI818">
        <v>8</v>
      </c>
      <c r="AJ818">
        <v>2</v>
      </c>
      <c r="AK818">
        <v>0</v>
      </c>
      <c r="AL818">
        <v>354.82</v>
      </c>
      <c r="AO818" t="s">
        <v>5843</v>
      </c>
      <c r="AP818">
        <v>60000</v>
      </c>
      <c r="AV818">
        <v>0</v>
      </c>
      <c r="AX818" t="s">
        <v>108</v>
      </c>
    </row>
    <row r="819" spans="1:50">
      <c r="A819" s="1">
        <f>HYPERLINK("https://lsnyc.legalserver.org/matter/dynamic-profile/view/1904599","19-1904599")</f>
        <v>0</v>
      </c>
      <c r="B819" t="s">
        <v>98</v>
      </c>
      <c r="C819" t="s">
        <v>191</v>
      </c>
      <c r="D819" t="s">
        <v>233</v>
      </c>
      <c r="F819" t="s">
        <v>483</v>
      </c>
      <c r="G819" t="s">
        <v>1763</v>
      </c>
      <c r="H819" t="s">
        <v>2567</v>
      </c>
      <c r="I819">
        <v>1</v>
      </c>
      <c r="J819" t="s">
        <v>3146</v>
      </c>
      <c r="K819">
        <v>10034</v>
      </c>
      <c r="L819" t="s">
        <v>3185</v>
      </c>
      <c r="M819" t="s">
        <v>3189</v>
      </c>
      <c r="N819" t="s">
        <v>3186</v>
      </c>
      <c r="Q819" t="s">
        <v>3637</v>
      </c>
      <c r="S819" t="s">
        <v>233</v>
      </c>
      <c r="T819" t="s">
        <v>3660</v>
      </c>
      <c r="U819" t="s">
        <v>3185</v>
      </c>
      <c r="W819" t="s">
        <v>3670</v>
      </c>
      <c r="Y819">
        <v>868.24</v>
      </c>
      <c r="Z819" t="s">
        <v>3689</v>
      </c>
      <c r="AA819" t="s">
        <v>3697</v>
      </c>
      <c r="AC819" t="s">
        <v>4457</v>
      </c>
      <c r="AE819" t="s">
        <v>5541</v>
      </c>
      <c r="AF819">
        <v>25</v>
      </c>
      <c r="AG819" t="s">
        <v>5813</v>
      </c>
      <c r="AI819">
        <v>34</v>
      </c>
      <c r="AJ819">
        <v>2</v>
      </c>
      <c r="AK819">
        <v>0</v>
      </c>
      <c r="AL819">
        <v>110.85</v>
      </c>
      <c r="AO819" t="s">
        <v>5843</v>
      </c>
      <c r="AP819">
        <v>18744</v>
      </c>
      <c r="AV819">
        <v>0.6</v>
      </c>
      <c r="AW819" t="s">
        <v>233</v>
      </c>
      <c r="AX819" t="s">
        <v>108</v>
      </c>
    </row>
    <row r="820" spans="1:50">
      <c r="A820" s="1">
        <f>HYPERLINK("https://lsnyc.legalserver.org/matter/dynamic-profile/view/1904601","19-1904601")</f>
        <v>0</v>
      </c>
      <c r="B820" t="s">
        <v>98</v>
      </c>
      <c r="C820" t="s">
        <v>191</v>
      </c>
      <c r="D820" t="s">
        <v>233</v>
      </c>
      <c r="F820" t="s">
        <v>478</v>
      </c>
      <c r="G820" t="s">
        <v>840</v>
      </c>
      <c r="H820" t="s">
        <v>2567</v>
      </c>
      <c r="I820">
        <v>4</v>
      </c>
      <c r="J820" t="s">
        <v>3146</v>
      </c>
      <c r="K820">
        <v>10034</v>
      </c>
      <c r="L820" t="s">
        <v>3185</v>
      </c>
      <c r="M820" t="s">
        <v>3189</v>
      </c>
      <c r="N820" t="s">
        <v>3186</v>
      </c>
      <c r="Q820" t="s">
        <v>3637</v>
      </c>
      <c r="S820" t="s">
        <v>233</v>
      </c>
      <c r="T820" t="s">
        <v>3660</v>
      </c>
      <c r="U820" t="s">
        <v>3185</v>
      </c>
      <c r="W820" t="s">
        <v>3670</v>
      </c>
      <c r="Y820">
        <v>893</v>
      </c>
      <c r="Z820" t="s">
        <v>3689</v>
      </c>
      <c r="AA820" t="s">
        <v>3697</v>
      </c>
      <c r="AC820" t="s">
        <v>3970</v>
      </c>
      <c r="AE820" t="s">
        <v>5542</v>
      </c>
      <c r="AF820">
        <v>25</v>
      </c>
      <c r="AG820" t="s">
        <v>5813</v>
      </c>
      <c r="AH820" t="s">
        <v>3188</v>
      </c>
      <c r="AI820">
        <v>38</v>
      </c>
      <c r="AJ820">
        <v>1</v>
      </c>
      <c r="AK820">
        <v>0</v>
      </c>
      <c r="AL820">
        <v>352.28</v>
      </c>
      <c r="AO820" t="s">
        <v>5844</v>
      </c>
      <c r="AP820">
        <v>44000</v>
      </c>
      <c r="AV820">
        <v>0.5</v>
      </c>
      <c r="AW820" t="s">
        <v>212</v>
      </c>
      <c r="AX820" t="s">
        <v>108</v>
      </c>
    </row>
    <row r="821" spans="1:50">
      <c r="A821" s="1">
        <f>HYPERLINK("https://lsnyc.legalserver.org/matter/dynamic-profile/view/1904691","19-1904691")</f>
        <v>0</v>
      </c>
      <c r="B821" t="s">
        <v>98</v>
      </c>
      <c r="C821" t="s">
        <v>191</v>
      </c>
      <c r="D821" t="s">
        <v>214</v>
      </c>
      <c r="F821" t="s">
        <v>990</v>
      </c>
      <c r="G821" t="s">
        <v>1221</v>
      </c>
      <c r="H821" t="s">
        <v>2567</v>
      </c>
      <c r="I821">
        <v>5</v>
      </c>
      <c r="J821" t="s">
        <v>3146</v>
      </c>
      <c r="K821">
        <v>10034</v>
      </c>
      <c r="L821" t="s">
        <v>3185</v>
      </c>
      <c r="M821" t="s">
        <v>3189</v>
      </c>
      <c r="N821" t="s">
        <v>3186</v>
      </c>
      <c r="Q821" t="s">
        <v>3637</v>
      </c>
      <c r="S821" t="s">
        <v>214</v>
      </c>
      <c r="T821" t="s">
        <v>3660</v>
      </c>
      <c r="U821" t="s">
        <v>3185</v>
      </c>
      <c r="W821" t="s">
        <v>3670</v>
      </c>
      <c r="Y821">
        <v>961.8200000000001</v>
      </c>
      <c r="Z821" t="s">
        <v>3689</v>
      </c>
      <c r="AA821" t="s">
        <v>3697</v>
      </c>
      <c r="AC821" t="s">
        <v>4458</v>
      </c>
      <c r="AF821">
        <v>25</v>
      </c>
      <c r="AG821" t="s">
        <v>5813</v>
      </c>
      <c r="AH821" t="s">
        <v>3188</v>
      </c>
      <c r="AI821">
        <v>30</v>
      </c>
      <c r="AJ821">
        <v>1</v>
      </c>
      <c r="AK821">
        <v>0</v>
      </c>
      <c r="AL821">
        <v>0</v>
      </c>
      <c r="AO821" t="s">
        <v>5843</v>
      </c>
      <c r="AP821">
        <v>0</v>
      </c>
      <c r="AV821">
        <v>0</v>
      </c>
      <c r="AX821" t="s">
        <v>108</v>
      </c>
    </row>
    <row r="822" spans="1:50">
      <c r="A822" s="1">
        <f>HYPERLINK("https://lsnyc.legalserver.org/matter/dynamic-profile/view/1904716","19-1904716")</f>
        <v>0</v>
      </c>
      <c r="B822" t="s">
        <v>98</v>
      </c>
      <c r="C822" t="s">
        <v>191</v>
      </c>
      <c r="D822" t="s">
        <v>214</v>
      </c>
      <c r="F822" t="s">
        <v>645</v>
      </c>
      <c r="G822" t="s">
        <v>1764</v>
      </c>
      <c r="H822" t="s">
        <v>2567</v>
      </c>
      <c r="I822">
        <v>41</v>
      </c>
      <c r="J822" t="s">
        <v>3146</v>
      </c>
      <c r="K822">
        <v>10034</v>
      </c>
      <c r="L822" t="s">
        <v>3185</v>
      </c>
      <c r="M822" t="s">
        <v>3189</v>
      </c>
      <c r="N822" t="s">
        <v>3186</v>
      </c>
      <c r="Q822" t="s">
        <v>3637</v>
      </c>
      <c r="S822" t="s">
        <v>214</v>
      </c>
      <c r="T822" t="s">
        <v>3660</v>
      </c>
      <c r="U822" t="s">
        <v>3185</v>
      </c>
      <c r="W822" t="s">
        <v>3670</v>
      </c>
      <c r="Y822">
        <v>910</v>
      </c>
      <c r="Z822" t="s">
        <v>3689</v>
      </c>
      <c r="AA822" t="s">
        <v>3697</v>
      </c>
      <c r="AC822" t="s">
        <v>4459</v>
      </c>
      <c r="AF822">
        <v>25</v>
      </c>
      <c r="AG822" t="s">
        <v>5813</v>
      </c>
      <c r="AH822" t="s">
        <v>5825</v>
      </c>
      <c r="AI822">
        <v>40</v>
      </c>
      <c r="AJ822">
        <v>6</v>
      </c>
      <c r="AK822">
        <v>0</v>
      </c>
      <c r="AL822">
        <v>0</v>
      </c>
      <c r="AO822" t="s">
        <v>5843</v>
      </c>
      <c r="AP822">
        <v>0</v>
      </c>
      <c r="AV822">
        <v>0</v>
      </c>
      <c r="AX822" t="s">
        <v>108</v>
      </c>
    </row>
    <row r="823" spans="1:50">
      <c r="A823" s="1">
        <f>HYPERLINK("https://lsnyc.legalserver.org/matter/dynamic-profile/view/1904701","19-1904701")</f>
        <v>0</v>
      </c>
      <c r="B823" t="s">
        <v>98</v>
      </c>
      <c r="C823" t="s">
        <v>191</v>
      </c>
      <c r="D823" t="s">
        <v>214</v>
      </c>
      <c r="F823" t="s">
        <v>991</v>
      </c>
      <c r="G823" t="s">
        <v>1203</v>
      </c>
      <c r="H823" t="s">
        <v>2567</v>
      </c>
      <c r="I823">
        <v>34</v>
      </c>
      <c r="J823" t="s">
        <v>3146</v>
      </c>
      <c r="K823">
        <v>10034</v>
      </c>
      <c r="L823" t="s">
        <v>3185</v>
      </c>
      <c r="M823" t="s">
        <v>3189</v>
      </c>
      <c r="N823" t="s">
        <v>3186</v>
      </c>
      <c r="Q823" t="s">
        <v>3637</v>
      </c>
      <c r="S823" t="s">
        <v>214</v>
      </c>
      <c r="T823" t="s">
        <v>3660</v>
      </c>
      <c r="U823" t="s">
        <v>3185</v>
      </c>
      <c r="W823" t="s">
        <v>3670</v>
      </c>
      <c r="Y823">
        <v>812.02</v>
      </c>
      <c r="Z823" t="s">
        <v>3689</v>
      </c>
      <c r="AA823" t="s">
        <v>3697</v>
      </c>
      <c r="AC823" t="s">
        <v>4460</v>
      </c>
      <c r="AE823" t="s">
        <v>5543</v>
      </c>
      <c r="AF823">
        <v>25</v>
      </c>
      <c r="AG823" t="s">
        <v>5813</v>
      </c>
      <c r="AH823" t="s">
        <v>5826</v>
      </c>
      <c r="AI823">
        <v>38</v>
      </c>
      <c r="AJ823">
        <v>1</v>
      </c>
      <c r="AK823">
        <v>0</v>
      </c>
      <c r="AL823">
        <v>64.05</v>
      </c>
      <c r="AO823" t="s">
        <v>5843</v>
      </c>
      <c r="AP823">
        <v>8000</v>
      </c>
      <c r="AV823">
        <v>1.5</v>
      </c>
      <c r="AW823" t="s">
        <v>227</v>
      </c>
      <c r="AX823" t="s">
        <v>108</v>
      </c>
    </row>
    <row r="824" spans="1:50">
      <c r="A824" s="1">
        <f>HYPERLINK("https://lsnyc.legalserver.org/matter/dynamic-profile/view/1904693","19-1904693")</f>
        <v>0</v>
      </c>
      <c r="B824" t="s">
        <v>98</v>
      </c>
      <c r="C824" t="s">
        <v>191</v>
      </c>
      <c r="D824" t="s">
        <v>214</v>
      </c>
      <c r="F824" t="s">
        <v>824</v>
      </c>
      <c r="G824" t="s">
        <v>1765</v>
      </c>
      <c r="H824" t="s">
        <v>2567</v>
      </c>
      <c r="I824">
        <v>31</v>
      </c>
      <c r="J824" t="s">
        <v>3146</v>
      </c>
      <c r="K824">
        <v>10034</v>
      </c>
      <c r="L824" t="s">
        <v>3185</v>
      </c>
      <c r="M824" t="s">
        <v>3189</v>
      </c>
      <c r="N824" t="s">
        <v>3186</v>
      </c>
      <c r="Q824" t="s">
        <v>3637</v>
      </c>
      <c r="S824" t="s">
        <v>214</v>
      </c>
      <c r="T824" t="s">
        <v>3660</v>
      </c>
      <c r="U824" t="s">
        <v>3185</v>
      </c>
      <c r="W824" t="s">
        <v>3670</v>
      </c>
      <c r="Y824">
        <v>997</v>
      </c>
      <c r="Z824" t="s">
        <v>3689</v>
      </c>
      <c r="AA824" t="s">
        <v>3697</v>
      </c>
      <c r="AC824" t="s">
        <v>4461</v>
      </c>
      <c r="AF824">
        <v>25</v>
      </c>
      <c r="AG824" t="s">
        <v>5813</v>
      </c>
      <c r="AH824" t="s">
        <v>3188</v>
      </c>
      <c r="AI824">
        <v>5</v>
      </c>
      <c r="AJ824">
        <v>3</v>
      </c>
      <c r="AK824">
        <v>2</v>
      </c>
      <c r="AL824">
        <v>77.56</v>
      </c>
      <c r="AO824" t="s">
        <v>5844</v>
      </c>
      <c r="AP824">
        <v>23400</v>
      </c>
      <c r="AV824">
        <v>0</v>
      </c>
      <c r="AX824" t="s">
        <v>108</v>
      </c>
    </row>
    <row r="825" spans="1:50">
      <c r="A825" s="1">
        <f>HYPERLINK("https://lsnyc.legalserver.org/matter/dynamic-profile/view/1904712","19-1904712")</f>
        <v>0</v>
      </c>
      <c r="B825" t="s">
        <v>98</v>
      </c>
      <c r="C825" t="s">
        <v>191</v>
      </c>
      <c r="D825" t="s">
        <v>214</v>
      </c>
      <c r="F825" t="s">
        <v>443</v>
      </c>
      <c r="G825" t="s">
        <v>1309</v>
      </c>
      <c r="H825" t="s">
        <v>2567</v>
      </c>
      <c r="I825">
        <v>44</v>
      </c>
      <c r="J825" t="s">
        <v>3146</v>
      </c>
      <c r="K825">
        <v>10034</v>
      </c>
      <c r="L825" t="s">
        <v>3185</v>
      </c>
      <c r="M825" t="s">
        <v>3189</v>
      </c>
      <c r="N825" t="s">
        <v>3186</v>
      </c>
      <c r="Q825" t="s">
        <v>3637</v>
      </c>
      <c r="S825" t="s">
        <v>214</v>
      </c>
      <c r="T825" t="s">
        <v>3660</v>
      </c>
      <c r="U825" t="s">
        <v>3185</v>
      </c>
      <c r="W825" t="s">
        <v>3670</v>
      </c>
      <c r="Y825">
        <v>1180.21</v>
      </c>
      <c r="Z825" t="s">
        <v>3689</v>
      </c>
      <c r="AA825" t="s">
        <v>3697</v>
      </c>
      <c r="AC825" t="s">
        <v>4462</v>
      </c>
      <c r="AF825">
        <v>25</v>
      </c>
      <c r="AG825" t="s">
        <v>5813</v>
      </c>
      <c r="AH825" t="s">
        <v>3188</v>
      </c>
      <c r="AI825">
        <v>14</v>
      </c>
      <c r="AJ825">
        <v>2</v>
      </c>
      <c r="AK825">
        <v>3</v>
      </c>
      <c r="AL825">
        <v>96.12</v>
      </c>
      <c r="AO825" t="s">
        <v>5844</v>
      </c>
      <c r="AP825">
        <v>29000</v>
      </c>
      <c r="AV825">
        <v>0</v>
      </c>
      <c r="AX825" t="s">
        <v>108</v>
      </c>
    </row>
    <row r="826" spans="1:50">
      <c r="A826" s="1">
        <f>HYPERLINK("https://lsnyc.legalserver.org/matter/dynamic-profile/view/1906232","19-1906232")</f>
        <v>0</v>
      </c>
      <c r="B826" t="s">
        <v>98</v>
      </c>
      <c r="C826" t="s">
        <v>191</v>
      </c>
      <c r="D826" t="s">
        <v>219</v>
      </c>
      <c r="F826" t="s">
        <v>992</v>
      </c>
      <c r="G826" t="s">
        <v>1766</v>
      </c>
      <c r="H826" t="s">
        <v>2568</v>
      </c>
      <c r="I826" t="s">
        <v>2992</v>
      </c>
      <c r="J826" t="s">
        <v>3146</v>
      </c>
      <c r="K826">
        <v>10040</v>
      </c>
      <c r="L826" t="s">
        <v>3185</v>
      </c>
      <c r="M826" t="s">
        <v>3189</v>
      </c>
      <c r="N826" t="s">
        <v>3186</v>
      </c>
      <c r="Q826" t="s">
        <v>3637</v>
      </c>
      <c r="S826" t="s">
        <v>219</v>
      </c>
      <c r="T826" t="s">
        <v>3660</v>
      </c>
      <c r="U826" t="s">
        <v>3184</v>
      </c>
      <c r="W826" t="s">
        <v>3670</v>
      </c>
      <c r="Y826">
        <v>1372.65</v>
      </c>
      <c r="Z826" t="s">
        <v>3689</v>
      </c>
      <c r="AA826" t="s">
        <v>3697</v>
      </c>
      <c r="AC826" t="s">
        <v>4463</v>
      </c>
      <c r="AF826">
        <v>75</v>
      </c>
      <c r="AG826" t="s">
        <v>5813</v>
      </c>
      <c r="AH826" t="s">
        <v>3188</v>
      </c>
      <c r="AI826">
        <v>11</v>
      </c>
      <c r="AJ826">
        <v>1</v>
      </c>
      <c r="AK826">
        <v>0</v>
      </c>
      <c r="AL826">
        <v>72.63</v>
      </c>
      <c r="AO826" t="s">
        <v>5843</v>
      </c>
      <c r="AP826">
        <v>9072</v>
      </c>
      <c r="AV826">
        <v>0</v>
      </c>
      <c r="AX826" t="s">
        <v>108</v>
      </c>
    </row>
    <row r="827" spans="1:50">
      <c r="A827" s="1">
        <f>HYPERLINK("https://lsnyc.legalserver.org/matter/dynamic-profile/view/1906222","19-1906222")</f>
        <v>0</v>
      </c>
      <c r="B827" t="s">
        <v>98</v>
      </c>
      <c r="C827" t="s">
        <v>191</v>
      </c>
      <c r="D827" t="s">
        <v>219</v>
      </c>
      <c r="F827" t="s">
        <v>993</v>
      </c>
      <c r="G827" t="s">
        <v>1767</v>
      </c>
      <c r="H827" t="s">
        <v>2569</v>
      </c>
      <c r="I827" t="s">
        <v>3066</v>
      </c>
      <c r="J827" t="s">
        <v>3146</v>
      </c>
      <c r="K827">
        <v>10040</v>
      </c>
      <c r="L827" t="s">
        <v>3185</v>
      </c>
      <c r="M827" t="s">
        <v>3189</v>
      </c>
      <c r="N827" t="s">
        <v>3186</v>
      </c>
      <c r="Q827" t="s">
        <v>3637</v>
      </c>
      <c r="S827" t="s">
        <v>219</v>
      </c>
      <c r="T827" t="s">
        <v>3660</v>
      </c>
      <c r="U827" t="s">
        <v>3184</v>
      </c>
      <c r="W827" t="s">
        <v>3670</v>
      </c>
      <c r="Y827">
        <v>1197</v>
      </c>
      <c r="Z827" t="s">
        <v>3689</v>
      </c>
      <c r="AA827" t="s">
        <v>3697</v>
      </c>
      <c r="AC827" t="s">
        <v>4464</v>
      </c>
      <c r="AE827" t="s">
        <v>5544</v>
      </c>
      <c r="AF827">
        <v>73</v>
      </c>
      <c r="AG827" t="s">
        <v>5813</v>
      </c>
      <c r="AH827" t="s">
        <v>3188</v>
      </c>
      <c r="AI827">
        <v>40</v>
      </c>
      <c r="AJ827">
        <v>1</v>
      </c>
      <c r="AK827">
        <v>0</v>
      </c>
      <c r="AL827">
        <v>115.29</v>
      </c>
      <c r="AO827" t="s">
        <v>5843</v>
      </c>
      <c r="AP827">
        <v>14400</v>
      </c>
      <c r="AV827">
        <v>1</v>
      </c>
      <c r="AW827" t="s">
        <v>286</v>
      </c>
      <c r="AX827" t="s">
        <v>108</v>
      </c>
    </row>
    <row r="828" spans="1:50">
      <c r="A828" s="1">
        <f>HYPERLINK("https://lsnyc.legalserver.org/matter/dynamic-profile/view/1906208","19-1906208")</f>
        <v>0</v>
      </c>
      <c r="B828" t="s">
        <v>98</v>
      </c>
      <c r="C828" t="s">
        <v>191</v>
      </c>
      <c r="D828" t="s">
        <v>219</v>
      </c>
      <c r="F828" t="s">
        <v>710</v>
      </c>
      <c r="G828" t="s">
        <v>1768</v>
      </c>
      <c r="H828" t="s">
        <v>2570</v>
      </c>
      <c r="I828" t="s">
        <v>3067</v>
      </c>
      <c r="J828" t="s">
        <v>3146</v>
      </c>
      <c r="K828">
        <v>10024</v>
      </c>
      <c r="L828" t="s">
        <v>3185</v>
      </c>
      <c r="M828" t="s">
        <v>3189</v>
      </c>
      <c r="N828" t="s">
        <v>3186</v>
      </c>
      <c r="Q828" t="s">
        <v>3634</v>
      </c>
      <c r="S828" t="s">
        <v>219</v>
      </c>
      <c r="T828" t="s">
        <v>3660</v>
      </c>
      <c r="U828" t="s">
        <v>3184</v>
      </c>
      <c r="V828" t="s">
        <v>3666</v>
      </c>
      <c r="W828" t="s">
        <v>3670</v>
      </c>
      <c r="Y828">
        <v>3039.5</v>
      </c>
      <c r="Z828" t="s">
        <v>3689</v>
      </c>
      <c r="AA828" t="s">
        <v>3697</v>
      </c>
      <c r="AC828" t="s">
        <v>4465</v>
      </c>
      <c r="AE828" t="s">
        <v>5545</v>
      </c>
      <c r="AF828">
        <v>249</v>
      </c>
      <c r="AG828" t="s">
        <v>5813</v>
      </c>
      <c r="AH828" t="s">
        <v>3188</v>
      </c>
      <c r="AI828">
        <v>20</v>
      </c>
      <c r="AJ828">
        <v>3</v>
      </c>
      <c r="AK828">
        <v>0</v>
      </c>
      <c r="AL828">
        <v>482.89</v>
      </c>
      <c r="AO828" t="s">
        <v>5843</v>
      </c>
      <c r="AP828">
        <v>103000</v>
      </c>
      <c r="AV828">
        <v>3.5</v>
      </c>
      <c r="AW828" t="s">
        <v>207</v>
      </c>
      <c r="AX828" t="s">
        <v>108</v>
      </c>
    </row>
    <row r="829" spans="1:50">
      <c r="A829" s="1">
        <f>HYPERLINK("https://lsnyc.legalserver.org/matter/dynamic-profile/view/1906006","19-1906006")</f>
        <v>0</v>
      </c>
      <c r="B829" t="s">
        <v>98</v>
      </c>
      <c r="C829" t="s">
        <v>191</v>
      </c>
      <c r="D829" t="s">
        <v>219</v>
      </c>
      <c r="F829" t="s">
        <v>994</v>
      </c>
      <c r="G829" t="s">
        <v>1769</v>
      </c>
      <c r="H829" t="s">
        <v>2571</v>
      </c>
      <c r="I829" t="s">
        <v>2829</v>
      </c>
      <c r="J829" t="s">
        <v>3146</v>
      </c>
      <c r="K829">
        <v>10033</v>
      </c>
      <c r="L829" t="s">
        <v>3185</v>
      </c>
      <c r="M829" t="s">
        <v>3189</v>
      </c>
      <c r="N829" t="s">
        <v>3186</v>
      </c>
      <c r="Q829" t="s">
        <v>3637</v>
      </c>
      <c r="S829" t="s">
        <v>219</v>
      </c>
      <c r="T829" t="s">
        <v>3660</v>
      </c>
      <c r="U829" t="s">
        <v>3184</v>
      </c>
      <c r="W829" t="s">
        <v>3670</v>
      </c>
      <c r="Y829">
        <v>2275</v>
      </c>
      <c r="Z829" t="s">
        <v>3689</v>
      </c>
      <c r="AA829" t="s">
        <v>3697</v>
      </c>
      <c r="AC829" t="s">
        <v>4466</v>
      </c>
      <c r="AE829" t="s">
        <v>5546</v>
      </c>
      <c r="AF829">
        <v>49</v>
      </c>
      <c r="AG829" t="s">
        <v>5813</v>
      </c>
      <c r="AH829" t="s">
        <v>3188</v>
      </c>
      <c r="AI829">
        <v>8</v>
      </c>
      <c r="AJ829">
        <v>3</v>
      </c>
      <c r="AK829">
        <v>0</v>
      </c>
      <c r="AL829">
        <v>825.13</v>
      </c>
      <c r="AO829" t="s">
        <v>5843</v>
      </c>
      <c r="AP829">
        <v>176000</v>
      </c>
      <c r="AV829">
        <v>0</v>
      </c>
      <c r="AX829" t="s">
        <v>108</v>
      </c>
    </row>
    <row r="830" spans="1:50">
      <c r="A830" s="1">
        <f>HYPERLINK("https://lsnyc.legalserver.org/matter/dynamic-profile/view/1906999","19-1906999")</f>
        <v>0</v>
      </c>
      <c r="B830" t="s">
        <v>98</v>
      </c>
      <c r="C830" t="s">
        <v>191</v>
      </c>
      <c r="D830" t="s">
        <v>281</v>
      </c>
      <c r="F830" t="s">
        <v>995</v>
      </c>
      <c r="G830" t="s">
        <v>1770</v>
      </c>
      <c r="H830" t="s">
        <v>2572</v>
      </c>
      <c r="I830">
        <v>25</v>
      </c>
      <c r="J830" t="s">
        <v>3146</v>
      </c>
      <c r="K830">
        <v>10034</v>
      </c>
      <c r="L830" t="s">
        <v>3185</v>
      </c>
      <c r="M830" t="s">
        <v>3189</v>
      </c>
      <c r="N830" t="s">
        <v>3186</v>
      </c>
      <c r="Q830" t="s">
        <v>3637</v>
      </c>
      <c r="S830" t="s">
        <v>281</v>
      </c>
      <c r="T830" t="s">
        <v>3660</v>
      </c>
      <c r="U830" t="s">
        <v>3184</v>
      </c>
      <c r="W830" t="s">
        <v>3670</v>
      </c>
      <c r="Y830">
        <v>1138</v>
      </c>
      <c r="Z830" t="s">
        <v>3689</v>
      </c>
      <c r="AA830" t="s">
        <v>3697</v>
      </c>
      <c r="AC830" t="s">
        <v>4467</v>
      </c>
      <c r="AE830" t="s">
        <v>5547</v>
      </c>
      <c r="AF830">
        <v>26</v>
      </c>
      <c r="AG830" t="s">
        <v>5813</v>
      </c>
      <c r="AH830" t="s">
        <v>3188</v>
      </c>
      <c r="AI830">
        <v>45</v>
      </c>
      <c r="AJ830">
        <v>1</v>
      </c>
      <c r="AK830">
        <v>0</v>
      </c>
      <c r="AL830">
        <v>0</v>
      </c>
      <c r="AO830" t="s">
        <v>5843</v>
      </c>
      <c r="AP830">
        <v>0</v>
      </c>
      <c r="AV830">
        <v>2.9</v>
      </c>
      <c r="AW830" t="s">
        <v>275</v>
      </c>
      <c r="AX830" t="s">
        <v>108</v>
      </c>
    </row>
    <row r="831" spans="1:50">
      <c r="A831" s="1">
        <f>HYPERLINK("https://lsnyc.legalserver.org/matter/dynamic-profile/view/1907052","19-1907052")</f>
        <v>0</v>
      </c>
      <c r="B831" t="s">
        <v>98</v>
      </c>
      <c r="C831" t="s">
        <v>191</v>
      </c>
      <c r="D831" t="s">
        <v>281</v>
      </c>
      <c r="F831" t="s">
        <v>744</v>
      </c>
      <c r="G831" t="s">
        <v>1771</v>
      </c>
      <c r="H831" t="s">
        <v>2573</v>
      </c>
      <c r="I831" t="s">
        <v>2821</v>
      </c>
      <c r="J831" t="s">
        <v>3146</v>
      </c>
      <c r="K831">
        <v>10032</v>
      </c>
      <c r="L831" t="s">
        <v>3185</v>
      </c>
      <c r="M831" t="s">
        <v>3189</v>
      </c>
      <c r="N831" t="s">
        <v>3186</v>
      </c>
      <c r="O831" t="s">
        <v>3488</v>
      </c>
      <c r="P831" t="s">
        <v>3610</v>
      </c>
      <c r="Q831" t="s">
        <v>3637</v>
      </c>
      <c r="S831" t="s">
        <v>281</v>
      </c>
      <c r="T831" t="s">
        <v>3660</v>
      </c>
      <c r="U831" t="s">
        <v>3184</v>
      </c>
      <c r="W831" t="s">
        <v>3670</v>
      </c>
      <c r="Y831">
        <v>918.5599999999999</v>
      </c>
      <c r="Z831" t="s">
        <v>3689</v>
      </c>
      <c r="AA831" t="s">
        <v>3697</v>
      </c>
      <c r="AC831" t="s">
        <v>4468</v>
      </c>
      <c r="AE831" t="s">
        <v>5548</v>
      </c>
      <c r="AF831">
        <v>46</v>
      </c>
      <c r="AG831" t="s">
        <v>5813</v>
      </c>
      <c r="AH831" t="s">
        <v>3188</v>
      </c>
      <c r="AI831">
        <v>30</v>
      </c>
      <c r="AJ831">
        <v>1</v>
      </c>
      <c r="AK831">
        <v>0</v>
      </c>
      <c r="AL831">
        <v>0</v>
      </c>
      <c r="AO831" t="s">
        <v>5843</v>
      </c>
      <c r="AP831">
        <v>0</v>
      </c>
      <c r="AV831">
        <v>2</v>
      </c>
      <c r="AW831" t="s">
        <v>286</v>
      </c>
      <c r="AX831" t="s">
        <v>108</v>
      </c>
    </row>
    <row r="832" spans="1:50">
      <c r="A832" s="1">
        <f>HYPERLINK("https://lsnyc.legalserver.org/matter/dynamic-profile/view/1909614","19-1909614")</f>
        <v>0</v>
      </c>
      <c r="B832" t="s">
        <v>98</v>
      </c>
      <c r="C832" t="s">
        <v>191</v>
      </c>
      <c r="D832" t="s">
        <v>269</v>
      </c>
      <c r="F832" t="s">
        <v>996</v>
      </c>
      <c r="G832" t="s">
        <v>1772</v>
      </c>
      <c r="H832" t="s">
        <v>2574</v>
      </c>
      <c r="J832" t="s">
        <v>3146</v>
      </c>
      <c r="K832">
        <v>10033</v>
      </c>
      <c r="L832" t="s">
        <v>3185</v>
      </c>
      <c r="M832" t="s">
        <v>3189</v>
      </c>
      <c r="N832" t="s">
        <v>3186</v>
      </c>
      <c r="Q832" t="s">
        <v>3637</v>
      </c>
      <c r="S832" t="s">
        <v>269</v>
      </c>
      <c r="T832" t="s">
        <v>3660</v>
      </c>
      <c r="U832" t="s">
        <v>3184</v>
      </c>
      <c r="W832" t="s">
        <v>3670</v>
      </c>
      <c r="Y832">
        <v>370</v>
      </c>
      <c r="Z832" t="s">
        <v>3689</v>
      </c>
      <c r="AA832" t="s">
        <v>3697</v>
      </c>
      <c r="AC832" t="s">
        <v>4469</v>
      </c>
      <c r="AE832" t="s">
        <v>5549</v>
      </c>
      <c r="AF832">
        <v>43</v>
      </c>
      <c r="AG832" t="s">
        <v>5811</v>
      </c>
      <c r="AH832" t="s">
        <v>3188</v>
      </c>
      <c r="AI832">
        <v>30</v>
      </c>
      <c r="AJ832">
        <v>4</v>
      </c>
      <c r="AK832">
        <v>0</v>
      </c>
      <c r="AL832">
        <v>93.2</v>
      </c>
      <c r="AO832" t="s">
        <v>5844</v>
      </c>
      <c r="AP832">
        <v>23998</v>
      </c>
      <c r="AV832">
        <v>0</v>
      </c>
      <c r="AX832" t="s">
        <v>108</v>
      </c>
    </row>
    <row r="833" spans="1:50">
      <c r="A833" s="1">
        <f>HYPERLINK("https://lsnyc.legalserver.org/matter/dynamic-profile/view/1909630","19-1909630")</f>
        <v>0</v>
      </c>
      <c r="B833" t="s">
        <v>98</v>
      </c>
      <c r="C833" t="s">
        <v>191</v>
      </c>
      <c r="D833" t="s">
        <v>269</v>
      </c>
      <c r="F833" t="s">
        <v>997</v>
      </c>
      <c r="G833" t="s">
        <v>1195</v>
      </c>
      <c r="H833" t="s">
        <v>2575</v>
      </c>
      <c r="I833">
        <v>48</v>
      </c>
      <c r="J833" t="s">
        <v>3146</v>
      </c>
      <c r="K833">
        <v>10032</v>
      </c>
      <c r="L833" t="s">
        <v>3185</v>
      </c>
      <c r="M833" t="s">
        <v>3189</v>
      </c>
      <c r="N833" t="s">
        <v>3186</v>
      </c>
      <c r="Q833" t="s">
        <v>3637</v>
      </c>
      <c r="S833" t="s">
        <v>269</v>
      </c>
      <c r="T833" t="s">
        <v>3660</v>
      </c>
      <c r="U833" t="s">
        <v>3184</v>
      </c>
      <c r="W833" t="s">
        <v>3670</v>
      </c>
      <c r="Y833">
        <v>419.62</v>
      </c>
      <c r="Z833" t="s">
        <v>3689</v>
      </c>
      <c r="AA833" t="s">
        <v>3696</v>
      </c>
      <c r="AC833" t="s">
        <v>4470</v>
      </c>
      <c r="AE833" t="s">
        <v>5550</v>
      </c>
      <c r="AF833">
        <v>70</v>
      </c>
      <c r="AG833" t="s">
        <v>5813</v>
      </c>
      <c r="AH833" t="s">
        <v>3188</v>
      </c>
      <c r="AI833">
        <v>57</v>
      </c>
      <c r="AJ833">
        <v>1</v>
      </c>
      <c r="AK833">
        <v>0</v>
      </c>
      <c r="AL833">
        <v>166.79</v>
      </c>
      <c r="AO833" t="s">
        <v>5843</v>
      </c>
      <c r="AP833">
        <v>20832</v>
      </c>
      <c r="AV833">
        <v>0</v>
      </c>
      <c r="AX833" t="s">
        <v>108</v>
      </c>
    </row>
    <row r="834" spans="1:50">
      <c r="A834" s="1">
        <f>HYPERLINK("https://lsnyc.legalserver.org/matter/dynamic-profile/view/1909594","19-1909594")</f>
        <v>0</v>
      </c>
      <c r="B834" t="s">
        <v>98</v>
      </c>
      <c r="C834" t="s">
        <v>191</v>
      </c>
      <c r="D834" t="s">
        <v>269</v>
      </c>
      <c r="F834" t="s">
        <v>998</v>
      </c>
      <c r="G834" t="s">
        <v>1773</v>
      </c>
      <c r="H834" t="s">
        <v>2576</v>
      </c>
      <c r="J834" t="s">
        <v>3146</v>
      </c>
      <c r="K834">
        <v>10032</v>
      </c>
      <c r="L834" t="s">
        <v>3185</v>
      </c>
      <c r="M834" t="s">
        <v>3189</v>
      </c>
      <c r="N834" t="s">
        <v>3186</v>
      </c>
      <c r="P834" t="s">
        <v>3615</v>
      </c>
      <c r="Q834" t="s">
        <v>3637</v>
      </c>
      <c r="S834" t="s">
        <v>269</v>
      </c>
      <c r="T834" t="s">
        <v>3660</v>
      </c>
      <c r="U834" t="s">
        <v>3184</v>
      </c>
      <c r="W834" t="s">
        <v>3670</v>
      </c>
      <c r="Y834">
        <v>1285</v>
      </c>
      <c r="Z834" t="s">
        <v>3689</v>
      </c>
      <c r="AA834" t="s">
        <v>3694</v>
      </c>
      <c r="AC834" t="s">
        <v>4471</v>
      </c>
      <c r="AE834" t="s">
        <v>5551</v>
      </c>
      <c r="AF834">
        <v>4</v>
      </c>
      <c r="AG834" t="s">
        <v>5813</v>
      </c>
      <c r="AH834" t="s">
        <v>5827</v>
      </c>
      <c r="AI834">
        <v>3</v>
      </c>
      <c r="AJ834">
        <v>2</v>
      </c>
      <c r="AK834">
        <v>0</v>
      </c>
      <c r="AL834">
        <v>199.27</v>
      </c>
      <c r="AO834" t="s">
        <v>5844</v>
      </c>
      <c r="AP834">
        <v>33696</v>
      </c>
      <c r="AV834">
        <v>0</v>
      </c>
      <c r="AX834" t="s">
        <v>108</v>
      </c>
    </row>
    <row r="835" spans="1:50">
      <c r="A835" s="1">
        <f>HYPERLINK("https://lsnyc.legalserver.org/matter/dynamic-profile/view/1908423","19-1908423")</f>
        <v>0</v>
      </c>
      <c r="B835" t="s">
        <v>158</v>
      </c>
      <c r="C835" t="s">
        <v>192</v>
      </c>
      <c r="D835" t="s">
        <v>262</v>
      </c>
      <c r="E835" t="s">
        <v>196</v>
      </c>
      <c r="F835" t="s">
        <v>523</v>
      </c>
      <c r="G835" t="s">
        <v>1774</v>
      </c>
      <c r="H835" t="s">
        <v>2577</v>
      </c>
      <c r="I835" t="s">
        <v>2905</v>
      </c>
      <c r="J835" t="s">
        <v>3148</v>
      </c>
      <c r="K835">
        <v>11207</v>
      </c>
      <c r="L835" t="s">
        <v>3184</v>
      </c>
      <c r="M835" t="s">
        <v>3188</v>
      </c>
      <c r="N835" t="s">
        <v>3186</v>
      </c>
      <c r="O835" t="s">
        <v>3188</v>
      </c>
      <c r="P835" t="s">
        <v>3257</v>
      </c>
      <c r="Q835" t="s">
        <v>3637</v>
      </c>
      <c r="R835" t="s">
        <v>3642</v>
      </c>
      <c r="T835" t="s">
        <v>3660</v>
      </c>
      <c r="U835" t="s">
        <v>3184</v>
      </c>
      <c r="W835" t="s">
        <v>3670</v>
      </c>
      <c r="X835" t="s">
        <v>3681</v>
      </c>
      <c r="Y835">
        <v>1000</v>
      </c>
      <c r="Z835" t="s">
        <v>3691</v>
      </c>
      <c r="AB835" t="s">
        <v>3712</v>
      </c>
      <c r="AC835" t="s">
        <v>4472</v>
      </c>
      <c r="AD835" t="s">
        <v>3188</v>
      </c>
      <c r="AE835" t="s">
        <v>5552</v>
      </c>
      <c r="AF835">
        <v>6</v>
      </c>
      <c r="AG835" t="s">
        <v>5814</v>
      </c>
      <c r="AH835" t="s">
        <v>3188</v>
      </c>
      <c r="AI835">
        <v>3</v>
      </c>
      <c r="AJ835">
        <v>1</v>
      </c>
      <c r="AK835">
        <v>0</v>
      </c>
      <c r="AL835">
        <v>288.23</v>
      </c>
      <c r="AO835" t="s">
        <v>5843</v>
      </c>
      <c r="AP835">
        <v>36000</v>
      </c>
      <c r="AQ835" t="s">
        <v>5920</v>
      </c>
      <c r="AV835">
        <v>1</v>
      </c>
      <c r="AW835" t="s">
        <v>262</v>
      </c>
      <c r="AX835" t="s">
        <v>6030</v>
      </c>
    </row>
    <row r="836" spans="1:50">
      <c r="A836" s="1">
        <f>HYPERLINK("https://lsnyc.legalserver.org/matter/dynamic-profile/view/1908234","19-1908234")</f>
        <v>0</v>
      </c>
      <c r="B836" t="s">
        <v>98</v>
      </c>
      <c r="C836" t="s">
        <v>191</v>
      </c>
      <c r="D836" t="s">
        <v>212</v>
      </c>
      <c r="F836" t="s">
        <v>888</v>
      </c>
      <c r="G836" t="s">
        <v>1775</v>
      </c>
      <c r="H836" t="s">
        <v>2578</v>
      </c>
      <c r="I836">
        <v>2</v>
      </c>
      <c r="J836" t="s">
        <v>3146</v>
      </c>
      <c r="K836">
        <v>10033</v>
      </c>
      <c r="L836" t="s">
        <v>3185</v>
      </c>
      <c r="M836" t="s">
        <v>3190</v>
      </c>
      <c r="N836" t="s">
        <v>3186</v>
      </c>
      <c r="P836" t="s">
        <v>3620</v>
      </c>
      <c r="Q836" t="s">
        <v>3637</v>
      </c>
      <c r="T836" t="s">
        <v>3660</v>
      </c>
      <c r="U836" t="s">
        <v>3184</v>
      </c>
      <c r="W836" t="s">
        <v>3673</v>
      </c>
      <c r="Y836">
        <v>1225.03</v>
      </c>
      <c r="Z836" t="s">
        <v>3689</v>
      </c>
      <c r="AA836" t="s">
        <v>3697</v>
      </c>
      <c r="AC836" t="s">
        <v>4473</v>
      </c>
      <c r="AD836" t="s">
        <v>4848</v>
      </c>
      <c r="AE836" t="s">
        <v>5553</v>
      </c>
      <c r="AF836">
        <v>0</v>
      </c>
      <c r="AG836" t="s">
        <v>5813</v>
      </c>
      <c r="AH836" t="s">
        <v>5827</v>
      </c>
      <c r="AI836">
        <v>20</v>
      </c>
      <c r="AJ836">
        <v>2</v>
      </c>
      <c r="AK836">
        <v>0</v>
      </c>
      <c r="AL836">
        <v>14.19</v>
      </c>
      <c r="AO836" t="s">
        <v>5844</v>
      </c>
      <c r="AP836">
        <v>2400</v>
      </c>
      <c r="AV836">
        <v>1</v>
      </c>
      <c r="AW836" t="s">
        <v>212</v>
      </c>
      <c r="AX836" t="s">
        <v>6009</v>
      </c>
    </row>
    <row r="837" spans="1:50">
      <c r="A837" s="1">
        <f>HYPERLINK("https://lsnyc.legalserver.org/matter/dynamic-profile/view/1910291","19-1910291")</f>
        <v>0</v>
      </c>
      <c r="B837" t="s">
        <v>158</v>
      </c>
      <c r="C837" t="s">
        <v>192</v>
      </c>
      <c r="D837" t="s">
        <v>291</v>
      </c>
      <c r="E837" t="s">
        <v>291</v>
      </c>
      <c r="F837" t="s">
        <v>999</v>
      </c>
      <c r="G837" t="s">
        <v>1776</v>
      </c>
      <c r="H837" t="s">
        <v>2579</v>
      </c>
      <c r="I837" t="s">
        <v>3062</v>
      </c>
      <c r="J837" t="s">
        <v>3148</v>
      </c>
      <c r="K837">
        <v>11208</v>
      </c>
      <c r="L837" t="s">
        <v>3184</v>
      </c>
      <c r="M837" t="s">
        <v>3188</v>
      </c>
      <c r="N837" t="s">
        <v>3186</v>
      </c>
      <c r="O837" t="s">
        <v>3191</v>
      </c>
      <c r="P837" t="s">
        <v>3257</v>
      </c>
      <c r="Q837" t="s">
        <v>3634</v>
      </c>
      <c r="R837" t="s">
        <v>3642</v>
      </c>
      <c r="T837" t="s">
        <v>3660</v>
      </c>
      <c r="U837" t="s">
        <v>3184</v>
      </c>
      <c r="W837" t="s">
        <v>3670</v>
      </c>
      <c r="X837" t="s">
        <v>3681</v>
      </c>
      <c r="Y837">
        <v>1200</v>
      </c>
      <c r="Z837" t="s">
        <v>3691</v>
      </c>
      <c r="AA837" t="s">
        <v>3699</v>
      </c>
      <c r="AB837" t="s">
        <v>3712</v>
      </c>
      <c r="AC837" t="s">
        <v>4474</v>
      </c>
      <c r="AD837" t="s">
        <v>3218</v>
      </c>
      <c r="AE837" t="s">
        <v>5554</v>
      </c>
      <c r="AF837">
        <v>2</v>
      </c>
      <c r="AG837" t="s">
        <v>5814</v>
      </c>
      <c r="AH837" t="s">
        <v>3188</v>
      </c>
      <c r="AI837">
        <v>5</v>
      </c>
      <c r="AJ837">
        <v>2</v>
      </c>
      <c r="AK837">
        <v>0</v>
      </c>
      <c r="AL837">
        <v>395.27</v>
      </c>
      <c r="AO837" t="s">
        <v>5843</v>
      </c>
      <c r="AP837">
        <v>66840</v>
      </c>
      <c r="AV837">
        <v>1</v>
      </c>
      <c r="AW837" t="s">
        <v>291</v>
      </c>
      <c r="AX837" t="s">
        <v>6038</v>
      </c>
    </row>
    <row r="838" spans="1:50">
      <c r="A838" s="1">
        <f>HYPERLINK("https://lsnyc.legalserver.org/matter/dynamic-profile/view/1907356","19-1907356")</f>
        <v>0</v>
      </c>
      <c r="B838" t="s">
        <v>159</v>
      </c>
      <c r="C838" t="s">
        <v>192</v>
      </c>
      <c r="D838" t="s">
        <v>225</v>
      </c>
      <c r="E838" t="s">
        <v>262</v>
      </c>
      <c r="F838" t="s">
        <v>605</v>
      </c>
      <c r="G838" t="s">
        <v>1777</v>
      </c>
      <c r="H838" t="s">
        <v>2580</v>
      </c>
      <c r="J838" t="s">
        <v>3159</v>
      </c>
      <c r="K838">
        <v>10301</v>
      </c>
      <c r="L838" t="s">
        <v>3185</v>
      </c>
      <c r="M838" t="s">
        <v>3189</v>
      </c>
      <c r="N838" t="s">
        <v>3186</v>
      </c>
      <c r="O838" t="s">
        <v>3489</v>
      </c>
      <c r="P838" t="s">
        <v>3610</v>
      </c>
      <c r="Q838" t="s">
        <v>3636</v>
      </c>
      <c r="R838" t="s">
        <v>3643</v>
      </c>
      <c r="S838" t="s">
        <v>225</v>
      </c>
      <c r="T838" t="s">
        <v>3660</v>
      </c>
      <c r="U838" t="s">
        <v>3184</v>
      </c>
      <c r="W838" t="s">
        <v>3670</v>
      </c>
      <c r="X838" t="s">
        <v>3683</v>
      </c>
      <c r="Y838">
        <v>1975</v>
      </c>
      <c r="Z838" t="s">
        <v>3692</v>
      </c>
      <c r="AA838" t="s">
        <v>3710</v>
      </c>
      <c r="AB838" t="s">
        <v>3712</v>
      </c>
      <c r="AC838" t="s">
        <v>4475</v>
      </c>
      <c r="AE838" t="s">
        <v>5555</v>
      </c>
      <c r="AF838">
        <v>1</v>
      </c>
      <c r="AG838" t="s">
        <v>5814</v>
      </c>
      <c r="AH838" t="s">
        <v>3188</v>
      </c>
      <c r="AI838">
        <v>-1</v>
      </c>
      <c r="AJ838">
        <v>1</v>
      </c>
      <c r="AK838">
        <v>1</v>
      </c>
      <c r="AL838">
        <v>118.27</v>
      </c>
      <c r="AO838" t="s">
        <v>5843</v>
      </c>
      <c r="AP838">
        <v>20000</v>
      </c>
      <c r="AV838">
        <v>1.95</v>
      </c>
      <c r="AW838" t="s">
        <v>262</v>
      </c>
      <c r="AX838" t="s">
        <v>6017</v>
      </c>
    </row>
    <row r="839" spans="1:50">
      <c r="A839" s="1">
        <f>HYPERLINK("https://lsnyc.legalserver.org/matter/dynamic-profile/view/1907942","19-1907942")</f>
        <v>0</v>
      </c>
      <c r="B839" t="s">
        <v>158</v>
      </c>
      <c r="C839" t="s">
        <v>192</v>
      </c>
      <c r="D839" t="s">
        <v>251</v>
      </c>
      <c r="E839" t="s">
        <v>212</v>
      </c>
      <c r="F839" t="s">
        <v>1000</v>
      </c>
      <c r="G839" t="s">
        <v>1274</v>
      </c>
      <c r="H839" t="s">
        <v>2581</v>
      </c>
      <c r="I839" t="s">
        <v>2970</v>
      </c>
      <c r="J839" t="s">
        <v>3148</v>
      </c>
      <c r="K839">
        <v>11212</v>
      </c>
      <c r="L839" t="s">
        <v>3184</v>
      </c>
      <c r="M839" t="s">
        <v>3188</v>
      </c>
      <c r="N839" t="s">
        <v>3186</v>
      </c>
      <c r="O839" t="s">
        <v>3200</v>
      </c>
      <c r="P839" t="s">
        <v>3257</v>
      </c>
      <c r="R839" t="s">
        <v>3642</v>
      </c>
      <c r="T839" t="s">
        <v>3660</v>
      </c>
      <c r="U839" t="s">
        <v>3184</v>
      </c>
      <c r="W839" t="s">
        <v>3670</v>
      </c>
      <c r="X839" t="s">
        <v>3681</v>
      </c>
      <c r="Y839">
        <v>1400</v>
      </c>
      <c r="Z839" t="s">
        <v>3691</v>
      </c>
      <c r="AB839" t="s">
        <v>3712</v>
      </c>
      <c r="AC839" t="s">
        <v>4476</v>
      </c>
      <c r="AD839" t="s">
        <v>3218</v>
      </c>
      <c r="AE839" t="s">
        <v>5556</v>
      </c>
      <c r="AF839">
        <v>2</v>
      </c>
      <c r="AG839" t="s">
        <v>5814</v>
      </c>
      <c r="AI839">
        <v>11</v>
      </c>
      <c r="AJ839">
        <v>1</v>
      </c>
      <c r="AK839">
        <v>0</v>
      </c>
      <c r="AL839">
        <v>0</v>
      </c>
      <c r="AO839" t="s">
        <v>5843</v>
      </c>
      <c r="AP839">
        <v>0</v>
      </c>
      <c r="AV839">
        <v>0.3</v>
      </c>
      <c r="AW839" t="s">
        <v>251</v>
      </c>
      <c r="AX839" t="s">
        <v>6022</v>
      </c>
    </row>
    <row r="840" spans="1:50">
      <c r="A840" s="1">
        <f>HYPERLINK("https://lsnyc.legalserver.org/matter/dynamic-profile/view/1903663","19-1903663")</f>
        <v>0</v>
      </c>
      <c r="B840" t="s">
        <v>159</v>
      </c>
      <c r="C840" t="s">
        <v>191</v>
      </c>
      <c r="D840" t="s">
        <v>271</v>
      </c>
      <c r="F840" t="s">
        <v>764</v>
      </c>
      <c r="G840" t="s">
        <v>1778</v>
      </c>
      <c r="H840" t="s">
        <v>2582</v>
      </c>
      <c r="I840" t="s">
        <v>3068</v>
      </c>
      <c r="J840" t="s">
        <v>3159</v>
      </c>
      <c r="K840">
        <v>10314</v>
      </c>
      <c r="L840" t="s">
        <v>3185</v>
      </c>
      <c r="M840" t="s">
        <v>3189</v>
      </c>
      <c r="N840" t="s">
        <v>3186</v>
      </c>
      <c r="P840" t="s">
        <v>3616</v>
      </c>
      <c r="T840" t="s">
        <v>3660</v>
      </c>
      <c r="U840" t="s">
        <v>3185</v>
      </c>
      <c r="W840" t="s">
        <v>3670</v>
      </c>
      <c r="Y840">
        <v>1788</v>
      </c>
      <c r="Z840" t="s">
        <v>3692</v>
      </c>
      <c r="AA840" t="s">
        <v>3696</v>
      </c>
      <c r="AC840" t="s">
        <v>4477</v>
      </c>
      <c r="AE840" t="s">
        <v>5557</v>
      </c>
      <c r="AF840">
        <v>96</v>
      </c>
      <c r="AG840" t="s">
        <v>5813</v>
      </c>
      <c r="AH840" t="s">
        <v>5826</v>
      </c>
      <c r="AI840">
        <v>9</v>
      </c>
      <c r="AJ840">
        <v>2</v>
      </c>
      <c r="AK840">
        <v>0</v>
      </c>
      <c r="AL840">
        <v>41.58</v>
      </c>
      <c r="AO840" t="s">
        <v>5843</v>
      </c>
      <c r="AP840">
        <v>7032</v>
      </c>
      <c r="AV840">
        <v>0.2</v>
      </c>
      <c r="AW840" t="s">
        <v>271</v>
      </c>
      <c r="AX840" t="s">
        <v>6017</v>
      </c>
    </row>
    <row r="841" spans="1:50">
      <c r="A841" s="1">
        <f>HYPERLINK("https://lsnyc.legalserver.org/matter/dynamic-profile/view/1908321","19-1908321")</f>
        <v>0</v>
      </c>
      <c r="B841" t="s">
        <v>159</v>
      </c>
      <c r="C841" t="s">
        <v>191</v>
      </c>
      <c r="D841" t="s">
        <v>196</v>
      </c>
      <c r="F841" t="s">
        <v>740</v>
      </c>
      <c r="G841" t="s">
        <v>1488</v>
      </c>
      <c r="H841" t="s">
        <v>2236</v>
      </c>
      <c r="I841" t="s">
        <v>2970</v>
      </c>
      <c r="J841" t="s">
        <v>3159</v>
      </c>
      <c r="K841">
        <v>10301</v>
      </c>
      <c r="L841" t="s">
        <v>3185</v>
      </c>
      <c r="M841" t="s">
        <v>3189</v>
      </c>
      <c r="N841" t="s">
        <v>3186</v>
      </c>
      <c r="O841" t="s">
        <v>3490</v>
      </c>
      <c r="P841" t="s">
        <v>3613</v>
      </c>
      <c r="T841" t="s">
        <v>3660</v>
      </c>
      <c r="U841" t="s">
        <v>3184</v>
      </c>
      <c r="W841" t="s">
        <v>3670</v>
      </c>
      <c r="X841" t="s">
        <v>3681</v>
      </c>
      <c r="Y841">
        <v>0</v>
      </c>
      <c r="Z841" t="s">
        <v>3692</v>
      </c>
      <c r="AC841" t="s">
        <v>4075</v>
      </c>
      <c r="AE841" t="s">
        <v>5192</v>
      </c>
      <c r="AF841">
        <v>2</v>
      </c>
      <c r="AG841" t="s">
        <v>5814</v>
      </c>
      <c r="AH841" t="s">
        <v>3188</v>
      </c>
      <c r="AI841">
        <v>20</v>
      </c>
      <c r="AJ841">
        <v>1</v>
      </c>
      <c r="AK841">
        <v>0</v>
      </c>
      <c r="AL841">
        <v>86.47</v>
      </c>
      <c r="AO841" t="s">
        <v>5843</v>
      </c>
      <c r="AP841">
        <v>10800</v>
      </c>
      <c r="AV841">
        <v>1</v>
      </c>
      <c r="AW841" t="s">
        <v>196</v>
      </c>
      <c r="AX841" t="s">
        <v>6017</v>
      </c>
    </row>
    <row r="842" spans="1:50">
      <c r="A842" s="1">
        <f>HYPERLINK("https://lsnyc.legalserver.org/matter/dynamic-profile/view/1903687","19-1903687")</f>
        <v>0</v>
      </c>
      <c r="B842" t="s">
        <v>159</v>
      </c>
      <c r="C842" t="s">
        <v>191</v>
      </c>
      <c r="D842" t="s">
        <v>271</v>
      </c>
      <c r="F842" t="s">
        <v>1001</v>
      </c>
      <c r="G842" t="s">
        <v>1602</v>
      </c>
      <c r="H842" t="s">
        <v>2582</v>
      </c>
      <c r="I842" t="s">
        <v>3069</v>
      </c>
      <c r="J842" t="s">
        <v>3159</v>
      </c>
      <c r="K842">
        <v>10314</v>
      </c>
      <c r="L842" t="s">
        <v>3185</v>
      </c>
      <c r="M842" t="s">
        <v>3189</v>
      </c>
      <c r="N842" t="s">
        <v>3186</v>
      </c>
      <c r="P842" t="s">
        <v>3616</v>
      </c>
      <c r="T842" t="s">
        <v>3660</v>
      </c>
      <c r="U842" t="s">
        <v>3185</v>
      </c>
      <c r="W842" t="s">
        <v>3670</v>
      </c>
      <c r="Y842">
        <v>871</v>
      </c>
      <c r="Z842" t="s">
        <v>3692</v>
      </c>
      <c r="AA842" t="s">
        <v>3696</v>
      </c>
      <c r="AC842" t="s">
        <v>4478</v>
      </c>
      <c r="AE842" t="s">
        <v>5558</v>
      </c>
      <c r="AF842">
        <v>96</v>
      </c>
      <c r="AG842" t="s">
        <v>5813</v>
      </c>
      <c r="AH842" t="s">
        <v>5826</v>
      </c>
      <c r="AI842">
        <v>4</v>
      </c>
      <c r="AJ842">
        <v>1</v>
      </c>
      <c r="AK842">
        <v>0</v>
      </c>
      <c r="AL842">
        <v>115.29</v>
      </c>
      <c r="AO842" t="s">
        <v>5844</v>
      </c>
      <c r="AP842">
        <v>14400</v>
      </c>
      <c r="AV842">
        <v>0.2</v>
      </c>
      <c r="AW842" t="s">
        <v>271</v>
      </c>
      <c r="AX842" t="s">
        <v>6017</v>
      </c>
    </row>
    <row r="843" spans="1:50">
      <c r="A843" s="1">
        <f>HYPERLINK("https://lsnyc.legalserver.org/matter/dynamic-profile/view/1903659","19-1903659")</f>
        <v>0</v>
      </c>
      <c r="B843" t="s">
        <v>159</v>
      </c>
      <c r="C843" t="s">
        <v>191</v>
      </c>
      <c r="D843" t="s">
        <v>271</v>
      </c>
      <c r="F843" t="s">
        <v>1002</v>
      </c>
      <c r="G843" t="s">
        <v>1779</v>
      </c>
      <c r="H843" t="s">
        <v>2582</v>
      </c>
      <c r="I843" t="s">
        <v>3070</v>
      </c>
      <c r="J843" t="s">
        <v>3159</v>
      </c>
      <c r="K843">
        <v>10314</v>
      </c>
      <c r="L843" t="s">
        <v>3185</v>
      </c>
      <c r="M843" t="s">
        <v>3189</v>
      </c>
      <c r="N843" t="s">
        <v>3186</v>
      </c>
      <c r="P843" t="s">
        <v>3616</v>
      </c>
      <c r="T843" t="s">
        <v>3660</v>
      </c>
      <c r="U843" t="s">
        <v>3185</v>
      </c>
      <c r="W843" t="s">
        <v>3670</v>
      </c>
      <c r="Y843">
        <v>864</v>
      </c>
      <c r="Z843" t="s">
        <v>3692</v>
      </c>
      <c r="AA843" t="s">
        <v>3696</v>
      </c>
      <c r="AC843" t="s">
        <v>4479</v>
      </c>
      <c r="AE843" t="s">
        <v>5559</v>
      </c>
      <c r="AF843">
        <v>96</v>
      </c>
      <c r="AG843" t="s">
        <v>5813</v>
      </c>
      <c r="AH843" t="s">
        <v>5826</v>
      </c>
      <c r="AI843">
        <v>9</v>
      </c>
      <c r="AJ843">
        <v>1</v>
      </c>
      <c r="AK843">
        <v>0</v>
      </c>
      <c r="AL843">
        <v>124.71</v>
      </c>
      <c r="AO843" t="s">
        <v>5843</v>
      </c>
      <c r="AP843">
        <v>15576</v>
      </c>
      <c r="AV843">
        <v>0.2</v>
      </c>
      <c r="AW843" t="s">
        <v>271</v>
      </c>
      <c r="AX843" t="s">
        <v>6017</v>
      </c>
    </row>
    <row r="844" spans="1:50">
      <c r="A844" s="1">
        <f>HYPERLINK("https://lsnyc.legalserver.org/matter/dynamic-profile/view/1903670","19-1903670")</f>
        <v>0</v>
      </c>
      <c r="B844" t="s">
        <v>159</v>
      </c>
      <c r="C844" t="s">
        <v>191</v>
      </c>
      <c r="D844" t="s">
        <v>271</v>
      </c>
      <c r="F844" t="s">
        <v>1003</v>
      </c>
      <c r="G844" t="s">
        <v>1780</v>
      </c>
      <c r="H844" t="s">
        <v>2582</v>
      </c>
      <c r="I844" t="s">
        <v>3071</v>
      </c>
      <c r="J844" t="s">
        <v>3159</v>
      </c>
      <c r="K844">
        <v>10314</v>
      </c>
      <c r="L844" t="s">
        <v>3185</v>
      </c>
      <c r="M844" t="s">
        <v>3189</v>
      </c>
      <c r="N844" t="s">
        <v>3186</v>
      </c>
      <c r="P844" t="s">
        <v>3616</v>
      </c>
      <c r="T844" t="s">
        <v>3660</v>
      </c>
      <c r="U844" t="s">
        <v>3185</v>
      </c>
      <c r="W844" t="s">
        <v>3670</v>
      </c>
      <c r="Y844">
        <v>1400</v>
      </c>
      <c r="Z844" t="s">
        <v>3692</v>
      </c>
      <c r="AA844" t="s">
        <v>3696</v>
      </c>
      <c r="AC844" t="s">
        <v>4480</v>
      </c>
      <c r="AE844" t="s">
        <v>5560</v>
      </c>
      <c r="AF844">
        <v>96</v>
      </c>
      <c r="AG844" t="s">
        <v>5813</v>
      </c>
      <c r="AH844" t="s">
        <v>5826</v>
      </c>
      <c r="AI844">
        <v>9</v>
      </c>
      <c r="AJ844">
        <v>1</v>
      </c>
      <c r="AK844">
        <v>0</v>
      </c>
      <c r="AL844">
        <v>134.51</v>
      </c>
      <c r="AO844" t="s">
        <v>5843</v>
      </c>
      <c r="AP844">
        <v>16800</v>
      </c>
      <c r="AV844">
        <v>0.2</v>
      </c>
      <c r="AW844" t="s">
        <v>271</v>
      </c>
      <c r="AX844" t="s">
        <v>6017</v>
      </c>
    </row>
    <row r="845" spans="1:50">
      <c r="A845" s="1">
        <f>HYPERLINK("https://lsnyc.legalserver.org/matter/dynamic-profile/view/1901897","19-1901897")</f>
        <v>0</v>
      </c>
      <c r="B845" t="s">
        <v>159</v>
      </c>
      <c r="C845" t="s">
        <v>191</v>
      </c>
      <c r="D845" t="s">
        <v>250</v>
      </c>
      <c r="F845" t="s">
        <v>1004</v>
      </c>
      <c r="G845" t="s">
        <v>1781</v>
      </c>
      <c r="H845" t="s">
        <v>2582</v>
      </c>
      <c r="I845" t="s">
        <v>3072</v>
      </c>
      <c r="J845" t="s">
        <v>3159</v>
      </c>
      <c r="K845">
        <v>10314</v>
      </c>
      <c r="L845" t="s">
        <v>3185</v>
      </c>
      <c r="M845" t="s">
        <v>3189</v>
      </c>
      <c r="N845" t="s">
        <v>3186</v>
      </c>
      <c r="P845" t="s">
        <v>3616</v>
      </c>
      <c r="T845" t="s">
        <v>3660</v>
      </c>
      <c r="U845" t="s">
        <v>3185</v>
      </c>
      <c r="W845" t="s">
        <v>3670</v>
      </c>
      <c r="Y845">
        <v>0</v>
      </c>
      <c r="Z845" t="s">
        <v>3692</v>
      </c>
      <c r="AA845" t="s">
        <v>3696</v>
      </c>
      <c r="AC845" t="s">
        <v>4481</v>
      </c>
      <c r="AE845" t="s">
        <v>5561</v>
      </c>
      <c r="AF845">
        <v>96</v>
      </c>
      <c r="AG845" t="s">
        <v>5813</v>
      </c>
      <c r="AH845" t="s">
        <v>5826</v>
      </c>
      <c r="AI845">
        <v>8</v>
      </c>
      <c r="AJ845">
        <v>1</v>
      </c>
      <c r="AK845">
        <v>0</v>
      </c>
      <c r="AL845">
        <v>138.34</v>
      </c>
      <c r="AO845" t="s">
        <v>5843</v>
      </c>
      <c r="AP845">
        <v>17278.8</v>
      </c>
      <c r="AV845">
        <v>0.2</v>
      </c>
      <c r="AW845" t="s">
        <v>267</v>
      </c>
      <c r="AX845" t="s">
        <v>6017</v>
      </c>
    </row>
    <row r="846" spans="1:50">
      <c r="A846" s="1">
        <f>HYPERLINK("https://lsnyc.legalserver.org/matter/dynamic-profile/view/1903667","19-1903667")</f>
        <v>0</v>
      </c>
      <c r="B846" t="s">
        <v>159</v>
      </c>
      <c r="C846" t="s">
        <v>191</v>
      </c>
      <c r="D846" t="s">
        <v>271</v>
      </c>
      <c r="F846" t="s">
        <v>1005</v>
      </c>
      <c r="G846" t="s">
        <v>1782</v>
      </c>
      <c r="H846" t="s">
        <v>2582</v>
      </c>
      <c r="I846" t="s">
        <v>3073</v>
      </c>
      <c r="J846" t="s">
        <v>3159</v>
      </c>
      <c r="K846">
        <v>10314</v>
      </c>
      <c r="L846" t="s">
        <v>3185</v>
      </c>
      <c r="M846" t="s">
        <v>3189</v>
      </c>
      <c r="N846" t="s">
        <v>3186</v>
      </c>
      <c r="P846" t="s">
        <v>3616</v>
      </c>
      <c r="T846" t="s">
        <v>3660</v>
      </c>
      <c r="U846" t="s">
        <v>3185</v>
      </c>
      <c r="W846" t="s">
        <v>3670</v>
      </c>
      <c r="Y846">
        <v>859</v>
      </c>
      <c r="Z846" t="s">
        <v>3692</v>
      </c>
      <c r="AA846" t="s">
        <v>3696</v>
      </c>
      <c r="AC846" t="s">
        <v>4482</v>
      </c>
      <c r="AE846" t="s">
        <v>5562</v>
      </c>
      <c r="AF846">
        <v>96</v>
      </c>
      <c r="AG846" t="s">
        <v>5813</v>
      </c>
      <c r="AH846" t="s">
        <v>5826</v>
      </c>
      <c r="AI846">
        <v>7</v>
      </c>
      <c r="AJ846">
        <v>1</v>
      </c>
      <c r="AK846">
        <v>0</v>
      </c>
      <c r="AL846">
        <v>167.65</v>
      </c>
      <c r="AO846" t="s">
        <v>5843</v>
      </c>
      <c r="AP846">
        <v>20940</v>
      </c>
      <c r="AV846">
        <v>0.2</v>
      </c>
      <c r="AW846" t="s">
        <v>271</v>
      </c>
      <c r="AX846" t="s">
        <v>6017</v>
      </c>
    </row>
    <row r="847" spans="1:50">
      <c r="A847" s="1">
        <f>HYPERLINK("https://lsnyc.legalserver.org/matter/dynamic-profile/view/1903665","19-1903665")</f>
        <v>0</v>
      </c>
      <c r="B847" t="s">
        <v>159</v>
      </c>
      <c r="C847" t="s">
        <v>191</v>
      </c>
      <c r="D847" t="s">
        <v>271</v>
      </c>
      <c r="F847" t="s">
        <v>1006</v>
      </c>
      <c r="G847" t="s">
        <v>1783</v>
      </c>
      <c r="H847" t="s">
        <v>2583</v>
      </c>
      <c r="I847" t="s">
        <v>3074</v>
      </c>
      <c r="J847" t="s">
        <v>3159</v>
      </c>
      <c r="K847">
        <v>10314</v>
      </c>
      <c r="L847" t="s">
        <v>3185</v>
      </c>
      <c r="M847" t="s">
        <v>3189</v>
      </c>
      <c r="N847" t="s">
        <v>3186</v>
      </c>
      <c r="P847" t="s">
        <v>3616</v>
      </c>
      <c r="T847" t="s">
        <v>3660</v>
      </c>
      <c r="U847" t="s">
        <v>3185</v>
      </c>
      <c r="W847" t="s">
        <v>3670</v>
      </c>
      <c r="Y847">
        <v>859</v>
      </c>
      <c r="Z847" t="s">
        <v>3692</v>
      </c>
      <c r="AA847" t="s">
        <v>3696</v>
      </c>
      <c r="AC847" t="s">
        <v>4483</v>
      </c>
      <c r="AE847" t="s">
        <v>5563</v>
      </c>
      <c r="AF847">
        <v>96</v>
      </c>
      <c r="AG847" t="s">
        <v>5813</v>
      </c>
      <c r="AH847" t="s">
        <v>5826</v>
      </c>
      <c r="AI847">
        <v>7</v>
      </c>
      <c r="AJ847">
        <v>1</v>
      </c>
      <c r="AK847">
        <v>0</v>
      </c>
      <c r="AL847">
        <v>211.37</v>
      </c>
      <c r="AO847" t="s">
        <v>5843</v>
      </c>
      <c r="AP847">
        <v>26400</v>
      </c>
      <c r="AV847">
        <v>0.2</v>
      </c>
      <c r="AW847" t="s">
        <v>271</v>
      </c>
      <c r="AX847" t="s">
        <v>6017</v>
      </c>
    </row>
    <row r="848" spans="1:50">
      <c r="A848" s="1">
        <f>HYPERLINK("https://lsnyc.legalserver.org/matter/dynamic-profile/view/1903672","19-1903672")</f>
        <v>0</v>
      </c>
      <c r="B848" t="s">
        <v>159</v>
      </c>
      <c r="C848" t="s">
        <v>191</v>
      </c>
      <c r="D848" t="s">
        <v>271</v>
      </c>
      <c r="F848" t="s">
        <v>523</v>
      </c>
      <c r="G848" t="s">
        <v>1784</v>
      </c>
      <c r="H848" t="s">
        <v>2582</v>
      </c>
      <c r="I848" t="s">
        <v>3075</v>
      </c>
      <c r="J848" t="s">
        <v>3159</v>
      </c>
      <c r="K848">
        <v>10314</v>
      </c>
      <c r="L848" t="s">
        <v>3185</v>
      </c>
      <c r="M848" t="s">
        <v>3189</v>
      </c>
      <c r="N848" t="s">
        <v>3186</v>
      </c>
      <c r="P848" t="s">
        <v>3616</v>
      </c>
      <c r="T848" t="s">
        <v>3660</v>
      </c>
      <c r="U848" t="s">
        <v>3185</v>
      </c>
      <c r="W848" t="s">
        <v>3670</v>
      </c>
      <c r="Y848">
        <v>967</v>
      </c>
      <c r="Z848" t="s">
        <v>3692</v>
      </c>
      <c r="AA848" t="s">
        <v>3696</v>
      </c>
      <c r="AC848" t="s">
        <v>4484</v>
      </c>
      <c r="AE848" t="s">
        <v>5564</v>
      </c>
      <c r="AF848">
        <v>96</v>
      </c>
      <c r="AH848" t="s">
        <v>5826</v>
      </c>
      <c r="AI848">
        <v>8</v>
      </c>
      <c r="AJ848">
        <v>1</v>
      </c>
      <c r="AK848">
        <v>0</v>
      </c>
      <c r="AL848">
        <v>236.89</v>
      </c>
      <c r="AO848" t="s">
        <v>5843</v>
      </c>
      <c r="AP848">
        <v>29587.92</v>
      </c>
      <c r="AV848">
        <v>1</v>
      </c>
      <c r="AW848" t="s">
        <v>202</v>
      </c>
      <c r="AX848" t="s">
        <v>6017</v>
      </c>
    </row>
    <row r="849" spans="1:50">
      <c r="A849" s="1">
        <f>HYPERLINK("https://lsnyc.legalserver.org/matter/dynamic-profile/view/1903648","19-1903648")</f>
        <v>0</v>
      </c>
      <c r="B849" t="s">
        <v>159</v>
      </c>
      <c r="C849" t="s">
        <v>191</v>
      </c>
      <c r="D849" t="s">
        <v>271</v>
      </c>
      <c r="F849" t="s">
        <v>812</v>
      </c>
      <c r="G849" t="s">
        <v>1785</v>
      </c>
      <c r="H849" t="s">
        <v>2584</v>
      </c>
      <c r="I849" t="s">
        <v>3076</v>
      </c>
      <c r="J849" t="s">
        <v>3159</v>
      </c>
      <c r="K849">
        <v>10314</v>
      </c>
      <c r="L849" t="s">
        <v>3185</v>
      </c>
      <c r="M849" t="s">
        <v>3189</v>
      </c>
      <c r="N849" t="s">
        <v>3186</v>
      </c>
      <c r="P849" t="s">
        <v>3616</v>
      </c>
      <c r="T849" t="s">
        <v>3660</v>
      </c>
      <c r="U849" t="s">
        <v>3185</v>
      </c>
      <c r="W849" t="s">
        <v>3670</v>
      </c>
      <c r="Y849">
        <v>907</v>
      </c>
      <c r="Z849" t="s">
        <v>3692</v>
      </c>
      <c r="AA849" t="s">
        <v>3696</v>
      </c>
      <c r="AC849" t="s">
        <v>4485</v>
      </c>
      <c r="AE849" t="s">
        <v>5565</v>
      </c>
      <c r="AF849">
        <v>96</v>
      </c>
      <c r="AG849" t="s">
        <v>5813</v>
      </c>
      <c r="AH849" t="s">
        <v>3188</v>
      </c>
      <c r="AI849">
        <v>4</v>
      </c>
      <c r="AJ849">
        <v>1</v>
      </c>
      <c r="AK849">
        <v>0</v>
      </c>
      <c r="AL849">
        <v>242.21</v>
      </c>
      <c r="AO849" t="s">
        <v>5843</v>
      </c>
      <c r="AP849">
        <v>30252</v>
      </c>
      <c r="AV849">
        <v>0.2</v>
      </c>
      <c r="AW849" t="s">
        <v>271</v>
      </c>
      <c r="AX849" t="s">
        <v>6017</v>
      </c>
    </row>
    <row r="850" spans="1:50">
      <c r="A850" s="1">
        <f>HYPERLINK("https://lsnyc.legalserver.org/matter/dynamic-profile/view/1903677","19-1903677")</f>
        <v>0</v>
      </c>
      <c r="B850" t="s">
        <v>159</v>
      </c>
      <c r="C850" t="s">
        <v>191</v>
      </c>
      <c r="D850" t="s">
        <v>194</v>
      </c>
      <c r="F850" t="s">
        <v>1007</v>
      </c>
      <c r="G850" t="s">
        <v>1217</v>
      </c>
      <c r="H850" t="s">
        <v>2585</v>
      </c>
      <c r="I850" t="s">
        <v>2829</v>
      </c>
      <c r="J850" t="s">
        <v>3159</v>
      </c>
      <c r="K850">
        <v>10301</v>
      </c>
      <c r="L850" t="s">
        <v>3185</v>
      </c>
      <c r="M850" t="s">
        <v>3189</v>
      </c>
      <c r="N850" t="s">
        <v>3186</v>
      </c>
      <c r="O850" t="s">
        <v>3491</v>
      </c>
      <c r="P850" t="s">
        <v>3610</v>
      </c>
      <c r="Q850" t="s">
        <v>3638</v>
      </c>
      <c r="S850" t="s">
        <v>194</v>
      </c>
      <c r="T850" t="s">
        <v>3660</v>
      </c>
      <c r="U850" t="s">
        <v>3184</v>
      </c>
      <c r="W850" t="s">
        <v>3670</v>
      </c>
      <c r="X850" t="s">
        <v>3681</v>
      </c>
      <c r="Y850">
        <v>1515</v>
      </c>
      <c r="Z850" t="s">
        <v>3692</v>
      </c>
      <c r="AA850" t="s">
        <v>3707</v>
      </c>
      <c r="AC850" t="s">
        <v>4486</v>
      </c>
      <c r="AE850" t="s">
        <v>5566</v>
      </c>
      <c r="AF850">
        <v>11</v>
      </c>
      <c r="AG850" t="s">
        <v>5813</v>
      </c>
      <c r="AH850" t="s">
        <v>5828</v>
      </c>
      <c r="AI850">
        <v>1</v>
      </c>
      <c r="AJ850">
        <v>1</v>
      </c>
      <c r="AK850">
        <v>2</v>
      </c>
      <c r="AL850">
        <v>70.31999999999999</v>
      </c>
      <c r="AO850" t="s">
        <v>5843</v>
      </c>
      <c r="AP850">
        <v>15000</v>
      </c>
      <c r="AV850">
        <v>11.75</v>
      </c>
      <c r="AW850" t="s">
        <v>199</v>
      </c>
      <c r="AX850" t="s">
        <v>6017</v>
      </c>
    </row>
    <row r="851" spans="1:50">
      <c r="A851" s="1">
        <f>HYPERLINK("https://lsnyc.legalserver.org/matter/dynamic-profile/view/1904423","19-1904423")</f>
        <v>0</v>
      </c>
      <c r="B851" t="s">
        <v>159</v>
      </c>
      <c r="C851" t="s">
        <v>191</v>
      </c>
      <c r="D851" t="s">
        <v>218</v>
      </c>
      <c r="F851" t="s">
        <v>511</v>
      </c>
      <c r="G851" t="s">
        <v>1260</v>
      </c>
      <c r="H851" t="s">
        <v>2035</v>
      </c>
      <c r="I851">
        <v>513</v>
      </c>
      <c r="J851" t="s">
        <v>3159</v>
      </c>
      <c r="K851">
        <v>10304</v>
      </c>
      <c r="L851" t="s">
        <v>3185</v>
      </c>
      <c r="M851" t="s">
        <v>3189</v>
      </c>
      <c r="N851" t="s">
        <v>3186</v>
      </c>
      <c r="O851" t="s">
        <v>3492</v>
      </c>
      <c r="P851" t="s">
        <v>3610</v>
      </c>
      <c r="Q851" t="s">
        <v>3638</v>
      </c>
      <c r="S851" t="s">
        <v>218</v>
      </c>
      <c r="T851" t="s">
        <v>3660</v>
      </c>
      <c r="U851" t="s">
        <v>3184</v>
      </c>
      <c r="W851" t="s">
        <v>3670</v>
      </c>
      <c r="X851" t="s">
        <v>3681</v>
      </c>
      <c r="Y851">
        <v>1202.3</v>
      </c>
      <c r="Z851" t="s">
        <v>3692</v>
      </c>
      <c r="AA851" t="s">
        <v>3701</v>
      </c>
      <c r="AC851" t="s">
        <v>3803</v>
      </c>
      <c r="AE851" t="s">
        <v>4946</v>
      </c>
      <c r="AF851">
        <v>105</v>
      </c>
      <c r="AG851" t="s">
        <v>5813</v>
      </c>
      <c r="AH851" t="s">
        <v>5831</v>
      </c>
      <c r="AI851">
        <v>8</v>
      </c>
      <c r="AJ851">
        <v>1</v>
      </c>
      <c r="AK851">
        <v>0</v>
      </c>
      <c r="AL851">
        <v>84.36</v>
      </c>
      <c r="AO851" t="s">
        <v>5843</v>
      </c>
      <c r="AP851">
        <v>10536</v>
      </c>
      <c r="AV851">
        <v>8.300000000000001</v>
      </c>
      <c r="AW851" t="s">
        <v>291</v>
      </c>
      <c r="AX851" t="s">
        <v>6017</v>
      </c>
    </row>
    <row r="852" spans="1:50">
      <c r="A852" s="1">
        <f>HYPERLINK("https://lsnyc.legalserver.org/matter/dynamic-profile/view/1904433","19-1904433")</f>
        <v>0</v>
      </c>
      <c r="B852" t="s">
        <v>159</v>
      </c>
      <c r="C852" t="s">
        <v>191</v>
      </c>
      <c r="D852" t="s">
        <v>272</v>
      </c>
      <c r="F852" t="s">
        <v>1008</v>
      </c>
      <c r="G852" t="s">
        <v>1786</v>
      </c>
      <c r="H852" t="s">
        <v>2586</v>
      </c>
      <c r="J852" t="s">
        <v>3159</v>
      </c>
      <c r="K852">
        <v>10306</v>
      </c>
      <c r="L852" t="s">
        <v>3185</v>
      </c>
      <c r="M852" t="s">
        <v>3189</v>
      </c>
      <c r="N852" t="s">
        <v>3186</v>
      </c>
      <c r="O852" t="s">
        <v>3493</v>
      </c>
      <c r="P852" t="s">
        <v>3613</v>
      </c>
      <c r="Q852" t="s">
        <v>3638</v>
      </c>
      <c r="S852" t="s">
        <v>218</v>
      </c>
      <c r="T852" t="s">
        <v>3660</v>
      </c>
      <c r="U852" t="s">
        <v>3184</v>
      </c>
      <c r="W852" t="s">
        <v>3670</v>
      </c>
      <c r="X852" t="s">
        <v>3681</v>
      </c>
      <c r="Y852">
        <v>0</v>
      </c>
      <c r="Z852" t="s">
        <v>3692</v>
      </c>
      <c r="AA852" t="s">
        <v>3697</v>
      </c>
      <c r="AC852" t="s">
        <v>4487</v>
      </c>
      <c r="AE852" t="s">
        <v>5567</v>
      </c>
      <c r="AF852">
        <v>1</v>
      </c>
      <c r="AG852" t="s">
        <v>5814</v>
      </c>
      <c r="AI852">
        <v>15</v>
      </c>
      <c r="AJ852">
        <v>3</v>
      </c>
      <c r="AK852">
        <v>0</v>
      </c>
      <c r="AL852">
        <v>148.86</v>
      </c>
      <c r="AO852" t="s">
        <v>5843</v>
      </c>
      <c r="AP852">
        <v>31752</v>
      </c>
      <c r="AV852">
        <v>6.3</v>
      </c>
      <c r="AW852" t="s">
        <v>196</v>
      </c>
      <c r="AX852" t="s">
        <v>58</v>
      </c>
    </row>
    <row r="853" spans="1:50">
      <c r="A853" s="1">
        <f>HYPERLINK("https://lsnyc.legalserver.org/matter/dynamic-profile/view/1905021","19-1905021")</f>
        <v>0</v>
      </c>
      <c r="B853" t="s">
        <v>159</v>
      </c>
      <c r="C853" t="s">
        <v>191</v>
      </c>
      <c r="D853" t="s">
        <v>202</v>
      </c>
      <c r="F853" t="s">
        <v>1009</v>
      </c>
      <c r="G853" t="s">
        <v>1787</v>
      </c>
      <c r="H853" t="s">
        <v>2587</v>
      </c>
      <c r="I853" t="s">
        <v>2983</v>
      </c>
      <c r="J853" t="s">
        <v>3159</v>
      </c>
      <c r="K853">
        <v>10304</v>
      </c>
      <c r="L853" t="s">
        <v>3185</v>
      </c>
      <c r="M853" t="s">
        <v>3189</v>
      </c>
      <c r="N853" t="s">
        <v>3186</v>
      </c>
      <c r="O853" t="s">
        <v>3494</v>
      </c>
      <c r="P853" t="s">
        <v>3610</v>
      </c>
      <c r="Q853" t="s">
        <v>3638</v>
      </c>
      <c r="S853" t="s">
        <v>202</v>
      </c>
      <c r="T853" t="s">
        <v>3660</v>
      </c>
      <c r="U853" t="s">
        <v>3184</v>
      </c>
      <c r="W853" t="s">
        <v>3670</v>
      </c>
      <c r="X853" t="s">
        <v>3681</v>
      </c>
      <c r="Y853">
        <v>463</v>
      </c>
      <c r="Z853" t="s">
        <v>3692</v>
      </c>
      <c r="AA853" t="s">
        <v>3696</v>
      </c>
      <c r="AC853" t="s">
        <v>4488</v>
      </c>
      <c r="AE853" t="s">
        <v>5568</v>
      </c>
      <c r="AF853">
        <v>131</v>
      </c>
      <c r="AG853" t="s">
        <v>5813</v>
      </c>
      <c r="AH853" t="s">
        <v>3188</v>
      </c>
      <c r="AI853">
        <v>8</v>
      </c>
      <c r="AJ853">
        <v>3</v>
      </c>
      <c r="AK853">
        <v>0</v>
      </c>
      <c r="AL853">
        <v>156.02</v>
      </c>
      <c r="AO853" t="s">
        <v>5843</v>
      </c>
      <c r="AP853">
        <v>33279.96</v>
      </c>
      <c r="AV853">
        <v>3.15</v>
      </c>
      <c r="AW853" t="s">
        <v>196</v>
      </c>
      <c r="AX853" t="s">
        <v>6017</v>
      </c>
    </row>
    <row r="854" spans="1:50">
      <c r="A854" s="1">
        <f>HYPERLINK("https://lsnyc.legalserver.org/matter/dynamic-profile/view/1906263","19-1906263")</f>
        <v>0</v>
      </c>
      <c r="B854" t="s">
        <v>159</v>
      </c>
      <c r="C854" t="s">
        <v>191</v>
      </c>
      <c r="D854" t="s">
        <v>260</v>
      </c>
      <c r="F854" t="s">
        <v>1010</v>
      </c>
      <c r="G854" t="s">
        <v>1788</v>
      </c>
      <c r="H854" t="s">
        <v>2588</v>
      </c>
      <c r="I854" t="s">
        <v>2965</v>
      </c>
      <c r="J854" t="s">
        <v>3159</v>
      </c>
      <c r="K854">
        <v>10301</v>
      </c>
      <c r="L854" t="s">
        <v>3185</v>
      </c>
      <c r="M854" t="s">
        <v>3189</v>
      </c>
      <c r="N854" t="s">
        <v>3186</v>
      </c>
      <c r="O854" t="s">
        <v>3200</v>
      </c>
      <c r="P854" t="s">
        <v>3614</v>
      </c>
      <c r="Q854" t="s">
        <v>3636</v>
      </c>
      <c r="S854" t="s">
        <v>260</v>
      </c>
      <c r="T854" t="s">
        <v>3661</v>
      </c>
      <c r="U854" t="s">
        <v>3184</v>
      </c>
      <c r="W854" t="s">
        <v>3673</v>
      </c>
      <c r="X854" t="s">
        <v>3681</v>
      </c>
      <c r="Y854">
        <v>98</v>
      </c>
      <c r="Z854" t="s">
        <v>3692</v>
      </c>
      <c r="AA854" t="s">
        <v>3703</v>
      </c>
      <c r="AC854" t="s">
        <v>4489</v>
      </c>
      <c r="AE854" t="s">
        <v>5569</v>
      </c>
      <c r="AF854">
        <v>2</v>
      </c>
      <c r="AG854" t="s">
        <v>5814</v>
      </c>
      <c r="AH854" t="s">
        <v>5827</v>
      </c>
      <c r="AI854">
        <v>3</v>
      </c>
      <c r="AJ854">
        <v>4</v>
      </c>
      <c r="AK854">
        <v>0</v>
      </c>
      <c r="AL854">
        <v>40.12</v>
      </c>
      <c r="AM854" t="s">
        <v>5835</v>
      </c>
      <c r="AN854" t="s">
        <v>5840</v>
      </c>
      <c r="AO854" t="s">
        <v>5843</v>
      </c>
      <c r="AP854">
        <v>10332</v>
      </c>
      <c r="AV854">
        <v>1.6</v>
      </c>
      <c r="AW854" t="s">
        <v>253</v>
      </c>
      <c r="AX854" t="s">
        <v>159</v>
      </c>
    </row>
    <row r="855" spans="1:50">
      <c r="A855" s="1">
        <f>HYPERLINK("https://lsnyc.legalserver.org/matter/dynamic-profile/view/1906981","19-1906981")</f>
        <v>0</v>
      </c>
      <c r="B855" t="s">
        <v>159</v>
      </c>
      <c r="C855" t="s">
        <v>191</v>
      </c>
      <c r="D855" t="s">
        <v>253</v>
      </c>
      <c r="F855" t="s">
        <v>1011</v>
      </c>
      <c r="G855" t="s">
        <v>1789</v>
      </c>
      <c r="H855" t="s">
        <v>2589</v>
      </c>
      <c r="J855" t="s">
        <v>3159</v>
      </c>
      <c r="K855">
        <v>10304</v>
      </c>
      <c r="L855" t="s">
        <v>3185</v>
      </c>
      <c r="M855" t="s">
        <v>3189</v>
      </c>
      <c r="N855" t="s">
        <v>3186</v>
      </c>
      <c r="O855" t="s">
        <v>3191</v>
      </c>
      <c r="P855" t="s">
        <v>3257</v>
      </c>
      <c r="Q855" t="s">
        <v>3636</v>
      </c>
      <c r="S855" t="s">
        <v>253</v>
      </c>
      <c r="T855" t="s">
        <v>3660</v>
      </c>
      <c r="U855" t="s">
        <v>3184</v>
      </c>
      <c r="W855" t="s">
        <v>3670</v>
      </c>
      <c r="X855" t="s">
        <v>3681</v>
      </c>
      <c r="Y855">
        <v>1750</v>
      </c>
      <c r="Z855" t="s">
        <v>3692</v>
      </c>
      <c r="AA855" t="s">
        <v>3698</v>
      </c>
      <c r="AC855" t="s">
        <v>4490</v>
      </c>
      <c r="AE855" t="s">
        <v>5570</v>
      </c>
      <c r="AF855">
        <v>1</v>
      </c>
      <c r="AG855" t="s">
        <v>5814</v>
      </c>
      <c r="AH855" t="s">
        <v>3188</v>
      </c>
      <c r="AI855">
        <v>5</v>
      </c>
      <c r="AJ855">
        <v>2</v>
      </c>
      <c r="AK855">
        <v>2</v>
      </c>
      <c r="AL855">
        <v>96.33</v>
      </c>
      <c r="AO855" t="s">
        <v>5843</v>
      </c>
      <c r="AP855">
        <v>24804</v>
      </c>
      <c r="AV855">
        <v>1.35</v>
      </c>
      <c r="AW855" t="s">
        <v>196</v>
      </c>
      <c r="AX855" t="s">
        <v>6017</v>
      </c>
    </row>
    <row r="856" spans="1:50">
      <c r="A856" s="1">
        <f>HYPERLINK("https://lsnyc.legalserver.org/matter/dynamic-profile/view/1907558","19-1907558")</f>
        <v>0</v>
      </c>
      <c r="B856" t="s">
        <v>159</v>
      </c>
      <c r="C856" t="s">
        <v>191</v>
      </c>
      <c r="D856" t="s">
        <v>212</v>
      </c>
      <c r="F856" t="s">
        <v>1012</v>
      </c>
      <c r="G856" t="s">
        <v>1790</v>
      </c>
      <c r="H856" t="s">
        <v>2590</v>
      </c>
      <c r="I856" t="s">
        <v>3077</v>
      </c>
      <c r="J856" t="s">
        <v>3176</v>
      </c>
      <c r="K856">
        <v>10301</v>
      </c>
      <c r="L856" t="s">
        <v>3185</v>
      </c>
      <c r="M856" t="s">
        <v>3189</v>
      </c>
      <c r="N856" t="s">
        <v>3186</v>
      </c>
      <c r="O856" t="s">
        <v>3495</v>
      </c>
      <c r="P856" t="s">
        <v>3610</v>
      </c>
      <c r="Q856" t="s">
        <v>3638</v>
      </c>
      <c r="S856" t="s">
        <v>212</v>
      </c>
      <c r="T856" t="s">
        <v>3660</v>
      </c>
      <c r="U856" t="s">
        <v>3184</v>
      </c>
      <c r="W856" t="s">
        <v>3670</v>
      </c>
      <c r="X856" t="s">
        <v>3681</v>
      </c>
      <c r="Y856">
        <v>1599</v>
      </c>
      <c r="Z856" t="s">
        <v>3692</v>
      </c>
      <c r="AA856" t="s">
        <v>3710</v>
      </c>
      <c r="AC856" t="s">
        <v>4491</v>
      </c>
      <c r="AE856" t="s">
        <v>5571</v>
      </c>
      <c r="AF856">
        <v>224</v>
      </c>
      <c r="AG856" t="s">
        <v>5813</v>
      </c>
      <c r="AH856" t="s">
        <v>3188</v>
      </c>
      <c r="AI856">
        <v>1</v>
      </c>
      <c r="AJ856">
        <v>2</v>
      </c>
      <c r="AK856">
        <v>0</v>
      </c>
      <c r="AL856">
        <v>125.25</v>
      </c>
      <c r="AO856" t="s">
        <v>5843</v>
      </c>
      <c r="AP856">
        <v>21180</v>
      </c>
      <c r="AV856">
        <v>5.35</v>
      </c>
      <c r="AW856" t="s">
        <v>275</v>
      </c>
      <c r="AX856" t="s">
        <v>6017</v>
      </c>
    </row>
    <row r="857" spans="1:50">
      <c r="A857" s="1">
        <f>HYPERLINK("https://lsnyc.legalserver.org/matter/dynamic-profile/view/1908436","19-1908436")</f>
        <v>0</v>
      </c>
      <c r="B857" t="s">
        <v>159</v>
      </c>
      <c r="C857" t="s">
        <v>191</v>
      </c>
      <c r="D857" t="s">
        <v>196</v>
      </c>
      <c r="F857" t="s">
        <v>855</v>
      </c>
      <c r="G857" t="s">
        <v>1369</v>
      </c>
      <c r="H857" t="s">
        <v>2591</v>
      </c>
      <c r="I857" t="s">
        <v>3012</v>
      </c>
      <c r="J857" t="s">
        <v>3159</v>
      </c>
      <c r="K857">
        <v>10304</v>
      </c>
      <c r="L857" t="s">
        <v>3185</v>
      </c>
      <c r="M857" t="s">
        <v>3189</v>
      </c>
      <c r="N857" t="s">
        <v>3186</v>
      </c>
      <c r="O857" t="s">
        <v>3496</v>
      </c>
      <c r="P857" t="s">
        <v>3610</v>
      </c>
      <c r="Q857" t="s">
        <v>3638</v>
      </c>
      <c r="S857" t="s">
        <v>222</v>
      </c>
      <c r="T857" t="s">
        <v>3660</v>
      </c>
      <c r="U857" t="s">
        <v>3184</v>
      </c>
      <c r="W857" t="s">
        <v>3670</v>
      </c>
      <c r="X857" t="s">
        <v>3681</v>
      </c>
      <c r="Y857">
        <v>169</v>
      </c>
      <c r="Z857" t="s">
        <v>3692</v>
      </c>
      <c r="AA857" t="s">
        <v>3706</v>
      </c>
      <c r="AC857" t="s">
        <v>4492</v>
      </c>
      <c r="AE857" t="s">
        <v>5572</v>
      </c>
      <c r="AF857">
        <v>305</v>
      </c>
      <c r="AG857" t="s">
        <v>5812</v>
      </c>
      <c r="AH857" t="s">
        <v>3188</v>
      </c>
      <c r="AI857">
        <v>18</v>
      </c>
      <c r="AJ857">
        <v>1</v>
      </c>
      <c r="AK857">
        <v>0</v>
      </c>
      <c r="AL857">
        <v>74.27</v>
      </c>
      <c r="AO857" t="s">
        <v>5843</v>
      </c>
      <c r="AP857">
        <v>9276</v>
      </c>
      <c r="AV857">
        <v>3.2</v>
      </c>
      <c r="AW857" t="s">
        <v>199</v>
      </c>
      <c r="AX857" t="s">
        <v>6017</v>
      </c>
    </row>
    <row r="858" spans="1:50">
      <c r="A858" s="1">
        <f>HYPERLINK("https://lsnyc.legalserver.org/matter/dynamic-profile/view/1909441","19-1909441")</f>
        <v>0</v>
      </c>
      <c r="B858" t="s">
        <v>159</v>
      </c>
      <c r="C858" t="s">
        <v>191</v>
      </c>
      <c r="D858" t="s">
        <v>196</v>
      </c>
      <c r="F858" t="s">
        <v>1013</v>
      </c>
      <c r="G858" t="s">
        <v>1791</v>
      </c>
      <c r="H858" t="s">
        <v>2592</v>
      </c>
      <c r="I858">
        <v>2</v>
      </c>
      <c r="J858" t="s">
        <v>3159</v>
      </c>
      <c r="K858">
        <v>10306</v>
      </c>
      <c r="L858" t="s">
        <v>3185</v>
      </c>
      <c r="M858" t="s">
        <v>3189</v>
      </c>
      <c r="N858" t="s">
        <v>3186</v>
      </c>
      <c r="O858" t="s">
        <v>3200</v>
      </c>
      <c r="P858" t="s">
        <v>3257</v>
      </c>
      <c r="Q858" t="s">
        <v>3637</v>
      </c>
      <c r="S858" t="s">
        <v>196</v>
      </c>
      <c r="T858" t="s">
        <v>3661</v>
      </c>
      <c r="U858" t="s">
        <v>3184</v>
      </c>
      <c r="W858" t="s">
        <v>3670</v>
      </c>
      <c r="X858" t="s">
        <v>3681</v>
      </c>
      <c r="Y858">
        <v>0</v>
      </c>
      <c r="Z858" t="s">
        <v>3692</v>
      </c>
      <c r="AA858" t="s">
        <v>3703</v>
      </c>
      <c r="AC858" t="s">
        <v>4493</v>
      </c>
      <c r="AE858" t="s">
        <v>5573</v>
      </c>
      <c r="AF858">
        <v>2</v>
      </c>
      <c r="AH858" t="s">
        <v>3188</v>
      </c>
      <c r="AI858">
        <v>2</v>
      </c>
      <c r="AJ858">
        <v>2</v>
      </c>
      <c r="AK858">
        <v>1</v>
      </c>
      <c r="AL858">
        <v>200.79</v>
      </c>
      <c r="AN858" t="s">
        <v>5840</v>
      </c>
      <c r="AO858" t="s">
        <v>5844</v>
      </c>
      <c r="AP858">
        <v>42828</v>
      </c>
      <c r="AV858">
        <v>1.6</v>
      </c>
      <c r="AW858" t="s">
        <v>269</v>
      </c>
      <c r="AX858" t="s">
        <v>159</v>
      </c>
    </row>
    <row r="859" spans="1:50">
      <c r="A859" s="1">
        <f>HYPERLINK("https://lsnyc.legalserver.org/matter/dynamic-profile/view/1909677","19-1909677")</f>
        <v>0</v>
      </c>
      <c r="B859" t="s">
        <v>159</v>
      </c>
      <c r="C859" t="s">
        <v>191</v>
      </c>
      <c r="D859" t="s">
        <v>275</v>
      </c>
      <c r="F859" t="s">
        <v>1014</v>
      </c>
      <c r="G859" t="s">
        <v>1792</v>
      </c>
      <c r="H859" t="s">
        <v>2593</v>
      </c>
      <c r="I859" t="s">
        <v>3078</v>
      </c>
      <c r="J859" t="s">
        <v>3159</v>
      </c>
      <c r="K859">
        <v>10301</v>
      </c>
      <c r="L859" t="s">
        <v>3185</v>
      </c>
      <c r="M859" t="s">
        <v>3189</v>
      </c>
      <c r="N859" t="s">
        <v>3186</v>
      </c>
      <c r="O859" t="s">
        <v>3497</v>
      </c>
      <c r="P859" t="s">
        <v>3613</v>
      </c>
      <c r="Q859" t="s">
        <v>3638</v>
      </c>
      <c r="S859" t="s">
        <v>275</v>
      </c>
      <c r="T859" t="s">
        <v>3660</v>
      </c>
      <c r="U859" t="s">
        <v>3184</v>
      </c>
      <c r="W859" t="s">
        <v>3670</v>
      </c>
      <c r="X859" t="s">
        <v>3683</v>
      </c>
      <c r="Y859">
        <v>1534</v>
      </c>
      <c r="Z859" t="s">
        <v>3692</v>
      </c>
      <c r="AA859" t="s">
        <v>3696</v>
      </c>
      <c r="AC859" t="s">
        <v>4494</v>
      </c>
      <c r="AD859">
        <v>6882415</v>
      </c>
      <c r="AE859" t="s">
        <v>5574</v>
      </c>
      <c r="AF859">
        <v>5</v>
      </c>
      <c r="AG859" t="s">
        <v>5814</v>
      </c>
      <c r="AH859" t="s">
        <v>5825</v>
      </c>
      <c r="AI859">
        <v>4</v>
      </c>
      <c r="AJ859">
        <v>1</v>
      </c>
      <c r="AK859">
        <v>2</v>
      </c>
      <c r="AL859">
        <v>58.96</v>
      </c>
      <c r="AO859" t="s">
        <v>5843</v>
      </c>
      <c r="AP859">
        <v>12576</v>
      </c>
      <c r="AV859">
        <v>6.5</v>
      </c>
      <c r="AW859" t="s">
        <v>291</v>
      </c>
      <c r="AX859" t="s">
        <v>6017</v>
      </c>
    </row>
    <row r="860" spans="1:50">
      <c r="A860" s="1">
        <f>HYPERLINK("https://lsnyc.legalserver.org/matter/dynamic-profile/view/1909659","19-1909659")</f>
        <v>0</v>
      </c>
      <c r="B860" t="s">
        <v>159</v>
      </c>
      <c r="C860" t="s">
        <v>191</v>
      </c>
      <c r="D860" t="s">
        <v>275</v>
      </c>
      <c r="F860" t="s">
        <v>1015</v>
      </c>
      <c r="G860" t="s">
        <v>1793</v>
      </c>
      <c r="H860" t="s">
        <v>2594</v>
      </c>
      <c r="J860" t="s">
        <v>3159</v>
      </c>
      <c r="K860">
        <v>10301</v>
      </c>
      <c r="L860" t="s">
        <v>3185</v>
      </c>
      <c r="M860" t="s">
        <v>3189</v>
      </c>
      <c r="N860" t="s">
        <v>3186</v>
      </c>
      <c r="O860" t="s">
        <v>3498</v>
      </c>
      <c r="Q860" t="s">
        <v>3638</v>
      </c>
      <c r="S860" t="s">
        <v>275</v>
      </c>
      <c r="T860" t="s">
        <v>3660</v>
      </c>
      <c r="U860" t="s">
        <v>3184</v>
      </c>
      <c r="W860" t="s">
        <v>3670</v>
      </c>
      <c r="X860" t="s">
        <v>3681</v>
      </c>
      <c r="Y860">
        <v>1200</v>
      </c>
      <c r="Z860" t="s">
        <v>3692</v>
      </c>
      <c r="AA860" t="s">
        <v>3710</v>
      </c>
      <c r="AC860" t="s">
        <v>4495</v>
      </c>
      <c r="AE860" t="s">
        <v>5575</v>
      </c>
      <c r="AF860">
        <v>2</v>
      </c>
      <c r="AG860" t="s">
        <v>5814</v>
      </c>
      <c r="AH860" t="s">
        <v>3188</v>
      </c>
      <c r="AI860">
        <v>23</v>
      </c>
      <c r="AJ860">
        <v>1</v>
      </c>
      <c r="AK860">
        <v>1</v>
      </c>
      <c r="AL860">
        <v>85.16</v>
      </c>
      <c r="AO860" t="s">
        <v>5843</v>
      </c>
      <c r="AP860">
        <v>14400</v>
      </c>
      <c r="AV860">
        <v>1</v>
      </c>
      <c r="AW860" t="s">
        <v>275</v>
      </c>
      <c r="AX860" t="s">
        <v>6017</v>
      </c>
    </row>
    <row r="861" spans="1:50">
      <c r="A861" s="1">
        <f>HYPERLINK("https://lsnyc.legalserver.org/matter/dynamic-profile/view/1908794","19-1908794")</f>
        <v>0</v>
      </c>
      <c r="B861" t="s">
        <v>159</v>
      </c>
      <c r="C861" t="s">
        <v>191</v>
      </c>
      <c r="D861" t="s">
        <v>280</v>
      </c>
      <c r="F861" t="s">
        <v>796</v>
      </c>
      <c r="G861" t="s">
        <v>1794</v>
      </c>
      <c r="H861" t="s">
        <v>2595</v>
      </c>
      <c r="I861" t="s">
        <v>2900</v>
      </c>
      <c r="J861" t="s">
        <v>3159</v>
      </c>
      <c r="K861">
        <v>10301</v>
      </c>
      <c r="L861" t="s">
        <v>3185</v>
      </c>
      <c r="M861" t="s">
        <v>3189</v>
      </c>
      <c r="N861" t="s">
        <v>3186</v>
      </c>
      <c r="O861" t="s">
        <v>3200</v>
      </c>
      <c r="P861" t="s">
        <v>3613</v>
      </c>
      <c r="Q861" t="s">
        <v>3634</v>
      </c>
      <c r="S861" t="s">
        <v>199</v>
      </c>
      <c r="T861" t="s">
        <v>3660</v>
      </c>
      <c r="U861" t="s">
        <v>3184</v>
      </c>
      <c r="V861" t="s">
        <v>3660</v>
      </c>
      <c r="W861" t="s">
        <v>3670</v>
      </c>
      <c r="X861" t="s">
        <v>3681</v>
      </c>
      <c r="Y861">
        <v>642</v>
      </c>
      <c r="Z861" t="s">
        <v>3692</v>
      </c>
      <c r="AA861" t="s">
        <v>3695</v>
      </c>
      <c r="AC861" t="s">
        <v>4496</v>
      </c>
      <c r="AE861" t="s">
        <v>5576</v>
      </c>
      <c r="AF861">
        <v>16</v>
      </c>
      <c r="AG861" t="s">
        <v>5813</v>
      </c>
      <c r="AI861">
        <v>7</v>
      </c>
      <c r="AJ861">
        <v>1</v>
      </c>
      <c r="AK861">
        <v>0</v>
      </c>
      <c r="AL861">
        <v>153.72</v>
      </c>
      <c r="AO861" t="s">
        <v>5843</v>
      </c>
      <c r="AP861">
        <v>19200</v>
      </c>
      <c r="AV861">
        <v>2.3</v>
      </c>
      <c r="AW861" t="s">
        <v>199</v>
      </c>
      <c r="AX861" t="s">
        <v>6008</v>
      </c>
    </row>
    <row r="862" spans="1:50">
      <c r="A862" s="1">
        <f>HYPERLINK("https://lsnyc.legalserver.org/matter/dynamic-profile/view/1875911","18-1875911")</f>
        <v>0</v>
      </c>
      <c r="B862" t="s">
        <v>159</v>
      </c>
      <c r="C862" t="s">
        <v>191</v>
      </c>
      <c r="D862" t="s">
        <v>297</v>
      </c>
      <c r="F862" t="s">
        <v>514</v>
      </c>
      <c r="G862" t="s">
        <v>1324</v>
      </c>
      <c r="H862" t="s">
        <v>2596</v>
      </c>
      <c r="J862" t="s">
        <v>3159</v>
      </c>
      <c r="K862">
        <v>10304</v>
      </c>
      <c r="L862" t="s">
        <v>3185</v>
      </c>
      <c r="N862" t="s">
        <v>3185</v>
      </c>
      <c r="O862" t="s">
        <v>3188</v>
      </c>
      <c r="P862" t="s">
        <v>3622</v>
      </c>
      <c r="Q862" t="s">
        <v>3635</v>
      </c>
      <c r="T862" t="s">
        <v>3660</v>
      </c>
      <c r="U862" t="s">
        <v>3184</v>
      </c>
      <c r="W862" t="s">
        <v>3670</v>
      </c>
      <c r="Y862">
        <v>1295</v>
      </c>
      <c r="Z862" t="s">
        <v>3692</v>
      </c>
      <c r="AA862" t="s">
        <v>3696</v>
      </c>
      <c r="AC862" t="s">
        <v>4497</v>
      </c>
      <c r="AE862" t="s">
        <v>5577</v>
      </c>
      <c r="AF862">
        <v>12</v>
      </c>
      <c r="AG862" t="s">
        <v>5813</v>
      </c>
      <c r="AH862" t="s">
        <v>5827</v>
      </c>
      <c r="AI862">
        <v>7</v>
      </c>
      <c r="AJ862">
        <v>1</v>
      </c>
      <c r="AK862">
        <v>2</v>
      </c>
      <c r="AL862">
        <v>91.43000000000001</v>
      </c>
      <c r="AO862" t="s">
        <v>5843</v>
      </c>
      <c r="AP862">
        <v>19000</v>
      </c>
      <c r="AV862">
        <v>2.2</v>
      </c>
      <c r="AW862" t="s">
        <v>5996</v>
      </c>
      <c r="AX862" t="s">
        <v>6054</v>
      </c>
    </row>
    <row r="863" spans="1:50">
      <c r="A863" s="1">
        <f>HYPERLINK("https://lsnyc.legalserver.org/matter/dynamic-profile/view/1908151","19-1908151")</f>
        <v>0</v>
      </c>
      <c r="B863" t="s">
        <v>158</v>
      </c>
      <c r="C863" t="s">
        <v>192</v>
      </c>
      <c r="D863" t="s">
        <v>286</v>
      </c>
      <c r="E863" t="s">
        <v>252</v>
      </c>
      <c r="F863" t="s">
        <v>605</v>
      </c>
      <c r="G863" t="s">
        <v>1795</v>
      </c>
      <c r="H863" t="s">
        <v>2597</v>
      </c>
      <c r="I863" t="s">
        <v>2823</v>
      </c>
      <c r="J863" t="s">
        <v>3148</v>
      </c>
      <c r="K863">
        <v>11207</v>
      </c>
      <c r="L863" t="s">
        <v>3184</v>
      </c>
      <c r="M863" t="s">
        <v>3188</v>
      </c>
      <c r="N863" t="s">
        <v>3186</v>
      </c>
      <c r="O863" t="s">
        <v>3218</v>
      </c>
      <c r="P863" t="s">
        <v>3257</v>
      </c>
      <c r="R863" t="s">
        <v>3642</v>
      </c>
      <c r="T863" t="s">
        <v>3660</v>
      </c>
      <c r="U863" t="s">
        <v>3184</v>
      </c>
      <c r="W863" t="s">
        <v>3670</v>
      </c>
      <c r="Y863">
        <v>1300</v>
      </c>
      <c r="Z863" t="s">
        <v>3691</v>
      </c>
      <c r="AB863" t="s">
        <v>3712</v>
      </c>
      <c r="AC863" t="s">
        <v>4498</v>
      </c>
      <c r="AD863" t="s">
        <v>4779</v>
      </c>
      <c r="AE863" t="s">
        <v>5578</v>
      </c>
      <c r="AF863">
        <v>2</v>
      </c>
      <c r="AG863" t="s">
        <v>5814</v>
      </c>
      <c r="AH863" t="s">
        <v>3188</v>
      </c>
      <c r="AI863">
        <v>7</v>
      </c>
      <c r="AJ863">
        <v>1</v>
      </c>
      <c r="AK863">
        <v>0</v>
      </c>
      <c r="AL863">
        <v>76.86</v>
      </c>
      <c r="AO863" t="s">
        <v>5843</v>
      </c>
      <c r="AP863">
        <v>9600</v>
      </c>
      <c r="AQ863" t="s">
        <v>5921</v>
      </c>
      <c r="AV863">
        <v>1</v>
      </c>
      <c r="AW863" t="s">
        <v>286</v>
      </c>
      <c r="AX863" t="s">
        <v>6030</v>
      </c>
    </row>
    <row r="864" spans="1:50">
      <c r="A864" s="1">
        <f>HYPERLINK("https://lsnyc.legalserver.org/matter/dynamic-profile/view/1898014","19-1898014")</f>
        <v>0</v>
      </c>
      <c r="B864" t="s">
        <v>159</v>
      </c>
      <c r="C864" t="s">
        <v>191</v>
      </c>
      <c r="D864" t="s">
        <v>383</v>
      </c>
      <c r="F864" t="s">
        <v>463</v>
      </c>
      <c r="G864" t="s">
        <v>1796</v>
      </c>
      <c r="H864" t="s">
        <v>2598</v>
      </c>
      <c r="I864" t="s">
        <v>2865</v>
      </c>
      <c r="J864" t="s">
        <v>3159</v>
      </c>
      <c r="K864">
        <v>10306</v>
      </c>
      <c r="L864" t="s">
        <v>3185</v>
      </c>
      <c r="M864" t="s">
        <v>3189</v>
      </c>
      <c r="N864" t="s">
        <v>3186</v>
      </c>
      <c r="O864" t="s">
        <v>3499</v>
      </c>
      <c r="P864" t="s">
        <v>3613</v>
      </c>
      <c r="Q864" t="s">
        <v>3638</v>
      </c>
      <c r="T864" t="s">
        <v>3660</v>
      </c>
      <c r="U864" t="s">
        <v>3184</v>
      </c>
      <c r="W864" t="s">
        <v>3670</v>
      </c>
      <c r="X864" t="s">
        <v>3681</v>
      </c>
      <c r="Y864">
        <v>1350</v>
      </c>
      <c r="Z864" t="s">
        <v>3692</v>
      </c>
      <c r="AA864" t="s">
        <v>3706</v>
      </c>
      <c r="AC864" t="s">
        <v>4210</v>
      </c>
      <c r="AE864" t="s">
        <v>5579</v>
      </c>
      <c r="AF864">
        <v>0</v>
      </c>
      <c r="AG864" t="s">
        <v>5814</v>
      </c>
      <c r="AH864" t="s">
        <v>3188</v>
      </c>
      <c r="AI864">
        <v>5</v>
      </c>
      <c r="AJ864">
        <v>2</v>
      </c>
      <c r="AK864">
        <v>0</v>
      </c>
      <c r="AL864">
        <v>202.96</v>
      </c>
      <c r="AM864" t="s">
        <v>375</v>
      </c>
      <c r="AN864" t="s">
        <v>5839</v>
      </c>
      <c r="AO864" t="s">
        <v>5843</v>
      </c>
      <c r="AP864">
        <v>34320</v>
      </c>
      <c r="AV864">
        <v>3.2</v>
      </c>
      <c r="AW864" t="s">
        <v>234</v>
      </c>
      <c r="AX864" t="s">
        <v>6017</v>
      </c>
    </row>
    <row r="865" spans="1:50">
      <c r="A865" s="1">
        <f>HYPERLINK("https://lsnyc.legalserver.org/matter/dynamic-profile/view/1908685","19-1908685")</f>
        <v>0</v>
      </c>
      <c r="B865" t="s">
        <v>158</v>
      </c>
      <c r="C865" t="s">
        <v>192</v>
      </c>
      <c r="D865" t="s">
        <v>244</v>
      </c>
      <c r="E865" t="s">
        <v>207</v>
      </c>
      <c r="F865" t="s">
        <v>800</v>
      </c>
      <c r="G865" t="s">
        <v>1797</v>
      </c>
      <c r="H865" t="s">
        <v>2599</v>
      </c>
      <c r="I865" t="s">
        <v>2816</v>
      </c>
      <c r="J865" t="s">
        <v>3148</v>
      </c>
      <c r="K865">
        <v>11212</v>
      </c>
      <c r="L865" t="s">
        <v>3184</v>
      </c>
      <c r="M865" t="s">
        <v>3188</v>
      </c>
      <c r="N865" t="s">
        <v>3186</v>
      </c>
      <c r="O865" t="s">
        <v>3218</v>
      </c>
      <c r="P865" t="s">
        <v>3257</v>
      </c>
      <c r="R865" t="s">
        <v>3642</v>
      </c>
      <c r="T865" t="s">
        <v>3660</v>
      </c>
      <c r="U865" t="s">
        <v>3184</v>
      </c>
      <c r="W865" t="s">
        <v>3670</v>
      </c>
      <c r="X865" t="s">
        <v>3681</v>
      </c>
      <c r="Y865">
        <v>1600</v>
      </c>
      <c r="Z865" t="s">
        <v>3691</v>
      </c>
      <c r="AA865" t="s">
        <v>3632</v>
      </c>
      <c r="AB865" t="s">
        <v>3712</v>
      </c>
      <c r="AC865" t="s">
        <v>4499</v>
      </c>
      <c r="AD865" t="s">
        <v>3218</v>
      </c>
      <c r="AE865" t="s">
        <v>5580</v>
      </c>
      <c r="AF865">
        <v>4</v>
      </c>
      <c r="AG865" t="s">
        <v>5814</v>
      </c>
      <c r="AH865" t="s">
        <v>3188</v>
      </c>
      <c r="AI865">
        <v>2</v>
      </c>
      <c r="AJ865">
        <v>1</v>
      </c>
      <c r="AK865">
        <v>3</v>
      </c>
      <c r="AL865">
        <v>383.3</v>
      </c>
      <c r="AO865" t="s">
        <v>5843</v>
      </c>
      <c r="AP865">
        <v>98700</v>
      </c>
      <c r="AV865">
        <v>0.6</v>
      </c>
      <c r="AW865" t="s">
        <v>244</v>
      </c>
      <c r="AX865" t="s">
        <v>6011</v>
      </c>
    </row>
    <row r="866" spans="1:50">
      <c r="A866" s="1">
        <f>HYPERLINK("https://lsnyc.legalserver.org/matter/dynamic-profile/view/1884785","18-1884785")</f>
        <v>0</v>
      </c>
      <c r="B866" t="s">
        <v>160</v>
      </c>
      <c r="C866" t="s">
        <v>192</v>
      </c>
      <c r="D866" t="s">
        <v>322</v>
      </c>
      <c r="E866" t="s">
        <v>206</v>
      </c>
      <c r="F866" t="s">
        <v>530</v>
      </c>
      <c r="G866" t="s">
        <v>1186</v>
      </c>
      <c r="H866" t="s">
        <v>2056</v>
      </c>
      <c r="I866" t="s">
        <v>3079</v>
      </c>
      <c r="J866" t="s">
        <v>3159</v>
      </c>
      <c r="K866">
        <v>10302</v>
      </c>
      <c r="L866" t="s">
        <v>3185</v>
      </c>
      <c r="M866" t="s">
        <v>3189</v>
      </c>
      <c r="N866" t="s">
        <v>3185</v>
      </c>
      <c r="P866" t="s">
        <v>3613</v>
      </c>
      <c r="Q866" t="s">
        <v>3638</v>
      </c>
      <c r="R866" t="s">
        <v>3644</v>
      </c>
      <c r="T866" t="s">
        <v>3661</v>
      </c>
      <c r="U866" t="s">
        <v>3184</v>
      </c>
      <c r="W866" t="s">
        <v>3670</v>
      </c>
      <c r="X866" t="s">
        <v>3681</v>
      </c>
      <c r="Y866">
        <v>1300</v>
      </c>
      <c r="Z866" t="s">
        <v>3692</v>
      </c>
      <c r="AA866" t="s">
        <v>3703</v>
      </c>
      <c r="AB866" t="s">
        <v>3714</v>
      </c>
      <c r="AC866" t="s">
        <v>4500</v>
      </c>
      <c r="AF866">
        <v>3</v>
      </c>
      <c r="AG866" t="s">
        <v>5814</v>
      </c>
      <c r="AH866" t="s">
        <v>3188</v>
      </c>
      <c r="AI866">
        <v>5</v>
      </c>
      <c r="AJ866">
        <v>2</v>
      </c>
      <c r="AK866">
        <v>4</v>
      </c>
      <c r="AL866">
        <v>30.94</v>
      </c>
      <c r="AM866" t="s">
        <v>5835</v>
      </c>
      <c r="AN866" t="s">
        <v>5840</v>
      </c>
      <c r="AO866" t="s">
        <v>5844</v>
      </c>
      <c r="AP866">
        <v>10440</v>
      </c>
      <c r="AR866" t="s">
        <v>5931</v>
      </c>
      <c r="AS866" t="s">
        <v>5937</v>
      </c>
      <c r="AT866" t="s">
        <v>5946</v>
      </c>
      <c r="AU866" t="s">
        <v>5970</v>
      </c>
      <c r="AV866">
        <v>6.15</v>
      </c>
      <c r="AW866" t="s">
        <v>206</v>
      </c>
      <c r="AX866" t="s">
        <v>6027</v>
      </c>
    </row>
    <row r="867" spans="1:50">
      <c r="A867" s="1">
        <f>HYPERLINK("https://lsnyc.legalserver.org/matter/dynamic-profile/view/1902689","19-1902689")</f>
        <v>0</v>
      </c>
      <c r="B867" t="s">
        <v>160</v>
      </c>
      <c r="C867" t="s">
        <v>191</v>
      </c>
      <c r="D867" t="s">
        <v>194</v>
      </c>
      <c r="F867" t="s">
        <v>1016</v>
      </c>
      <c r="G867" t="s">
        <v>1798</v>
      </c>
      <c r="H867" t="s">
        <v>2600</v>
      </c>
      <c r="I867" t="s">
        <v>2835</v>
      </c>
      <c r="J867" t="s">
        <v>3159</v>
      </c>
      <c r="K867">
        <v>10301</v>
      </c>
      <c r="L867" t="s">
        <v>3185</v>
      </c>
      <c r="M867" t="s">
        <v>3189</v>
      </c>
      <c r="N867" t="s">
        <v>3186</v>
      </c>
      <c r="O867" t="s">
        <v>3500</v>
      </c>
      <c r="P867" t="s">
        <v>3613</v>
      </c>
      <c r="Q867" t="s">
        <v>3638</v>
      </c>
      <c r="S867" t="s">
        <v>194</v>
      </c>
      <c r="T867" t="s">
        <v>3660</v>
      </c>
      <c r="U867" t="s">
        <v>3184</v>
      </c>
      <c r="W867" t="s">
        <v>3670</v>
      </c>
      <c r="X867" t="s">
        <v>3681</v>
      </c>
      <c r="Y867">
        <v>1025</v>
      </c>
      <c r="Z867" t="s">
        <v>3692</v>
      </c>
      <c r="AA867" t="s">
        <v>3706</v>
      </c>
      <c r="AC867" t="s">
        <v>4501</v>
      </c>
      <c r="AE867" t="s">
        <v>5581</v>
      </c>
      <c r="AF867">
        <v>2</v>
      </c>
      <c r="AG867" t="s">
        <v>5814</v>
      </c>
      <c r="AH867" t="s">
        <v>3188</v>
      </c>
      <c r="AI867">
        <v>6</v>
      </c>
      <c r="AJ867">
        <v>1</v>
      </c>
      <c r="AK867">
        <v>0</v>
      </c>
      <c r="AL867">
        <v>158.21</v>
      </c>
      <c r="AO867" t="s">
        <v>5843</v>
      </c>
      <c r="AP867">
        <v>19760</v>
      </c>
      <c r="AV867">
        <v>23.4</v>
      </c>
      <c r="AW867" t="s">
        <v>275</v>
      </c>
      <c r="AX867" t="s">
        <v>6017</v>
      </c>
    </row>
    <row r="868" spans="1:50">
      <c r="A868" s="1">
        <f>HYPERLINK("https://lsnyc.legalserver.org/matter/dynamic-profile/view/1905719","19-1905719")</f>
        <v>0</v>
      </c>
      <c r="B868" t="s">
        <v>160</v>
      </c>
      <c r="C868" t="s">
        <v>191</v>
      </c>
      <c r="D868" t="s">
        <v>200</v>
      </c>
      <c r="F868" t="s">
        <v>1017</v>
      </c>
      <c r="G868" t="s">
        <v>1799</v>
      </c>
      <c r="H868" t="s">
        <v>2601</v>
      </c>
      <c r="I868" t="s">
        <v>2928</v>
      </c>
      <c r="J868" t="s">
        <v>3159</v>
      </c>
      <c r="K868">
        <v>10306</v>
      </c>
      <c r="L868" t="s">
        <v>3185</v>
      </c>
      <c r="M868" t="s">
        <v>3189</v>
      </c>
      <c r="N868" t="s">
        <v>3186</v>
      </c>
      <c r="O868" t="s">
        <v>3501</v>
      </c>
      <c r="P868" t="s">
        <v>3610</v>
      </c>
      <c r="Q868" t="s">
        <v>3638</v>
      </c>
      <c r="S868" t="s">
        <v>203</v>
      </c>
      <c r="T868" t="s">
        <v>3661</v>
      </c>
      <c r="U868" t="s">
        <v>3184</v>
      </c>
      <c r="W868" t="s">
        <v>3678</v>
      </c>
      <c r="X868" t="s">
        <v>3681</v>
      </c>
      <c r="Y868">
        <v>400</v>
      </c>
      <c r="Z868" t="s">
        <v>3692</v>
      </c>
      <c r="AA868" t="s">
        <v>3703</v>
      </c>
      <c r="AC868" t="s">
        <v>4502</v>
      </c>
      <c r="AE868" t="s">
        <v>5582</v>
      </c>
      <c r="AF868">
        <v>2</v>
      </c>
      <c r="AG868" t="s">
        <v>5823</v>
      </c>
      <c r="AH868" t="s">
        <v>5827</v>
      </c>
      <c r="AI868">
        <v>1</v>
      </c>
      <c r="AJ868">
        <v>1</v>
      </c>
      <c r="AK868">
        <v>2</v>
      </c>
      <c r="AL868">
        <v>144.64</v>
      </c>
      <c r="AM868" t="s">
        <v>5835</v>
      </c>
      <c r="AN868" t="s">
        <v>5840</v>
      </c>
      <c r="AO868" t="s">
        <v>5843</v>
      </c>
      <c r="AP868">
        <v>30852</v>
      </c>
      <c r="AV868">
        <v>6.6</v>
      </c>
      <c r="AW868" t="s">
        <v>252</v>
      </c>
      <c r="AX868" t="s">
        <v>160</v>
      </c>
    </row>
    <row r="869" spans="1:50">
      <c r="A869" s="1">
        <f>HYPERLINK("https://lsnyc.legalserver.org/matter/dynamic-profile/view/1905159","19-1905159")</f>
        <v>0</v>
      </c>
      <c r="B869" t="s">
        <v>160</v>
      </c>
      <c r="C869" t="s">
        <v>191</v>
      </c>
      <c r="D869" t="s">
        <v>270</v>
      </c>
      <c r="F869" t="s">
        <v>1018</v>
      </c>
      <c r="G869" t="s">
        <v>1800</v>
      </c>
      <c r="H869" t="s">
        <v>2602</v>
      </c>
      <c r="I869" t="s">
        <v>3080</v>
      </c>
      <c r="J869" t="s">
        <v>3159</v>
      </c>
      <c r="K869">
        <v>10303</v>
      </c>
      <c r="L869" t="s">
        <v>3185</v>
      </c>
      <c r="M869" t="s">
        <v>3189</v>
      </c>
      <c r="N869" t="s">
        <v>3186</v>
      </c>
      <c r="O869" t="s">
        <v>3502</v>
      </c>
      <c r="P869" t="s">
        <v>3631</v>
      </c>
      <c r="Q869" t="s">
        <v>3634</v>
      </c>
      <c r="S869" t="s">
        <v>203</v>
      </c>
      <c r="T869" t="s">
        <v>3661</v>
      </c>
      <c r="U869" t="s">
        <v>3184</v>
      </c>
      <c r="W869" t="s">
        <v>3671</v>
      </c>
      <c r="X869" t="s">
        <v>3681</v>
      </c>
      <c r="Y869">
        <v>0</v>
      </c>
      <c r="Z869" t="s">
        <v>3692</v>
      </c>
      <c r="AA869" t="s">
        <v>3703</v>
      </c>
      <c r="AC869" t="s">
        <v>4503</v>
      </c>
      <c r="AE869" t="s">
        <v>5583</v>
      </c>
      <c r="AF869">
        <v>6</v>
      </c>
      <c r="AG869" t="s">
        <v>5814</v>
      </c>
      <c r="AH869" t="s">
        <v>3188</v>
      </c>
      <c r="AI869">
        <v>3</v>
      </c>
      <c r="AJ869">
        <v>1</v>
      </c>
      <c r="AK869">
        <v>2</v>
      </c>
      <c r="AL869">
        <v>247.54</v>
      </c>
      <c r="AM869" t="s">
        <v>5835</v>
      </c>
      <c r="AN869" t="s">
        <v>5840</v>
      </c>
      <c r="AP869">
        <v>52800</v>
      </c>
      <c r="AV869">
        <v>7.25</v>
      </c>
      <c r="AW869" t="s">
        <v>207</v>
      </c>
      <c r="AX869" t="s">
        <v>6027</v>
      </c>
    </row>
    <row r="870" spans="1:50">
      <c r="A870" s="1">
        <f>HYPERLINK("https://lsnyc.legalserver.org/matter/dynamic-profile/view/1906355","19-1906355")</f>
        <v>0</v>
      </c>
      <c r="B870" t="s">
        <v>160</v>
      </c>
      <c r="C870" t="s">
        <v>191</v>
      </c>
      <c r="D870" t="s">
        <v>277</v>
      </c>
      <c r="F870" t="s">
        <v>1019</v>
      </c>
      <c r="G870" t="s">
        <v>1206</v>
      </c>
      <c r="H870" t="s">
        <v>2603</v>
      </c>
      <c r="I870">
        <v>3</v>
      </c>
      <c r="J870" t="s">
        <v>3159</v>
      </c>
      <c r="K870">
        <v>10301</v>
      </c>
      <c r="L870" t="s">
        <v>3185</v>
      </c>
      <c r="M870" t="s">
        <v>3189</v>
      </c>
      <c r="N870" t="s">
        <v>3186</v>
      </c>
      <c r="O870" t="s">
        <v>3503</v>
      </c>
      <c r="P870" t="s">
        <v>3613</v>
      </c>
      <c r="Q870" t="s">
        <v>3638</v>
      </c>
      <c r="S870" t="s">
        <v>270</v>
      </c>
      <c r="T870" t="s">
        <v>3660</v>
      </c>
      <c r="U870" t="s">
        <v>3184</v>
      </c>
      <c r="W870" t="s">
        <v>3670</v>
      </c>
      <c r="X870" t="s">
        <v>3681</v>
      </c>
      <c r="Y870">
        <v>675</v>
      </c>
      <c r="Z870" t="s">
        <v>3692</v>
      </c>
      <c r="AA870" t="s">
        <v>3706</v>
      </c>
      <c r="AC870" t="s">
        <v>4504</v>
      </c>
      <c r="AE870" t="s">
        <v>5584</v>
      </c>
      <c r="AF870">
        <v>2</v>
      </c>
      <c r="AG870" t="s">
        <v>5814</v>
      </c>
      <c r="AH870" t="s">
        <v>3188</v>
      </c>
      <c r="AI870">
        <v>-1</v>
      </c>
      <c r="AJ870">
        <v>2</v>
      </c>
      <c r="AK870">
        <v>1</v>
      </c>
      <c r="AL870">
        <v>91.42</v>
      </c>
      <c r="AO870" t="s">
        <v>5843</v>
      </c>
      <c r="AP870">
        <v>19500</v>
      </c>
      <c r="AV870">
        <v>15</v>
      </c>
      <c r="AW870" t="s">
        <v>269</v>
      </c>
      <c r="AX870" t="s">
        <v>6017</v>
      </c>
    </row>
    <row r="871" spans="1:50">
      <c r="A871" s="1">
        <f>HYPERLINK("https://lsnyc.legalserver.org/matter/dynamic-profile/view/1907182","19-1907182")</f>
        <v>0</v>
      </c>
      <c r="B871" t="s">
        <v>160</v>
      </c>
      <c r="C871" t="s">
        <v>191</v>
      </c>
      <c r="D871" t="s">
        <v>206</v>
      </c>
      <c r="F871" t="s">
        <v>575</v>
      </c>
      <c r="G871" t="s">
        <v>1801</v>
      </c>
      <c r="H871" t="s">
        <v>2604</v>
      </c>
      <c r="I871" t="s">
        <v>2866</v>
      </c>
      <c r="J871" t="s">
        <v>3159</v>
      </c>
      <c r="K871">
        <v>10301</v>
      </c>
      <c r="L871" t="s">
        <v>3185</v>
      </c>
      <c r="M871" t="s">
        <v>3189</v>
      </c>
      <c r="N871" t="s">
        <v>3186</v>
      </c>
      <c r="O871" t="s">
        <v>3504</v>
      </c>
      <c r="P871" t="s">
        <v>3610</v>
      </c>
      <c r="Q871" t="s">
        <v>3638</v>
      </c>
      <c r="S871" t="s">
        <v>206</v>
      </c>
      <c r="T871" t="s">
        <v>3660</v>
      </c>
      <c r="U871" t="s">
        <v>3184</v>
      </c>
      <c r="W871" t="s">
        <v>3673</v>
      </c>
      <c r="X871" t="s">
        <v>3681</v>
      </c>
      <c r="Y871">
        <v>215</v>
      </c>
      <c r="Z871" t="s">
        <v>3692</v>
      </c>
      <c r="AA871" t="s">
        <v>3707</v>
      </c>
      <c r="AC871" t="s">
        <v>4505</v>
      </c>
      <c r="AE871" t="s">
        <v>5585</v>
      </c>
      <c r="AF871">
        <v>454</v>
      </c>
      <c r="AG871" t="s">
        <v>5816</v>
      </c>
      <c r="AH871" t="s">
        <v>5827</v>
      </c>
      <c r="AI871">
        <v>37</v>
      </c>
      <c r="AJ871">
        <v>1</v>
      </c>
      <c r="AK871">
        <v>0</v>
      </c>
      <c r="AL871">
        <v>74.08</v>
      </c>
      <c r="AO871" t="s">
        <v>5843</v>
      </c>
      <c r="AP871">
        <v>9252</v>
      </c>
      <c r="AV871">
        <v>5.25</v>
      </c>
      <c r="AW871" t="s">
        <v>275</v>
      </c>
      <c r="AX871" t="s">
        <v>6017</v>
      </c>
    </row>
    <row r="872" spans="1:50">
      <c r="A872" s="1">
        <f>HYPERLINK("https://lsnyc.legalserver.org/matter/dynamic-profile/view/1907245","19-1907245")</f>
        <v>0</v>
      </c>
      <c r="B872" t="s">
        <v>160</v>
      </c>
      <c r="C872" t="s">
        <v>191</v>
      </c>
      <c r="D872" t="s">
        <v>206</v>
      </c>
      <c r="F872" t="s">
        <v>1020</v>
      </c>
      <c r="G872" t="s">
        <v>488</v>
      </c>
      <c r="H872" t="s">
        <v>2605</v>
      </c>
      <c r="I872" t="s">
        <v>3081</v>
      </c>
      <c r="J872" t="s">
        <v>3159</v>
      </c>
      <c r="K872">
        <v>10304</v>
      </c>
      <c r="L872" t="s">
        <v>3185</v>
      </c>
      <c r="M872" t="s">
        <v>3189</v>
      </c>
      <c r="N872" t="s">
        <v>3186</v>
      </c>
      <c r="O872" t="s">
        <v>3505</v>
      </c>
      <c r="P872" t="s">
        <v>3610</v>
      </c>
      <c r="Q872" t="s">
        <v>3638</v>
      </c>
      <c r="S872" t="s">
        <v>206</v>
      </c>
      <c r="T872" t="s">
        <v>3660</v>
      </c>
      <c r="U872" t="s">
        <v>3184</v>
      </c>
      <c r="W872" t="s">
        <v>3673</v>
      </c>
      <c r="X872" t="s">
        <v>3681</v>
      </c>
      <c r="Y872">
        <v>213</v>
      </c>
      <c r="Z872" t="s">
        <v>3692</v>
      </c>
      <c r="AA872" t="s">
        <v>3706</v>
      </c>
      <c r="AC872" t="s">
        <v>4506</v>
      </c>
      <c r="AE872" t="s">
        <v>5586</v>
      </c>
      <c r="AF872">
        <v>404</v>
      </c>
      <c r="AG872" t="s">
        <v>5812</v>
      </c>
      <c r="AH872" t="s">
        <v>3188</v>
      </c>
      <c r="AI872">
        <v>7</v>
      </c>
      <c r="AJ872">
        <v>1</v>
      </c>
      <c r="AK872">
        <v>1</v>
      </c>
      <c r="AL872">
        <v>167.9</v>
      </c>
      <c r="AO872" t="s">
        <v>5843</v>
      </c>
      <c r="AP872">
        <v>28392</v>
      </c>
      <c r="AV872">
        <v>5.85</v>
      </c>
      <c r="AW872" t="s">
        <v>275</v>
      </c>
      <c r="AX872" t="s">
        <v>6017</v>
      </c>
    </row>
    <row r="873" spans="1:50">
      <c r="A873" s="1">
        <f>HYPERLINK("https://lsnyc.legalserver.org/matter/dynamic-profile/view/1903832","19-1903832")</f>
        <v>0</v>
      </c>
      <c r="B873" t="s">
        <v>158</v>
      </c>
      <c r="C873" t="s">
        <v>191</v>
      </c>
      <c r="D873" t="s">
        <v>194</v>
      </c>
      <c r="F873" t="s">
        <v>971</v>
      </c>
      <c r="G873" t="s">
        <v>1802</v>
      </c>
      <c r="H873" t="s">
        <v>2606</v>
      </c>
      <c r="I873" t="s">
        <v>2905</v>
      </c>
      <c r="J873" t="s">
        <v>3148</v>
      </c>
      <c r="K873">
        <v>11208</v>
      </c>
      <c r="L873" t="s">
        <v>3184</v>
      </c>
      <c r="M873" t="s">
        <v>3188</v>
      </c>
      <c r="N873" t="s">
        <v>3186</v>
      </c>
      <c r="O873" t="s">
        <v>3188</v>
      </c>
      <c r="P873" t="s">
        <v>3257</v>
      </c>
      <c r="Q873" t="s">
        <v>3634</v>
      </c>
      <c r="T873" t="s">
        <v>3660</v>
      </c>
      <c r="U873" t="s">
        <v>3184</v>
      </c>
      <c r="W873" t="s">
        <v>3670</v>
      </c>
      <c r="X873" t="s">
        <v>3681</v>
      </c>
      <c r="Y873">
        <v>1820</v>
      </c>
      <c r="Z873" t="s">
        <v>3691</v>
      </c>
      <c r="AC873" t="s">
        <v>4507</v>
      </c>
      <c r="AD873" t="s">
        <v>4779</v>
      </c>
      <c r="AE873" t="s">
        <v>5587</v>
      </c>
      <c r="AF873">
        <v>4</v>
      </c>
      <c r="AG873" t="s">
        <v>3263</v>
      </c>
      <c r="AH873" t="s">
        <v>3188</v>
      </c>
      <c r="AI873">
        <v>1</v>
      </c>
      <c r="AJ873">
        <v>1</v>
      </c>
      <c r="AK873">
        <v>1</v>
      </c>
      <c r="AL873">
        <v>122.27</v>
      </c>
      <c r="AO873" t="s">
        <v>5843</v>
      </c>
      <c r="AP873">
        <v>20676</v>
      </c>
      <c r="AV873">
        <v>3.2</v>
      </c>
      <c r="AW873" t="s">
        <v>261</v>
      </c>
      <c r="AX873" t="s">
        <v>6030</v>
      </c>
    </row>
    <row r="874" spans="1:50">
      <c r="A874" s="1">
        <f>HYPERLINK("https://lsnyc.legalserver.org/matter/dynamic-profile/view/1893344","19-1893344")</f>
        <v>0</v>
      </c>
      <c r="B874" t="s">
        <v>160</v>
      </c>
      <c r="C874" t="s">
        <v>191</v>
      </c>
      <c r="D874" t="s">
        <v>384</v>
      </c>
      <c r="F874" t="s">
        <v>1021</v>
      </c>
      <c r="G874" t="s">
        <v>1253</v>
      </c>
      <c r="H874" t="s">
        <v>2607</v>
      </c>
      <c r="I874" t="s">
        <v>2838</v>
      </c>
      <c r="J874" t="s">
        <v>3159</v>
      </c>
      <c r="K874">
        <v>10301</v>
      </c>
      <c r="L874" t="s">
        <v>3185</v>
      </c>
      <c r="N874" t="s">
        <v>3186</v>
      </c>
      <c r="O874" t="s">
        <v>3506</v>
      </c>
      <c r="P874" t="s">
        <v>3610</v>
      </c>
      <c r="Q874" t="s">
        <v>3638</v>
      </c>
      <c r="T874" t="s">
        <v>3660</v>
      </c>
      <c r="U874" t="s">
        <v>3184</v>
      </c>
      <c r="W874" t="s">
        <v>3670</v>
      </c>
      <c r="X874" t="s">
        <v>3686</v>
      </c>
      <c r="Y874">
        <v>600</v>
      </c>
      <c r="Z874" t="s">
        <v>3692</v>
      </c>
      <c r="AC874" t="s">
        <v>3961</v>
      </c>
      <c r="AE874" t="s">
        <v>5588</v>
      </c>
      <c r="AF874">
        <v>15</v>
      </c>
      <c r="AG874" t="s">
        <v>5813</v>
      </c>
      <c r="AH874" t="s">
        <v>3188</v>
      </c>
      <c r="AI874">
        <v>0</v>
      </c>
      <c r="AJ874">
        <v>2</v>
      </c>
      <c r="AK874">
        <v>0</v>
      </c>
      <c r="AL874">
        <v>60.89</v>
      </c>
      <c r="AO874" t="s">
        <v>5843</v>
      </c>
      <c r="AP874">
        <v>10296</v>
      </c>
      <c r="AV874">
        <v>25.2</v>
      </c>
      <c r="AW874" t="s">
        <v>198</v>
      </c>
      <c r="AX874" t="s">
        <v>6026</v>
      </c>
    </row>
    <row r="875" spans="1:50">
      <c r="A875" s="1">
        <f>HYPERLINK("https://lsnyc.legalserver.org/matter/dynamic-profile/view/1902047","19-1902047")</f>
        <v>0</v>
      </c>
      <c r="B875" t="s">
        <v>158</v>
      </c>
      <c r="C875" t="s">
        <v>191</v>
      </c>
      <c r="D875" t="s">
        <v>385</v>
      </c>
      <c r="F875" t="s">
        <v>1022</v>
      </c>
      <c r="G875" t="s">
        <v>1464</v>
      </c>
      <c r="H875" t="s">
        <v>2608</v>
      </c>
      <c r="I875" t="s">
        <v>2896</v>
      </c>
      <c r="J875" t="s">
        <v>3148</v>
      </c>
      <c r="K875">
        <v>11233</v>
      </c>
      <c r="L875" t="s">
        <v>3184</v>
      </c>
      <c r="M875" t="s">
        <v>3188</v>
      </c>
      <c r="N875" t="s">
        <v>3186</v>
      </c>
      <c r="O875" t="s">
        <v>3188</v>
      </c>
      <c r="P875" t="s">
        <v>3257</v>
      </c>
      <c r="T875" t="s">
        <v>3660</v>
      </c>
      <c r="U875" t="s">
        <v>3184</v>
      </c>
      <c r="W875" t="s">
        <v>3670</v>
      </c>
      <c r="X875" t="s">
        <v>3681</v>
      </c>
      <c r="Y875">
        <v>1135</v>
      </c>
      <c r="Z875" t="s">
        <v>3691</v>
      </c>
      <c r="AA875" t="s">
        <v>3632</v>
      </c>
      <c r="AC875" t="s">
        <v>4508</v>
      </c>
      <c r="AD875" t="s">
        <v>4762</v>
      </c>
      <c r="AE875" t="s">
        <v>5589</v>
      </c>
      <c r="AF875">
        <v>70</v>
      </c>
      <c r="AG875" t="s">
        <v>5811</v>
      </c>
      <c r="AH875" t="s">
        <v>3188</v>
      </c>
      <c r="AI875">
        <v>14</v>
      </c>
      <c r="AJ875">
        <v>1</v>
      </c>
      <c r="AK875">
        <v>1</v>
      </c>
      <c r="AL875">
        <v>133.91</v>
      </c>
      <c r="AO875" t="s">
        <v>5843</v>
      </c>
      <c r="AP875">
        <v>22644</v>
      </c>
      <c r="AV875">
        <v>0.5</v>
      </c>
      <c r="AW875" t="s">
        <v>385</v>
      </c>
      <c r="AX875" t="s">
        <v>6011</v>
      </c>
    </row>
    <row r="876" spans="1:50">
      <c r="A876" s="1">
        <f>HYPERLINK("https://lsnyc.legalserver.org/matter/dynamic-profile/view/1903782","19-1903782")</f>
        <v>0</v>
      </c>
      <c r="B876" t="s">
        <v>160</v>
      </c>
      <c r="C876" t="s">
        <v>191</v>
      </c>
      <c r="D876" t="s">
        <v>223</v>
      </c>
      <c r="F876" t="s">
        <v>1023</v>
      </c>
      <c r="G876" t="s">
        <v>1803</v>
      </c>
      <c r="H876" t="s">
        <v>2609</v>
      </c>
      <c r="I876" t="s">
        <v>2816</v>
      </c>
      <c r="J876" t="s">
        <v>3159</v>
      </c>
      <c r="K876">
        <v>10301</v>
      </c>
      <c r="L876" t="s">
        <v>3185</v>
      </c>
      <c r="M876" t="s">
        <v>3189</v>
      </c>
      <c r="N876" t="s">
        <v>3186</v>
      </c>
      <c r="O876" t="s">
        <v>3507</v>
      </c>
      <c r="P876" t="s">
        <v>3610</v>
      </c>
      <c r="Q876" t="s">
        <v>3638</v>
      </c>
      <c r="T876" t="s">
        <v>3660</v>
      </c>
      <c r="U876" t="s">
        <v>3184</v>
      </c>
      <c r="W876" t="s">
        <v>3670</v>
      </c>
      <c r="X876" t="s">
        <v>3681</v>
      </c>
      <c r="Y876">
        <v>1400</v>
      </c>
      <c r="Z876" t="s">
        <v>3692</v>
      </c>
      <c r="AA876" t="s">
        <v>3706</v>
      </c>
      <c r="AC876" t="s">
        <v>4509</v>
      </c>
      <c r="AE876" t="s">
        <v>5590</v>
      </c>
      <c r="AF876">
        <v>0</v>
      </c>
      <c r="AG876" t="s">
        <v>5814</v>
      </c>
      <c r="AH876" t="s">
        <v>3188</v>
      </c>
      <c r="AI876">
        <v>4</v>
      </c>
      <c r="AJ876">
        <v>1</v>
      </c>
      <c r="AK876">
        <v>0</v>
      </c>
      <c r="AL876">
        <v>96.08</v>
      </c>
      <c r="AO876" t="s">
        <v>5843</v>
      </c>
      <c r="AP876">
        <v>12000</v>
      </c>
      <c r="AV876">
        <v>9.300000000000001</v>
      </c>
      <c r="AW876" t="s">
        <v>199</v>
      </c>
      <c r="AX876" t="s">
        <v>6017</v>
      </c>
    </row>
    <row r="877" spans="1:50">
      <c r="A877" s="1">
        <f>HYPERLINK("https://lsnyc.legalserver.org/matter/dynamic-profile/view/1910259","19-1910259")</f>
        <v>0</v>
      </c>
      <c r="B877" t="s">
        <v>158</v>
      </c>
      <c r="C877" t="s">
        <v>191</v>
      </c>
      <c r="D877" t="s">
        <v>221</v>
      </c>
      <c r="F877" t="s">
        <v>478</v>
      </c>
      <c r="G877" t="s">
        <v>1804</v>
      </c>
      <c r="H877" t="s">
        <v>2610</v>
      </c>
      <c r="I877">
        <v>2</v>
      </c>
      <c r="J877" t="s">
        <v>3148</v>
      </c>
      <c r="K877">
        <v>11208</v>
      </c>
      <c r="L877" t="s">
        <v>3184</v>
      </c>
      <c r="M877" t="s">
        <v>3188</v>
      </c>
      <c r="N877" t="s">
        <v>3186</v>
      </c>
      <c r="O877" t="s">
        <v>3508</v>
      </c>
      <c r="P877" t="s">
        <v>3613</v>
      </c>
      <c r="T877" t="s">
        <v>3660</v>
      </c>
      <c r="U877" t="s">
        <v>3184</v>
      </c>
      <c r="W877" t="s">
        <v>3670</v>
      </c>
      <c r="Y877">
        <v>1800</v>
      </c>
      <c r="Z877" t="s">
        <v>3691</v>
      </c>
      <c r="AC877" t="s">
        <v>4510</v>
      </c>
      <c r="AD877" t="s">
        <v>3218</v>
      </c>
      <c r="AF877">
        <v>2</v>
      </c>
      <c r="AG877" t="s">
        <v>5814</v>
      </c>
      <c r="AH877" t="s">
        <v>3188</v>
      </c>
      <c r="AI877">
        <v>8</v>
      </c>
      <c r="AJ877">
        <v>1</v>
      </c>
      <c r="AK877">
        <v>0</v>
      </c>
      <c r="AL877">
        <v>145.72</v>
      </c>
      <c r="AO877" t="s">
        <v>5844</v>
      </c>
      <c r="AP877">
        <v>18200</v>
      </c>
      <c r="AV877">
        <v>0.5</v>
      </c>
      <c r="AW877" t="s">
        <v>221</v>
      </c>
      <c r="AX877" t="s">
        <v>6015</v>
      </c>
    </row>
    <row r="878" spans="1:50">
      <c r="A878" s="1">
        <f>HYPERLINK("https://lsnyc.legalserver.org/matter/dynamic-profile/view/1902336","19-1902336")</f>
        <v>0</v>
      </c>
      <c r="B878" t="s">
        <v>158</v>
      </c>
      <c r="C878" t="s">
        <v>191</v>
      </c>
      <c r="D878" t="s">
        <v>302</v>
      </c>
      <c r="F878" t="s">
        <v>1024</v>
      </c>
      <c r="G878" t="s">
        <v>974</v>
      </c>
      <c r="H878" t="s">
        <v>2611</v>
      </c>
      <c r="I878">
        <v>1</v>
      </c>
      <c r="J878" t="s">
        <v>3148</v>
      </c>
      <c r="K878">
        <v>11233</v>
      </c>
      <c r="L878" t="s">
        <v>3184</v>
      </c>
      <c r="M878" t="s">
        <v>3188</v>
      </c>
      <c r="N878" t="s">
        <v>3186</v>
      </c>
      <c r="O878" t="s">
        <v>3191</v>
      </c>
      <c r="P878" t="s">
        <v>3257</v>
      </c>
      <c r="T878" t="s">
        <v>3660</v>
      </c>
      <c r="U878" t="s">
        <v>3184</v>
      </c>
      <c r="W878" t="s">
        <v>3670</v>
      </c>
      <c r="X878" t="s">
        <v>3681</v>
      </c>
      <c r="Y878">
        <v>1300</v>
      </c>
      <c r="Z878" t="s">
        <v>3691</v>
      </c>
      <c r="AA878" t="s">
        <v>3697</v>
      </c>
      <c r="AC878" t="s">
        <v>4511</v>
      </c>
      <c r="AD878" t="s">
        <v>4762</v>
      </c>
      <c r="AE878" t="s">
        <v>5591</v>
      </c>
      <c r="AF878">
        <v>3</v>
      </c>
      <c r="AG878" t="s">
        <v>5814</v>
      </c>
      <c r="AH878" t="s">
        <v>3188</v>
      </c>
      <c r="AI878">
        <v>9</v>
      </c>
      <c r="AJ878">
        <v>2</v>
      </c>
      <c r="AK878">
        <v>0</v>
      </c>
      <c r="AL878">
        <v>159.67</v>
      </c>
      <c r="AO878" t="s">
        <v>5843</v>
      </c>
      <c r="AP878">
        <v>27000</v>
      </c>
      <c r="AV878">
        <v>1</v>
      </c>
      <c r="AW878" t="s">
        <v>302</v>
      </c>
      <c r="AX878" t="s">
        <v>6012</v>
      </c>
    </row>
    <row r="879" spans="1:50">
      <c r="A879" s="1">
        <f>HYPERLINK("https://lsnyc.legalserver.org/matter/dynamic-profile/view/1896178","19-1896178")</f>
        <v>0</v>
      </c>
      <c r="B879" t="s">
        <v>160</v>
      </c>
      <c r="C879" t="s">
        <v>191</v>
      </c>
      <c r="D879" t="s">
        <v>238</v>
      </c>
      <c r="F879" t="s">
        <v>1025</v>
      </c>
      <c r="G879" t="s">
        <v>1805</v>
      </c>
      <c r="H879" t="s">
        <v>2612</v>
      </c>
      <c r="I879" t="s">
        <v>2924</v>
      </c>
      <c r="J879" t="s">
        <v>3159</v>
      </c>
      <c r="K879">
        <v>10304</v>
      </c>
      <c r="L879" t="s">
        <v>3185</v>
      </c>
      <c r="N879" t="s">
        <v>3186</v>
      </c>
      <c r="O879" t="s">
        <v>3509</v>
      </c>
      <c r="P879" t="s">
        <v>3613</v>
      </c>
      <c r="Q879" t="s">
        <v>3638</v>
      </c>
      <c r="T879" t="s">
        <v>3660</v>
      </c>
      <c r="U879" t="s">
        <v>3184</v>
      </c>
      <c r="W879" t="s">
        <v>3670</v>
      </c>
      <c r="X879" t="s">
        <v>3681</v>
      </c>
      <c r="Y879">
        <v>225</v>
      </c>
      <c r="Z879" t="s">
        <v>3692</v>
      </c>
      <c r="AA879" t="s">
        <v>3699</v>
      </c>
      <c r="AC879" t="s">
        <v>4512</v>
      </c>
      <c r="AE879" t="s">
        <v>5592</v>
      </c>
      <c r="AF879">
        <v>132</v>
      </c>
      <c r="AG879" t="s">
        <v>5812</v>
      </c>
      <c r="AH879" t="s">
        <v>3188</v>
      </c>
      <c r="AI879">
        <v>0</v>
      </c>
      <c r="AJ879">
        <v>1</v>
      </c>
      <c r="AK879">
        <v>1</v>
      </c>
      <c r="AL879">
        <v>138.38</v>
      </c>
      <c r="AO879" t="s">
        <v>5843</v>
      </c>
      <c r="AP879">
        <v>23400</v>
      </c>
      <c r="AV879">
        <v>31.4</v>
      </c>
      <c r="AW879" t="s">
        <v>198</v>
      </c>
      <c r="AX879" t="s">
        <v>6017</v>
      </c>
    </row>
    <row r="880" spans="1:50">
      <c r="A880" s="1">
        <f>HYPERLINK("https://lsnyc.legalserver.org/matter/dynamic-profile/view/1899382","19-1899382")</f>
        <v>0</v>
      </c>
      <c r="B880" t="s">
        <v>160</v>
      </c>
      <c r="C880" t="s">
        <v>191</v>
      </c>
      <c r="D880" t="s">
        <v>204</v>
      </c>
      <c r="F880" t="s">
        <v>1026</v>
      </c>
      <c r="G880" t="s">
        <v>1806</v>
      </c>
      <c r="H880" t="s">
        <v>2591</v>
      </c>
      <c r="I880" t="s">
        <v>2901</v>
      </c>
      <c r="J880" t="s">
        <v>3159</v>
      </c>
      <c r="K880">
        <v>10304</v>
      </c>
      <c r="L880" t="s">
        <v>3185</v>
      </c>
      <c r="M880" t="s">
        <v>3189</v>
      </c>
      <c r="N880" t="s">
        <v>3186</v>
      </c>
      <c r="O880" t="s">
        <v>3510</v>
      </c>
      <c r="P880" t="s">
        <v>3610</v>
      </c>
      <c r="Q880" t="s">
        <v>3638</v>
      </c>
      <c r="T880" t="s">
        <v>3660</v>
      </c>
      <c r="U880" t="s">
        <v>3184</v>
      </c>
      <c r="W880" t="s">
        <v>3670</v>
      </c>
      <c r="X880" t="s">
        <v>3681</v>
      </c>
      <c r="Y880">
        <v>1600</v>
      </c>
      <c r="Z880" t="s">
        <v>3692</v>
      </c>
      <c r="AA880" t="s">
        <v>3706</v>
      </c>
      <c r="AC880" t="s">
        <v>4513</v>
      </c>
      <c r="AE880" t="s">
        <v>5593</v>
      </c>
      <c r="AF880">
        <v>0</v>
      </c>
      <c r="AG880" t="s">
        <v>5813</v>
      </c>
      <c r="AH880" t="s">
        <v>5830</v>
      </c>
      <c r="AI880">
        <v>5</v>
      </c>
      <c r="AJ880">
        <v>1</v>
      </c>
      <c r="AK880">
        <v>2</v>
      </c>
      <c r="AL880">
        <v>150.02</v>
      </c>
      <c r="AP880">
        <v>32000</v>
      </c>
      <c r="AV880">
        <v>11.85</v>
      </c>
      <c r="AW880" t="s">
        <v>228</v>
      </c>
      <c r="AX880" t="s">
        <v>6017</v>
      </c>
    </row>
    <row r="881" spans="1:50">
      <c r="A881" s="1">
        <f>HYPERLINK("https://lsnyc.legalserver.org/matter/dynamic-profile/view/1899773","19-1899773")</f>
        <v>0</v>
      </c>
      <c r="B881" t="s">
        <v>160</v>
      </c>
      <c r="C881" t="s">
        <v>191</v>
      </c>
      <c r="D881" t="s">
        <v>240</v>
      </c>
      <c r="F881" t="s">
        <v>1027</v>
      </c>
      <c r="G881" t="s">
        <v>478</v>
      </c>
      <c r="H881" t="s">
        <v>2613</v>
      </c>
      <c r="J881" t="s">
        <v>3159</v>
      </c>
      <c r="K881">
        <v>10312</v>
      </c>
      <c r="L881" t="s">
        <v>3185</v>
      </c>
      <c r="M881" t="s">
        <v>3189</v>
      </c>
      <c r="N881" t="s">
        <v>3186</v>
      </c>
      <c r="O881" t="s">
        <v>3511</v>
      </c>
      <c r="P881" t="s">
        <v>3613</v>
      </c>
      <c r="Q881" t="s">
        <v>3638</v>
      </c>
      <c r="T881" t="s">
        <v>3660</v>
      </c>
      <c r="U881" t="s">
        <v>3184</v>
      </c>
      <c r="W881" t="s">
        <v>3670</v>
      </c>
      <c r="X881" t="s">
        <v>3681</v>
      </c>
      <c r="Y881">
        <v>2200</v>
      </c>
      <c r="Z881" t="s">
        <v>3692</v>
      </c>
      <c r="AA881" t="s">
        <v>3696</v>
      </c>
      <c r="AC881" t="s">
        <v>4514</v>
      </c>
      <c r="AE881" t="s">
        <v>5594</v>
      </c>
      <c r="AF881">
        <v>1</v>
      </c>
      <c r="AG881" t="s">
        <v>5814</v>
      </c>
      <c r="AH881" t="s">
        <v>3188</v>
      </c>
      <c r="AI881">
        <v>2</v>
      </c>
      <c r="AJ881">
        <v>1</v>
      </c>
      <c r="AK881">
        <v>2</v>
      </c>
      <c r="AL881">
        <v>168.78</v>
      </c>
      <c r="AO881" t="s">
        <v>5846</v>
      </c>
      <c r="AP881">
        <v>36000</v>
      </c>
      <c r="AV881">
        <v>23.1</v>
      </c>
      <c r="AW881" t="s">
        <v>262</v>
      </c>
      <c r="AX881" t="s">
        <v>6017</v>
      </c>
    </row>
    <row r="882" spans="1:50">
      <c r="A882" s="1">
        <f>HYPERLINK("https://lsnyc.legalserver.org/matter/dynamic-profile/view/1904164","19-1904164")</f>
        <v>0</v>
      </c>
      <c r="B882" t="s">
        <v>160</v>
      </c>
      <c r="C882" t="s">
        <v>191</v>
      </c>
      <c r="D882" t="s">
        <v>210</v>
      </c>
      <c r="F882" t="s">
        <v>1028</v>
      </c>
      <c r="G882" t="s">
        <v>1195</v>
      </c>
      <c r="H882" t="s">
        <v>2604</v>
      </c>
      <c r="I882" t="s">
        <v>3082</v>
      </c>
      <c r="J882" t="s">
        <v>3159</v>
      </c>
      <c r="K882">
        <v>10301</v>
      </c>
      <c r="L882" t="s">
        <v>3185</v>
      </c>
      <c r="M882" t="s">
        <v>3189</v>
      </c>
      <c r="N882" t="s">
        <v>3186</v>
      </c>
      <c r="O882" t="s">
        <v>3512</v>
      </c>
      <c r="P882" t="s">
        <v>3610</v>
      </c>
      <c r="Q882" t="s">
        <v>3638</v>
      </c>
      <c r="T882" t="s">
        <v>3660</v>
      </c>
      <c r="U882" t="s">
        <v>3184</v>
      </c>
      <c r="W882" t="s">
        <v>3673</v>
      </c>
      <c r="X882" t="s">
        <v>3681</v>
      </c>
      <c r="Y882">
        <v>867</v>
      </c>
      <c r="Z882" t="s">
        <v>3692</v>
      </c>
      <c r="AA882" t="s">
        <v>3706</v>
      </c>
      <c r="AC882" t="s">
        <v>4515</v>
      </c>
      <c r="AE882" t="s">
        <v>5595</v>
      </c>
      <c r="AF882">
        <v>0</v>
      </c>
      <c r="AG882" t="s">
        <v>5812</v>
      </c>
      <c r="AH882" t="s">
        <v>5827</v>
      </c>
      <c r="AI882">
        <v>25</v>
      </c>
      <c r="AJ882">
        <v>2</v>
      </c>
      <c r="AK882">
        <v>1</v>
      </c>
      <c r="AL882">
        <v>213.31</v>
      </c>
      <c r="AO882" t="s">
        <v>5843</v>
      </c>
      <c r="AP882">
        <v>45500.04</v>
      </c>
      <c r="AV882">
        <v>13.2</v>
      </c>
      <c r="AW882" t="s">
        <v>199</v>
      </c>
      <c r="AX882" t="s">
        <v>6017</v>
      </c>
    </row>
    <row r="883" spans="1:50">
      <c r="A883" s="1">
        <f>HYPERLINK("https://lsnyc.legalserver.org/matter/dynamic-profile/view/1910363","19-1910363")</f>
        <v>0</v>
      </c>
      <c r="B883" t="s">
        <v>161</v>
      </c>
      <c r="C883" t="s">
        <v>191</v>
      </c>
      <c r="D883" t="s">
        <v>291</v>
      </c>
      <c r="F883" t="s">
        <v>753</v>
      </c>
      <c r="G883" t="s">
        <v>1807</v>
      </c>
      <c r="H883" t="s">
        <v>2614</v>
      </c>
      <c r="I883" t="s">
        <v>2816</v>
      </c>
      <c r="J883" t="s">
        <v>3148</v>
      </c>
      <c r="K883">
        <v>11212</v>
      </c>
      <c r="L883" t="s">
        <v>3185</v>
      </c>
      <c r="M883" t="s">
        <v>3189</v>
      </c>
      <c r="N883" t="s">
        <v>3186</v>
      </c>
      <c r="O883" t="s">
        <v>3200</v>
      </c>
      <c r="P883" t="s">
        <v>3622</v>
      </c>
      <c r="Q883" t="s">
        <v>3636</v>
      </c>
      <c r="S883" t="s">
        <v>253</v>
      </c>
      <c r="T883" t="s">
        <v>3660</v>
      </c>
      <c r="U883" t="s">
        <v>3185</v>
      </c>
      <c r="W883" t="s">
        <v>3670</v>
      </c>
      <c r="X883" t="s">
        <v>3681</v>
      </c>
      <c r="Y883">
        <v>1253</v>
      </c>
      <c r="Z883" t="s">
        <v>3691</v>
      </c>
      <c r="AA883" t="s">
        <v>3696</v>
      </c>
      <c r="AC883" t="s">
        <v>4516</v>
      </c>
      <c r="AD883" t="s">
        <v>4779</v>
      </c>
      <c r="AE883" t="s">
        <v>5596</v>
      </c>
      <c r="AF883">
        <v>6</v>
      </c>
      <c r="AG883" t="s">
        <v>3263</v>
      </c>
      <c r="AH883" t="s">
        <v>5827</v>
      </c>
      <c r="AI883">
        <v>3</v>
      </c>
      <c r="AJ883">
        <v>2</v>
      </c>
      <c r="AK883">
        <v>0</v>
      </c>
      <c r="AL883">
        <v>49.67</v>
      </c>
      <c r="AO883" t="s">
        <v>5843</v>
      </c>
      <c r="AP883">
        <v>8400</v>
      </c>
      <c r="AV883">
        <v>0</v>
      </c>
      <c r="AX883" t="s">
        <v>158</v>
      </c>
    </row>
    <row r="884" spans="1:50">
      <c r="A884" s="1">
        <f>HYPERLINK("https://lsnyc.legalserver.org/matter/dynamic-profile/view/1910351","19-1910351")</f>
        <v>0</v>
      </c>
      <c r="B884" t="s">
        <v>161</v>
      </c>
      <c r="C884" t="s">
        <v>191</v>
      </c>
      <c r="D884" t="s">
        <v>291</v>
      </c>
      <c r="F884" t="s">
        <v>1029</v>
      </c>
      <c r="G884" t="s">
        <v>1808</v>
      </c>
      <c r="H884" t="s">
        <v>2614</v>
      </c>
      <c r="I884" t="s">
        <v>2905</v>
      </c>
      <c r="J884" t="s">
        <v>3148</v>
      </c>
      <c r="K884">
        <v>11212</v>
      </c>
      <c r="L884" t="s">
        <v>3185</v>
      </c>
      <c r="M884" t="s">
        <v>3189</v>
      </c>
      <c r="N884" t="s">
        <v>3186</v>
      </c>
      <c r="O884" t="s">
        <v>3200</v>
      </c>
      <c r="P884" t="s">
        <v>3622</v>
      </c>
      <c r="Q884" t="s">
        <v>3636</v>
      </c>
      <c r="S884" t="s">
        <v>253</v>
      </c>
      <c r="T884" t="s">
        <v>3660</v>
      </c>
      <c r="U884" t="s">
        <v>3185</v>
      </c>
      <c r="W884" t="s">
        <v>3670</v>
      </c>
      <c r="X884" t="s">
        <v>3681</v>
      </c>
      <c r="Y884">
        <v>1326</v>
      </c>
      <c r="Z884" t="s">
        <v>3691</v>
      </c>
      <c r="AA884" t="s">
        <v>3696</v>
      </c>
      <c r="AC884" t="s">
        <v>4517</v>
      </c>
      <c r="AD884" t="s">
        <v>3218</v>
      </c>
      <c r="AE884" t="s">
        <v>5597</v>
      </c>
      <c r="AF884">
        <v>4</v>
      </c>
      <c r="AG884" t="s">
        <v>3263</v>
      </c>
      <c r="AH884" t="s">
        <v>3188</v>
      </c>
      <c r="AI884">
        <v>9</v>
      </c>
      <c r="AJ884">
        <v>2</v>
      </c>
      <c r="AK884">
        <v>0</v>
      </c>
      <c r="AL884">
        <v>127.74</v>
      </c>
      <c r="AO884" t="s">
        <v>5843</v>
      </c>
      <c r="AP884">
        <v>21600</v>
      </c>
      <c r="AV884">
        <v>0</v>
      </c>
      <c r="AX884" t="s">
        <v>158</v>
      </c>
    </row>
    <row r="885" spans="1:50">
      <c r="A885" s="1">
        <f>HYPERLINK("https://lsnyc.legalserver.org/matter/dynamic-profile/view/1910350","19-1910350")</f>
        <v>0</v>
      </c>
      <c r="B885" t="s">
        <v>161</v>
      </c>
      <c r="C885" t="s">
        <v>191</v>
      </c>
      <c r="D885" t="s">
        <v>291</v>
      </c>
      <c r="F885" t="s">
        <v>1030</v>
      </c>
      <c r="G885" t="s">
        <v>1809</v>
      </c>
      <c r="H885" t="s">
        <v>2614</v>
      </c>
      <c r="I885" t="s">
        <v>2822</v>
      </c>
      <c r="J885" t="s">
        <v>3148</v>
      </c>
      <c r="K885">
        <v>11212</v>
      </c>
      <c r="L885" t="s">
        <v>3185</v>
      </c>
      <c r="M885" t="s">
        <v>3189</v>
      </c>
      <c r="N885" t="s">
        <v>3186</v>
      </c>
      <c r="O885" t="s">
        <v>3200</v>
      </c>
      <c r="P885" t="s">
        <v>3622</v>
      </c>
      <c r="Q885" t="s">
        <v>3636</v>
      </c>
      <c r="S885" t="s">
        <v>253</v>
      </c>
      <c r="T885" t="s">
        <v>3660</v>
      </c>
      <c r="U885" t="s">
        <v>3185</v>
      </c>
      <c r="W885" t="s">
        <v>3670</v>
      </c>
      <c r="X885" t="s">
        <v>3681</v>
      </c>
      <c r="Y885">
        <v>1400</v>
      </c>
      <c r="Z885" t="s">
        <v>3691</v>
      </c>
      <c r="AA885" t="s">
        <v>3696</v>
      </c>
      <c r="AC885" t="s">
        <v>4518</v>
      </c>
      <c r="AD885" t="s">
        <v>3188</v>
      </c>
      <c r="AE885" t="s">
        <v>5598</v>
      </c>
      <c r="AF885">
        <v>4</v>
      </c>
      <c r="AG885" t="s">
        <v>5813</v>
      </c>
      <c r="AH885" t="s">
        <v>3188</v>
      </c>
      <c r="AI885">
        <v>4</v>
      </c>
      <c r="AJ885">
        <v>1</v>
      </c>
      <c r="AK885">
        <v>0</v>
      </c>
      <c r="AL885">
        <v>181.49</v>
      </c>
      <c r="AO885" t="s">
        <v>5843</v>
      </c>
      <c r="AP885">
        <v>22668</v>
      </c>
      <c r="AV885">
        <v>0</v>
      </c>
      <c r="AX885" t="s">
        <v>158</v>
      </c>
    </row>
    <row r="886" spans="1:50">
      <c r="A886" s="1">
        <f>HYPERLINK("https://lsnyc.legalserver.org/matter/dynamic-profile/view/1895299","19-1895299")</f>
        <v>0</v>
      </c>
      <c r="B886" t="s">
        <v>161</v>
      </c>
      <c r="C886" t="s">
        <v>191</v>
      </c>
      <c r="D886" t="s">
        <v>284</v>
      </c>
      <c r="F886" t="s">
        <v>842</v>
      </c>
      <c r="G886" t="s">
        <v>1810</v>
      </c>
      <c r="H886" t="s">
        <v>2615</v>
      </c>
      <c r="I886" t="s">
        <v>2894</v>
      </c>
      <c r="J886" t="s">
        <v>3148</v>
      </c>
      <c r="K886">
        <v>11233</v>
      </c>
      <c r="L886" t="s">
        <v>3185</v>
      </c>
      <c r="M886" t="s">
        <v>3189</v>
      </c>
      <c r="N886" t="s">
        <v>3184</v>
      </c>
      <c r="O886" t="s">
        <v>3486</v>
      </c>
      <c r="P886" t="s">
        <v>3619</v>
      </c>
      <c r="Q886" t="s">
        <v>3640</v>
      </c>
      <c r="T886" t="s">
        <v>3660</v>
      </c>
      <c r="U886" t="s">
        <v>3185</v>
      </c>
      <c r="W886" t="s">
        <v>3675</v>
      </c>
      <c r="X886" t="s">
        <v>3681</v>
      </c>
      <c r="Y886">
        <v>0</v>
      </c>
      <c r="Z886" t="s">
        <v>3691</v>
      </c>
      <c r="AA886" t="s">
        <v>3704</v>
      </c>
      <c r="AC886" t="s">
        <v>4519</v>
      </c>
      <c r="AE886" t="s">
        <v>5599</v>
      </c>
      <c r="AF886">
        <v>6</v>
      </c>
      <c r="AG886" t="s">
        <v>5813</v>
      </c>
      <c r="AI886">
        <v>1</v>
      </c>
      <c r="AJ886">
        <v>1</v>
      </c>
      <c r="AK886">
        <v>0</v>
      </c>
      <c r="AL886">
        <v>9.550000000000001</v>
      </c>
      <c r="AO886" t="s">
        <v>5843</v>
      </c>
      <c r="AP886">
        <v>1192.8</v>
      </c>
      <c r="AV886">
        <v>15</v>
      </c>
      <c r="AW886" t="s">
        <v>218</v>
      </c>
      <c r="AX886" t="s">
        <v>158</v>
      </c>
    </row>
    <row r="887" spans="1:50">
      <c r="A887" s="1">
        <f>HYPERLINK("https://lsnyc.legalserver.org/matter/dynamic-profile/view/0832916","17-0832916")</f>
        <v>0</v>
      </c>
      <c r="B887" t="s">
        <v>162</v>
      </c>
      <c r="C887" t="s">
        <v>191</v>
      </c>
      <c r="D887" t="s">
        <v>386</v>
      </c>
      <c r="F887" t="s">
        <v>1031</v>
      </c>
      <c r="G887" t="s">
        <v>1811</v>
      </c>
      <c r="H887" t="s">
        <v>2616</v>
      </c>
      <c r="I887" t="s">
        <v>3083</v>
      </c>
      <c r="J887" t="s">
        <v>3148</v>
      </c>
      <c r="K887">
        <v>11238</v>
      </c>
      <c r="L887" t="s">
        <v>3185</v>
      </c>
      <c r="N887" t="s">
        <v>3186</v>
      </c>
      <c r="O887" t="s">
        <v>3513</v>
      </c>
      <c r="P887" t="s">
        <v>3610</v>
      </c>
      <c r="Q887" t="s">
        <v>3638</v>
      </c>
      <c r="T887" t="s">
        <v>3660</v>
      </c>
      <c r="U887" t="s">
        <v>3184</v>
      </c>
      <c r="V887" t="s">
        <v>3667</v>
      </c>
      <c r="W887" t="s">
        <v>3670</v>
      </c>
      <c r="Y887">
        <v>0</v>
      </c>
      <c r="Z887" t="s">
        <v>3691</v>
      </c>
      <c r="AA887" t="s">
        <v>3632</v>
      </c>
      <c r="AC887" t="s">
        <v>4520</v>
      </c>
      <c r="AE887" t="s">
        <v>5600</v>
      </c>
      <c r="AF887">
        <v>24</v>
      </c>
      <c r="AG887" t="s">
        <v>5813</v>
      </c>
      <c r="AH887" t="s">
        <v>3188</v>
      </c>
      <c r="AI887">
        <v>14</v>
      </c>
      <c r="AJ887">
        <v>1</v>
      </c>
      <c r="AK887">
        <v>2</v>
      </c>
      <c r="AL887">
        <v>416.26</v>
      </c>
      <c r="AO887" t="s">
        <v>5843</v>
      </c>
      <c r="AP887">
        <v>85000</v>
      </c>
      <c r="AV887">
        <v>78.34999999999999</v>
      </c>
      <c r="AW887" t="s">
        <v>5997</v>
      </c>
      <c r="AX887" t="s">
        <v>6032</v>
      </c>
    </row>
    <row r="888" spans="1:50">
      <c r="A888" s="1">
        <f>HYPERLINK("https://lsnyc.legalserver.org/matter/dynamic-profile/view/1909516","19-1909516")</f>
        <v>0</v>
      </c>
      <c r="B888" t="s">
        <v>158</v>
      </c>
      <c r="C888" t="s">
        <v>191</v>
      </c>
      <c r="D888" t="s">
        <v>197</v>
      </c>
      <c r="F888" t="s">
        <v>1032</v>
      </c>
      <c r="G888" t="s">
        <v>1812</v>
      </c>
      <c r="H888" t="s">
        <v>2617</v>
      </c>
      <c r="I888" t="s">
        <v>3084</v>
      </c>
      <c r="J888" t="s">
        <v>3148</v>
      </c>
      <c r="K888">
        <v>11233</v>
      </c>
      <c r="L888" t="s">
        <v>3184</v>
      </c>
      <c r="M888" t="s">
        <v>3188</v>
      </c>
      <c r="N888" t="s">
        <v>3186</v>
      </c>
      <c r="O888" t="s">
        <v>3263</v>
      </c>
      <c r="P888" t="s">
        <v>3610</v>
      </c>
      <c r="T888" t="s">
        <v>3660</v>
      </c>
      <c r="U888" t="s">
        <v>3184</v>
      </c>
      <c r="W888" t="s">
        <v>3670</v>
      </c>
      <c r="X888" t="s">
        <v>3681</v>
      </c>
      <c r="Y888">
        <v>1220</v>
      </c>
      <c r="Z888" t="s">
        <v>3691</v>
      </c>
      <c r="AA888" t="s">
        <v>3695</v>
      </c>
      <c r="AC888" t="s">
        <v>4521</v>
      </c>
      <c r="AD888" t="s">
        <v>3188</v>
      </c>
      <c r="AE888" t="s">
        <v>5601</v>
      </c>
      <c r="AF888">
        <v>100</v>
      </c>
      <c r="AG888" t="s">
        <v>3263</v>
      </c>
      <c r="AH888" t="s">
        <v>3188</v>
      </c>
      <c r="AI888">
        <v>3</v>
      </c>
      <c r="AJ888">
        <v>1</v>
      </c>
      <c r="AK888">
        <v>0</v>
      </c>
      <c r="AL888">
        <v>187.35</v>
      </c>
      <c r="AO888" t="s">
        <v>5843</v>
      </c>
      <c r="AP888">
        <v>23400</v>
      </c>
      <c r="AV888">
        <v>0.5</v>
      </c>
      <c r="AW888" t="s">
        <v>197</v>
      </c>
      <c r="AX888" t="s">
        <v>6008</v>
      </c>
    </row>
    <row r="889" spans="1:50">
      <c r="A889" s="1">
        <f>HYPERLINK("https://lsnyc.legalserver.org/matter/dynamic-profile/view/1907750","19-1907750")</f>
        <v>0</v>
      </c>
      <c r="B889" t="s">
        <v>163</v>
      </c>
      <c r="C889" t="s">
        <v>191</v>
      </c>
      <c r="D889" t="s">
        <v>225</v>
      </c>
      <c r="F889" t="s">
        <v>1033</v>
      </c>
      <c r="G889" t="s">
        <v>1813</v>
      </c>
      <c r="H889" t="s">
        <v>2618</v>
      </c>
      <c r="I889">
        <v>506</v>
      </c>
      <c r="J889" t="s">
        <v>3149</v>
      </c>
      <c r="K889">
        <v>11355</v>
      </c>
      <c r="L889" t="s">
        <v>3185</v>
      </c>
      <c r="M889" t="s">
        <v>3189</v>
      </c>
      <c r="N889" t="s">
        <v>3186</v>
      </c>
      <c r="O889" t="s">
        <v>3514</v>
      </c>
      <c r="P889" t="s">
        <v>3610</v>
      </c>
      <c r="Q889" t="s">
        <v>3638</v>
      </c>
      <c r="S889" t="s">
        <v>225</v>
      </c>
      <c r="T889" t="s">
        <v>3660</v>
      </c>
      <c r="U889" t="s">
        <v>3184</v>
      </c>
      <c r="W889" t="s">
        <v>3670</v>
      </c>
      <c r="X889" t="s">
        <v>3683</v>
      </c>
      <c r="Y889">
        <v>1325</v>
      </c>
      <c r="Z889" t="s">
        <v>3688</v>
      </c>
      <c r="AA889" t="s">
        <v>3696</v>
      </c>
      <c r="AC889" t="s">
        <v>4522</v>
      </c>
      <c r="AE889" t="s">
        <v>4764</v>
      </c>
      <c r="AF889">
        <v>47</v>
      </c>
      <c r="AG889" t="s">
        <v>3263</v>
      </c>
      <c r="AH889" t="s">
        <v>3188</v>
      </c>
      <c r="AI889">
        <v>3</v>
      </c>
      <c r="AJ889">
        <v>2</v>
      </c>
      <c r="AK889">
        <v>0</v>
      </c>
      <c r="AL889">
        <v>211.71</v>
      </c>
      <c r="AM889" t="s">
        <v>228</v>
      </c>
      <c r="AN889" t="s">
        <v>5839</v>
      </c>
      <c r="AO889" t="s">
        <v>5843</v>
      </c>
      <c r="AP889">
        <v>35800</v>
      </c>
      <c r="AV889">
        <v>13.5</v>
      </c>
      <c r="AW889" t="s">
        <v>197</v>
      </c>
      <c r="AX889" t="s">
        <v>62</v>
      </c>
    </row>
    <row r="890" spans="1:50">
      <c r="A890" s="1">
        <f>HYPERLINK("https://lsnyc.legalserver.org/matter/dynamic-profile/view/0745411","13-0745411")</f>
        <v>0</v>
      </c>
      <c r="B890" t="s">
        <v>164</v>
      </c>
      <c r="C890" t="s">
        <v>191</v>
      </c>
      <c r="D890" t="s">
        <v>387</v>
      </c>
      <c r="F890" t="s">
        <v>1034</v>
      </c>
      <c r="G890" t="s">
        <v>1814</v>
      </c>
      <c r="H890" t="s">
        <v>2619</v>
      </c>
      <c r="J890" t="s">
        <v>3148</v>
      </c>
      <c r="K890">
        <v>11211</v>
      </c>
      <c r="L890" t="s">
        <v>3184</v>
      </c>
      <c r="N890" t="s">
        <v>3186</v>
      </c>
      <c r="O890" t="s">
        <v>3515</v>
      </c>
      <c r="Q890" t="s">
        <v>3638</v>
      </c>
      <c r="T890" t="s">
        <v>3660</v>
      </c>
      <c r="V890" t="s">
        <v>3664</v>
      </c>
      <c r="W890" t="s">
        <v>3670</v>
      </c>
      <c r="Y890">
        <v>0</v>
      </c>
      <c r="Z890" t="s">
        <v>3691</v>
      </c>
      <c r="AC890" t="s">
        <v>4523</v>
      </c>
      <c r="AE890" t="s">
        <v>5602</v>
      </c>
      <c r="AF890">
        <v>0</v>
      </c>
      <c r="AI890">
        <v>0</v>
      </c>
      <c r="AJ890">
        <v>4</v>
      </c>
      <c r="AK890">
        <v>4</v>
      </c>
      <c r="AL890">
        <v>70.65000000000001</v>
      </c>
      <c r="AO890" t="s">
        <v>5843</v>
      </c>
      <c r="AP890">
        <v>28000</v>
      </c>
      <c r="AV890">
        <v>849.95</v>
      </c>
      <c r="AW890" t="s">
        <v>257</v>
      </c>
      <c r="AX890" t="s">
        <v>6055</v>
      </c>
    </row>
    <row r="891" spans="1:50">
      <c r="A891" s="1">
        <f>HYPERLINK("https://lsnyc.legalserver.org/matter/dynamic-profile/view/0826416","17-0826416")</f>
        <v>0</v>
      </c>
      <c r="B891" t="s">
        <v>157</v>
      </c>
      <c r="C891" t="s">
        <v>192</v>
      </c>
      <c r="D891" t="s">
        <v>388</v>
      </c>
      <c r="E891" t="s">
        <v>203</v>
      </c>
      <c r="F891" t="s">
        <v>1035</v>
      </c>
      <c r="G891" t="s">
        <v>1602</v>
      </c>
      <c r="H891" t="s">
        <v>2620</v>
      </c>
      <c r="I891" t="s">
        <v>2992</v>
      </c>
      <c r="J891" t="s">
        <v>3148</v>
      </c>
      <c r="K891">
        <v>11207</v>
      </c>
      <c r="L891" t="s">
        <v>3185</v>
      </c>
      <c r="N891" t="s">
        <v>3186</v>
      </c>
      <c r="Q891" t="s">
        <v>3636</v>
      </c>
      <c r="R891" t="s">
        <v>3642</v>
      </c>
      <c r="T891" t="s">
        <v>3660</v>
      </c>
      <c r="U891" t="s">
        <v>3662</v>
      </c>
      <c r="W891" t="s">
        <v>3670</v>
      </c>
      <c r="Y891">
        <v>900</v>
      </c>
      <c r="Z891" t="s">
        <v>3691</v>
      </c>
      <c r="AA891" t="s">
        <v>3704</v>
      </c>
      <c r="AB891" t="s">
        <v>3712</v>
      </c>
      <c r="AC891" t="s">
        <v>4524</v>
      </c>
      <c r="AD891">
        <v>6515564</v>
      </c>
      <c r="AE891" t="s">
        <v>5603</v>
      </c>
      <c r="AF891">
        <v>6</v>
      </c>
      <c r="AH891" t="s">
        <v>5825</v>
      </c>
      <c r="AI891">
        <v>6</v>
      </c>
      <c r="AJ891">
        <v>1</v>
      </c>
      <c r="AK891">
        <v>1</v>
      </c>
      <c r="AL891">
        <v>136.01</v>
      </c>
      <c r="AO891" t="s">
        <v>5843</v>
      </c>
      <c r="AP891">
        <v>22088</v>
      </c>
      <c r="AQ891" t="s">
        <v>5919</v>
      </c>
      <c r="AV891">
        <v>1</v>
      </c>
      <c r="AW891" t="s">
        <v>388</v>
      </c>
      <c r="AX891" t="s">
        <v>6056</v>
      </c>
    </row>
    <row r="892" spans="1:50">
      <c r="A892" s="1">
        <f>HYPERLINK("https://lsnyc.legalserver.org/matter/dynamic-profile/view/0819244","16-0819244")</f>
        <v>0</v>
      </c>
      <c r="B892" t="s">
        <v>165</v>
      </c>
      <c r="C892" t="s">
        <v>192</v>
      </c>
      <c r="D892" t="s">
        <v>389</v>
      </c>
      <c r="E892" t="s">
        <v>231</v>
      </c>
      <c r="F892" t="s">
        <v>1036</v>
      </c>
      <c r="G892" t="s">
        <v>1195</v>
      </c>
      <c r="H892" t="s">
        <v>2621</v>
      </c>
      <c r="I892" t="s">
        <v>2829</v>
      </c>
      <c r="J892" t="s">
        <v>3148</v>
      </c>
      <c r="K892">
        <v>11226</v>
      </c>
      <c r="L892" t="s">
        <v>3184</v>
      </c>
      <c r="N892" t="s">
        <v>3186</v>
      </c>
      <c r="O892" t="s">
        <v>3516</v>
      </c>
      <c r="P892" t="s">
        <v>3610</v>
      </c>
      <c r="Q892" t="s">
        <v>3638</v>
      </c>
      <c r="R892" t="s">
        <v>3644</v>
      </c>
      <c r="T892" t="s">
        <v>3660</v>
      </c>
      <c r="U892" t="s">
        <v>3185</v>
      </c>
      <c r="V892" t="s">
        <v>3667</v>
      </c>
      <c r="W892" t="s">
        <v>3670</v>
      </c>
      <c r="Y892">
        <v>1560.44</v>
      </c>
      <c r="Z892" t="s">
        <v>3691</v>
      </c>
      <c r="AA892" t="s">
        <v>3707</v>
      </c>
      <c r="AB892" t="s">
        <v>3714</v>
      </c>
      <c r="AC892" t="s">
        <v>4525</v>
      </c>
      <c r="AE892" t="s">
        <v>5604</v>
      </c>
      <c r="AF892">
        <v>60</v>
      </c>
      <c r="AG892" t="s">
        <v>5813</v>
      </c>
      <c r="AH892" t="s">
        <v>5827</v>
      </c>
      <c r="AI892">
        <v>33</v>
      </c>
      <c r="AJ892">
        <v>2</v>
      </c>
      <c r="AK892">
        <v>0</v>
      </c>
      <c r="AL892">
        <v>0</v>
      </c>
      <c r="AO892" t="s">
        <v>5843</v>
      </c>
      <c r="AP892">
        <v>0</v>
      </c>
      <c r="AV892">
        <v>68.55</v>
      </c>
      <c r="AW892" t="s">
        <v>231</v>
      </c>
      <c r="AX892" t="s">
        <v>6021</v>
      </c>
    </row>
    <row r="893" spans="1:50">
      <c r="A893" s="1">
        <f>HYPERLINK("https://lsnyc.legalserver.org/matter/dynamic-profile/view/1905991","19-1905991")</f>
        <v>0</v>
      </c>
      <c r="B893" t="s">
        <v>157</v>
      </c>
      <c r="C893" t="s">
        <v>191</v>
      </c>
      <c r="D893" t="s">
        <v>200</v>
      </c>
      <c r="F893" t="s">
        <v>812</v>
      </c>
      <c r="G893" t="s">
        <v>609</v>
      </c>
      <c r="H893" t="s">
        <v>2460</v>
      </c>
      <c r="I893" t="s">
        <v>3085</v>
      </c>
      <c r="J893" t="s">
        <v>3148</v>
      </c>
      <c r="K893">
        <v>11233</v>
      </c>
      <c r="L893" t="s">
        <v>3185</v>
      </c>
      <c r="M893" t="s">
        <v>3189</v>
      </c>
      <c r="N893" t="s">
        <v>3186</v>
      </c>
      <c r="O893" t="s">
        <v>3218</v>
      </c>
      <c r="P893" t="s">
        <v>3622</v>
      </c>
      <c r="Q893" t="s">
        <v>3636</v>
      </c>
      <c r="S893" t="s">
        <v>285</v>
      </c>
      <c r="T893" t="s">
        <v>3660</v>
      </c>
      <c r="U893" t="s">
        <v>3184</v>
      </c>
      <c r="W893" t="s">
        <v>3670</v>
      </c>
      <c r="X893" t="s">
        <v>3681</v>
      </c>
      <c r="Y893">
        <v>1200</v>
      </c>
      <c r="Z893" t="s">
        <v>3691</v>
      </c>
      <c r="AC893" t="s">
        <v>4526</v>
      </c>
      <c r="AD893" t="s">
        <v>3218</v>
      </c>
      <c r="AF893">
        <v>1107</v>
      </c>
      <c r="AG893" t="s">
        <v>5813</v>
      </c>
      <c r="AH893" t="s">
        <v>3188</v>
      </c>
      <c r="AI893">
        <v>26</v>
      </c>
      <c r="AJ893">
        <v>4</v>
      </c>
      <c r="AK893">
        <v>1</v>
      </c>
      <c r="AL893">
        <v>99.44</v>
      </c>
      <c r="AO893" t="s">
        <v>5843</v>
      </c>
      <c r="AP893">
        <v>30000</v>
      </c>
      <c r="AQ893" t="s">
        <v>5912</v>
      </c>
      <c r="AV893">
        <v>0</v>
      </c>
      <c r="AX893" t="s">
        <v>158</v>
      </c>
    </row>
    <row r="894" spans="1:50">
      <c r="A894" s="1">
        <f>HYPERLINK("https://lsnyc.legalserver.org/matter/dynamic-profile/view/1858116","18-1858116")</f>
        <v>0</v>
      </c>
      <c r="B894" t="s">
        <v>157</v>
      </c>
      <c r="C894" t="s">
        <v>191</v>
      </c>
      <c r="D894" t="s">
        <v>390</v>
      </c>
      <c r="F894" t="s">
        <v>1037</v>
      </c>
      <c r="G894" t="s">
        <v>1815</v>
      </c>
      <c r="H894" t="s">
        <v>2622</v>
      </c>
      <c r="I894" t="s">
        <v>2992</v>
      </c>
      <c r="J894" t="s">
        <v>3148</v>
      </c>
      <c r="K894">
        <v>11237</v>
      </c>
      <c r="L894" t="s">
        <v>3185</v>
      </c>
      <c r="N894" t="s">
        <v>3184</v>
      </c>
      <c r="Q894" t="s">
        <v>3637</v>
      </c>
      <c r="T894" t="s">
        <v>3660</v>
      </c>
      <c r="U894" t="s">
        <v>3185</v>
      </c>
      <c r="W894" t="s">
        <v>3670</v>
      </c>
      <c r="Y894">
        <v>850</v>
      </c>
      <c r="Z894" t="s">
        <v>3691</v>
      </c>
      <c r="AC894" t="s">
        <v>4527</v>
      </c>
      <c r="AE894" t="s">
        <v>5605</v>
      </c>
      <c r="AF894">
        <v>8</v>
      </c>
      <c r="AG894" t="s">
        <v>5813</v>
      </c>
      <c r="AI894">
        <v>32</v>
      </c>
      <c r="AJ894">
        <v>2</v>
      </c>
      <c r="AK894">
        <v>2</v>
      </c>
      <c r="AL894">
        <v>26</v>
      </c>
      <c r="AO894" t="s">
        <v>5843</v>
      </c>
      <c r="AP894">
        <v>6396</v>
      </c>
      <c r="AV894">
        <v>0</v>
      </c>
      <c r="AX894" t="s">
        <v>6045</v>
      </c>
    </row>
    <row r="895" spans="1:50">
      <c r="A895" s="1">
        <f>HYPERLINK("https://lsnyc.legalserver.org/matter/dynamic-profile/view/0826379","17-0826379")</f>
        <v>0</v>
      </c>
      <c r="B895" t="s">
        <v>157</v>
      </c>
      <c r="C895" t="s">
        <v>191</v>
      </c>
      <c r="D895" t="s">
        <v>388</v>
      </c>
      <c r="F895" t="s">
        <v>1038</v>
      </c>
      <c r="G895" t="s">
        <v>1816</v>
      </c>
      <c r="H895" t="s">
        <v>2623</v>
      </c>
      <c r="I895" t="s">
        <v>3086</v>
      </c>
      <c r="J895" t="s">
        <v>3148</v>
      </c>
      <c r="K895">
        <v>11207</v>
      </c>
      <c r="L895" t="s">
        <v>3185</v>
      </c>
      <c r="N895" t="s">
        <v>3186</v>
      </c>
      <c r="Q895" t="s">
        <v>3634</v>
      </c>
      <c r="T895" t="s">
        <v>3660</v>
      </c>
      <c r="U895" t="s">
        <v>3184</v>
      </c>
      <c r="W895" t="s">
        <v>3670</v>
      </c>
      <c r="Y895">
        <v>1650</v>
      </c>
      <c r="Z895" t="s">
        <v>3691</v>
      </c>
      <c r="AA895" t="s">
        <v>3696</v>
      </c>
      <c r="AC895" t="s">
        <v>4528</v>
      </c>
      <c r="AE895" t="s">
        <v>5606</v>
      </c>
      <c r="AF895">
        <v>5</v>
      </c>
      <c r="AG895" t="s">
        <v>3263</v>
      </c>
      <c r="AH895" t="s">
        <v>5827</v>
      </c>
      <c r="AI895">
        <v>10</v>
      </c>
      <c r="AJ895">
        <v>4</v>
      </c>
      <c r="AK895">
        <v>3</v>
      </c>
      <c r="AL895">
        <v>81.84</v>
      </c>
      <c r="AO895" t="s">
        <v>5843</v>
      </c>
      <c r="AP895">
        <v>30394</v>
      </c>
      <c r="AQ895" t="s">
        <v>5919</v>
      </c>
      <c r="AV895">
        <v>0.2</v>
      </c>
      <c r="AW895" t="s">
        <v>5998</v>
      </c>
      <c r="AX895" t="s">
        <v>158</v>
      </c>
    </row>
    <row r="896" spans="1:50">
      <c r="A896" s="1">
        <f>HYPERLINK("https://lsnyc.legalserver.org/matter/dynamic-profile/view/1889277","19-1889277")</f>
        <v>0</v>
      </c>
      <c r="B896" t="s">
        <v>144</v>
      </c>
      <c r="C896" t="s">
        <v>192</v>
      </c>
      <c r="D896" t="s">
        <v>391</v>
      </c>
      <c r="E896" t="s">
        <v>202</v>
      </c>
      <c r="F896" t="s">
        <v>1030</v>
      </c>
      <c r="G896" t="s">
        <v>715</v>
      </c>
      <c r="H896" t="s">
        <v>2624</v>
      </c>
      <c r="I896">
        <v>3</v>
      </c>
      <c r="J896" t="s">
        <v>3148</v>
      </c>
      <c r="K896">
        <v>11207</v>
      </c>
      <c r="L896" t="s">
        <v>3184</v>
      </c>
      <c r="N896" t="s">
        <v>3184</v>
      </c>
      <c r="O896" t="s">
        <v>3517</v>
      </c>
      <c r="P896" t="s">
        <v>3610</v>
      </c>
      <c r="Q896" t="s">
        <v>3634</v>
      </c>
      <c r="R896" t="s">
        <v>3642</v>
      </c>
      <c r="T896" t="s">
        <v>3660</v>
      </c>
      <c r="U896" t="s">
        <v>3184</v>
      </c>
      <c r="W896" t="s">
        <v>3670</v>
      </c>
      <c r="Y896">
        <v>2600</v>
      </c>
      <c r="Z896" t="s">
        <v>3691</v>
      </c>
      <c r="AA896" t="s">
        <v>3632</v>
      </c>
      <c r="AB896" t="s">
        <v>3712</v>
      </c>
      <c r="AC896" t="s">
        <v>4529</v>
      </c>
      <c r="AE896" t="s">
        <v>5607</v>
      </c>
      <c r="AF896">
        <v>3</v>
      </c>
      <c r="AG896" t="s">
        <v>5814</v>
      </c>
      <c r="AH896" t="s">
        <v>3188</v>
      </c>
      <c r="AI896">
        <v>0</v>
      </c>
      <c r="AJ896">
        <v>1</v>
      </c>
      <c r="AK896">
        <v>1</v>
      </c>
      <c r="AL896">
        <v>0</v>
      </c>
      <c r="AO896" t="s">
        <v>5843</v>
      </c>
      <c r="AP896">
        <v>0</v>
      </c>
      <c r="AV896">
        <v>2.25</v>
      </c>
      <c r="AW896" t="s">
        <v>5999</v>
      </c>
      <c r="AX896" t="s">
        <v>6028</v>
      </c>
    </row>
    <row r="897" spans="1:50">
      <c r="A897" s="1">
        <f>HYPERLINK("https://lsnyc.legalserver.org/matter/dynamic-profile/view/1895283","19-1895283")</f>
        <v>0</v>
      </c>
      <c r="B897" t="s">
        <v>157</v>
      </c>
      <c r="C897" t="s">
        <v>191</v>
      </c>
      <c r="D897" t="s">
        <v>392</v>
      </c>
      <c r="F897" t="s">
        <v>1039</v>
      </c>
      <c r="G897" t="s">
        <v>1817</v>
      </c>
      <c r="H897" t="s">
        <v>2625</v>
      </c>
      <c r="I897" t="s">
        <v>2897</v>
      </c>
      <c r="J897" t="s">
        <v>3148</v>
      </c>
      <c r="K897">
        <v>11212</v>
      </c>
      <c r="L897" t="s">
        <v>3185</v>
      </c>
      <c r="M897" t="s">
        <v>3189</v>
      </c>
      <c r="N897" t="s">
        <v>3184</v>
      </c>
      <c r="O897" t="s">
        <v>3518</v>
      </c>
      <c r="P897" t="s">
        <v>3615</v>
      </c>
      <c r="Q897" t="s">
        <v>3636</v>
      </c>
      <c r="T897" t="s">
        <v>3660</v>
      </c>
      <c r="U897" t="s">
        <v>3185</v>
      </c>
      <c r="W897" t="s">
        <v>3680</v>
      </c>
      <c r="X897" t="s">
        <v>3682</v>
      </c>
      <c r="Y897">
        <v>1326</v>
      </c>
      <c r="Z897" t="s">
        <v>3691</v>
      </c>
      <c r="AA897" t="s">
        <v>3632</v>
      </c>
      <c r="AC897" t="s">
        <v>4530</v>
      </c>
      <c r="AF897">
        <v>16</v>
      </c>
      <c r="AG897" t="s">
        <v>5813</v>
      </c>
      <c r="AH897" t="s">
        <v>5825</v>
      </c>
      <c r="AI897">
        <v>3</v>
      </c>
      <c r="AJ897">
        <v>1</v>
      </c>
      <c r="AK897">
        <v>1</v>
      </c>
      <c r="AL897">
        <v>116.88</v>
      </c>
      <c r="AO897" t="s">
        <v>5843</v>
      </c>
      <c r="AP897">
        <v>19764</v>
      </c>
      <c r="AV897">
        <v>3.6</v>
      </c>
      <c r="AW897" t="s">
        <v>196</v>
      </c>
      <c r="AX897" t="s">
        <v>82</v>
      </c>
    </row>
    <row r="898" spans="1:50">
      <c r="A898" s="1">
        <f>HYPERLINK("https://lsnyc.legalserver.org/matter/dynamic-profile/view/1910172","19-1910172")</f>
        <v>0</v>
      </c>
      <c r="B898" t="s">
        <v>144</v>
      </c>
      <c r="C898" t="s">
        <v>191</v>
      </c>
      <c r="D898" t="s">
        <v>221</v>
      </c>
      <c r="F898" t="s">
        <v>1040</v>
      </c>
      <c r="G898" t="s">
        <v>1315</v>
      </c>
      <c r="H898" t="s">
        <v>2626</v>
      </c>
      <c r="I898" t="s">
        <v>2902</v>
      </c>
      <c r="J898" t="s">
        <v>3148</v>
      </c>
      <c r="K898">
        <v>11212</v>
      </c>
      <c r="L898" t="s">
        <v>3184</v>
      </c>
      <c r="M898" t="s">
        <v>3188</v>
      </c>
      <c r="N898" t="s">
        <v>3186</v>
      </c>
      <c r="O898" t="s">
        <v>3519</v>
      </c>
      <c r="P898" t="s">
        <v>3610</v>
      </c>
      <c r="T898" t="s">
        <v>3660</v>
      </c>
      <c r="U898" t="s">
        <v>3184</v>
      </c>
      <c r="W898" t="s">
        <v>3670</v>
      </c>
      <c r="X898" t="s">
        <v>3681</v>
      </c>
      <c r="Y898">
        <v>1643.13</v>
      </c>
      <c r="Z898" t="s">
        <v>3691</v>
      </c>
      <c r="AA898" t="s">
        <v>3696</v>
      </c>
      <c r="AC898" t="s">
        <v>4531</v>
      </c>
      <c r="AD898" t="s">
        <v>3188</v>
      </c>
      <c r="AE898" t="s">
        <v>5608</v>
      </c>
      <c r="AF898">
        <v>38</v>
      </c>
      <c r="AG898" t="s">
        <v>5813</v>
      </c>
      <c r="AH898" t="s">
        <v>3188</v>
      </c>
      <c r="AI898">
        <v>9</v>
      </c>
      <c r="AJ898">
        <v>4</v>
      </c>
      <c r="AK898">
        <v>0</v>
      </c>
      <c r="AL898">
        <v>104.85</v>
      </c>
      <c r="AO898" t="s">
        <v>5843</v>
      </c>
      <c r="AP898">
        <v>27000</v>
      </c>
      <c r="AV898">
        <v>0</v>
      </c>
      <c r="AX898" t="s">
        <v>158</v>
      </c>
    </row>
    <row r="899" spans="1:50">
      <c r="A899" s="1">
        <f>HYPERLINK("https://lsnyc.legalserver.org/matter/dynamic-profile/view/1893741","19-1893741")</f>
        <v>0</v>
      </c>
      <c r="B899" t="s">
        <v>144</v>
      </c>
      <c r="C899" t="s">
        <v>191</v>
      </c>
      <c r="D899" t="s">
        <v>393</v>
      </c>
      <c r="F899" t="s">
        <v>898</v>
      </c>
      <c r="G899" t="s">
        <v>1690</v>
      </c>
      <c r="H899" t="s">
        <v>2627</v>
      </c>
      <c r="I899" t="s">
        <v>2993</v>
      </c>
      <c r="J899" t="s">
        <v>3148</v>
      </c>
      <c r="K899">
        <v>11233</v>
      </c>
      <c r="L899" t="s">
        <v>3184</v>
      </c>
      <c r="M899" t="s">
        <v>3188</v>
      </c>
      <c r="N899" t="s">
        <v>3184</v>
      </c>
      <c r="O899" t="s">
        <v>3520</v>
      </c>
      <c r="P899" t="s">
        <v>3613</v>
      </c>
      <c r="T899" t="s">
        <v>3660</v>
      </c>
      <c r="U899" t="s">
        <v>3184</v>
      </c>
      <c r="W899" t="s">
        <v>3670</v>
      </c>
      <c r="X899" t="s">
        <v>3681</v>
      </c>
      <c r="Y899">
        <v>1100</v>
      </c>
      <c r="Z899" t="s">
        <v>3691</v>
      </c>
      <c r="AC899" t="s">
        <v>4532</v>
      </c>
      <c r="AD899" t="s">
        <v>3218</v>
      </c>
      <c r="AE899" t="s">
        <v>5609</v>
      </c>
      <c r="AF899">
        <v>3</v>
      </c>
      <c r="AG899" t="s">
        <v>5814</v>
      </c>
      <c r="AH899" t="s">
        <v>3188</v>
      </c>
      <c r="AI899">
        <v>13</v>
      </c>
      <c r="AJ899">
        <v>3</v>
      </c>
      <c r="AK899">
        <v>0</v>
      </c>
      <c r="AL899">
        <v>201.59</v>
      </c>
      <c r="AO899" t="s">
        <v>5843</v>
      </c>
      <c r="AP899">
        <v>43000</v>
      </c>
      <c r="AV899">
        <v>0</v>
      </c>
      <c r="AX899" t="s">
        <v>158</v>
      </c>
    </row>
    <row r="900" spans="1:50">
      <c r="A900" s="1">
        <f>HYPERLINK("https://lsnyc.legalserver.org/matter/dynamic-profile/view/1904435","19-1904435")</f>
        <v>0</v>
      </c>
      <c r="B900" t="s">
        <v>163</v>
      </c>
      <c r="C900" t="s">
        <v>191</v>
      </c>
      <c r="D900" t="s">
        <v>272</v>
      </c>
      <c r="F900" t="s">
        <v>1041</v>
      </c>
      <c r="G900" t="s">
        <v>795</v>
      </c>
      <c r="H900" t="s">
        <v>2628</v>
      </c>
      <c r="J900" t="s">
        <v>3177</v>
      </c>
      <c r="K900">
        <v>14212</v>
      </c>
      <c r="L900" t="s">
        <v>3186</v>
      </c>
      <c r="N900" t="s">
        <v>3186</v>
      </c>
      <c r="O900" t="s">
        <v>3521</v>
      </c>
      <c r="P900" t="s">
        <v>3619</v>
      </c>
      <c r="Q900" t="s">
        <v>3638</v>
      </c>
      <c r="T900" t="s">
        <v>3660</v>
      </c>
      <c r="U900" t="s">
        <v>3184</v>
      </c>
      <c r="W900" t="s">
        <v>3671</v>
      </c>
      <c r="X900" t="s">
        <v>3681</v>
      </c>
      <c r="Y900">
        <v>0</v>
      </c>
      <c r="Z900" t="s">
        <v>3688</v>
      </c>
      <c r="AA900" t="s">
        <v>3696</v>
      </c>
      <c r="AC900" t="s">
        <v>4533</v>
      </c>
      <c r="AE900" t="s">
        <v>5610</v>
      </c>
      <c r="AF900">
        <v>1</v>
      </c>
      <c r="AG900" t="s">
        <v>3263</v>
      </c>
      <c r="AH900" t="s">
        <v>3188</v>
      </c>
      <c r="AI900">
        <v>-1</v>
      </c>
      <c r="AJ900">
        <v>3</v>
      </c>
      <c r="AK900">
        <v>1</v>
      </c>
      <c r="AL900">
        <v>80.39</v>
      </c>
      <c r="AO900" t="s">
        <v>5843</v>
      </c>
      <c r="AP900">
        <v>20700</v>
      </c>
      <c r="AV900">
        <v>17.1</v>
      </c>
      <c r="AW900" t="s">
        <v>221</v>
      </c>
      <c r="AX900" t="s">
        <v>163</v>
      </c>
    </row>
    <row r="901" spans="1:50">
      <c r="A901" s="1">
        <f>HYPERLINK("https://lsnyc.legalserver.org/matter/dynamic-profile/view/1905984","19-1905984")</f>
        <v>0</v>
      </c>
      <c r="B901" t="s">
        <v>157</v>
      </c>
      <c r="C901" t="s">
        <v>191</v>
      </c>
      <c r="D901" t="s">
        <v>200</v>
      </c>
      <c r="F901" t="s">
        <v>523</v>
      </c>
      <c r="G901" t="s">
        <v>1818</v>
      </c>
      <c r="H901" t="s">
        <v>2097</v>
      </c>
      <c r="I901" t="s">
        <v>3087</v>
      </c>
      <c r="J901" t="s">
        <v>3148</v>
      </c>
      <c r="K901">
        <v>11233</v>
      </c>
      <c r="L901" t="s">
        <v>3185</v>
      </c>
      <c r="M901" t="s">
        <v>3189</v>
      </c>
      <c r="N901" t="s">
        <v>3186</v>
      </c>
      <c r="O901" t="s">
        <v>3191</v>
      </c>
      <c r="P901" t="s">
        <v>3622</v>
      </c>
      <c r="T901" t="s">
        <v>3660</v>
      </c>
      <c r="U901" t="s">
        <v>3185</v>
      </c>
      <c r="W901" t="s">
        <v>3670</v>
      </c>
      <c r="X901" t="s">
        <v>3681</v>
      </c>
      <c r="Y901">
        <v>1001.91</v>
      </c>
      <c r="Z901" t="s">
        <v>3691</v>
      </c>
      <c r="AA901" t="s">
        <v>3704</v>
      </c>
      <c r="AC901" t="s">
        <v>4534</v>
      </c>
      <c r="AD901" t="s">
        <v>3218</v>
      </c>
      <c r="AF901">
        <v>1117</v>
      </c>
      <c r="AG901" t="s">
        <v>5813</v>
      </c>
      <c r="AH901" t="s">
        <v>3188</v>
      </c>
      <c r="AI901">
        <v>40</v>
      </c>
      <c r="AJ901">
        <v>2</v>
      </c>
      <c r="AK901">
        <v>0</v>
      </c>
      <c r="AL901">
        <v>620.9299999999999</v>
      </c>
      <c r="AN901" t="s">
        <v>5839</v>
      </c>
      <c r="AO901" t="s">
        <v>5843</v>
      </c>
      <c r="AP901">
        <v>105000</v>
      </c>
      <c r="AQ901" t="s">
        <v>5922</v>
      </c>
      <c r="AV901">
        <v>0</v>
      </c>
      <c r="AX901" t="s">
        <v>158</v>
      </c>
    </row>
    <row r="902" spans="1:50">
      <c r="A902" s="1">
        <f>HYPERLINK("https://lsnyc.legalserver.org/matter/dynamic-profile/view/1905305","19-1905305")</f>
        <v>0</v>
      </c>
      <c r="B902" t="s">
        <v>166</v>
      </c>
      <c r="C902" t="s">
        <v>191</v>
      </c>
      <c r="D902" t="s">
        <v>254</v>
      </c>
      <c r="F902" t="s">
        <v>513</v>
      </c>
      <c r="G902" t="s">
        <v>1819</v>
      </c>
      <c r="H902" t="s">
        <v>2629</v>
      </c>
      <c r="J902" t="s">
        <v>3147</v>
      </c>
      <c r="K902">
        <v>10459</v>
      </c>
      <c r="L902" t="s">
        <v>3185</v>
      </c>
      <c r="M902" t="s">
        <v>3189</v>
      </c>
      <c r="N902" t="s">
        <v>3186</v>
      </c>
      <c r="P902" t="s">
        <v>3257</v>
      </c>
      <c r="Q902" t="s">
        <v>3634</v>
      </c>
      <c r="T902" t="s">
        <v>3660</v>
      </c>
      <c r="U902" t="s">
        <v>3184</v>
      </c>
      <c r="W902" t="s">
        <v>3670</v>
      </c>
      <c r="Y902">
        <v>743.21</v>
      </c>
      <c r="Z902" t="s">
        <v>3690</v>
      </c>
      <c r="AA902" t="s">
        <v>3700</v>
      </c>
      <c r="AC902" t="s">
        <v>4535</v>
      </c>
      <c r="AD902" t="s">
        <v>4849</v>
      </c>
      <c r="AF902">
        <v>11</v>
      </c>
      <c r="AG902" t="s">
        <v>5813</v>
      </c>
      <c r="AH902" t="s">
        <v>3188</v>
      </c>
      <c r="AI902">
        <v>3</v>
      </c>
      <c r="AJ902">
        <v>1</v>
      </c>
      <c r="AK902">
        <v>0</v>
      </c>
      <c r="AL902">
        <v>49.96</v>
      </c>
      <c r="AO902" t="s">
        <v>5843</v>
      </c>
      <c r="AP902">
        <v>6240</v>
      </c>
      <c r="AV902">
        <v>2.5</v>
      </c>
      <c r="AW902" t="s">
        <v>286</v>
      </c>
      <c r="AX902" t="s">
        <v>166</v>
      </c>
    </row>
    <row r="903" spans="1:50">
      <c r="A903" s="1">
        <f>HYPERLINK("https://lsnyc.legalserver.org/matter/dynamic-profile/view/1905447","19-1905447")</f>
        <v>0</v>
      </c>
      <c r="B903" t="s">
        <v>166</v>
      </c>
      <c r="C903" t="s">
        <v>191</v>
      </c>
      <c r="D903" t="s">
        <v>254</v>
      </c>
      <c r="F903" t="s">
        <v>933</v>
      </c>
      <c r="G903" t="s">
        <v>1820</v>
      </c>
      <c r="H903" t="s">
        <v>2630</v>
      </c>
      <c r="I903" t="s">
        <v>2899</v>
      </c>
      <c r="J903" t="s">
        <v>3147</v>
      </c>
      <c r="K903">
        <v>10451</v>
      </c>
      <c r="L903" t="s">
        <v>3185</v>
      </c>
      <c r="M903" t="s">
        <v>3188</v>
      </c>
      <c r="N903" t="s">
        <v>3186</v>
      </c>
      <c r="P903" t="s">
        <v>3615</v>
      </c>
      <c r="Q903" t="s">
        <v>3634</v>
      </c>
      <c r="T903" t="s">
        <v>3660</v>
      </c>
      <c r="U903" t="s">
        <v>3184</v>
      </c>
      <c r="W903" t="s">
        <v>3670</v>
      </c>
      <c r="Y903">
        <v>1200</v>
      </c>
      <c r="Z903" t="s">
        <v>3690</v>
      </c>
      <c r="AA903" t="s">
        <v>3700</v>
      </c>
      <c r="AC903" t="s">
        <v>4536</v>
      </c>
      <c r="AF903">
        <v>93</v>
      </c>
      <c r="AG903" t="s">
        <v>5813</v>
      </c>
      <c r="AH903" t="s">
        <v>5831</v>
      </c>
      <c r="AI903">
        <v>13</v>
      </c>
      <c r="AJ903">
        <v>1</v>
      </c>
      <c r="AK903">
        <v>0</v>
      </c>
      <c r="AL903">
        <v>63.41</v>
      </c>
      <c r="AO903" t="s">
        <v>5843</v>
      </c>
      <c r="AP903">
        <v>7920</v>
      </c>
      <c r="AQ903" t="s">
        <v>5923</v>
      </c>
      <c r="AV903">
        <v>1</v>
      </c>
      <c r="AW903" t="s">
        <v>254</v>
      </c>
      <c r="AX903" t="s">
        <v>166</v>
      </c>
    </row>
    <row r="904" spans="1:50">
      <c r="A904" s="1">
        <f>HYPERLINK("https://lsnyc.legalserver.org/matter/dynamic-profile/view/1907513","19-1907513")</f>
        <v>0</v>
      </c>
      <c r="B904" t="s">
        <v>166</v>
      </c>
      <c r="C904" t="s">
        <v>191</v>
      </c>
      <c r="D904" t="s">
        <v>234</v>
      </c>
      <c r="F904" t="s">
        <v>894</v>
      </c>
      <c r="G904" t="s">
        <v>1683</v>
      </c>
      <c r="H904" t="s">
        <v>2631</v>
      </c>
      <c r="I904" t="s">
        <v>2899</v>
      </c>
      <c r="J904" t="s">
        <v>3147</v>
      </c>
      <c r="K904">
        <v>10452</v>
      </c>
      <c r="L904" t="s">
        <v>3185</v>
      </c>
      <c r="M904" t="s">
        <v>3189</v>
      </c>
      <c r="N904" t="s">
        <v>3186</v>
      </c>
      <c r="P904" t="s">
        <v>3257</v>
      </c>
      <c r="Q904" t="s">
        <v>3634</v>
      </c>
      <c r="T904" t="s">
        <v>3660</v>
      </c>
      <c r="U904" t="s">
        <v>3184</v>
      </c>
      <c r="W904" t="s">
        <v>3670</v>
      </c>
      <c r="Y904">
        <v>125</v>
      </c>
      <c r="Z904" t="s">
        <v>3690</v>
      </c>
      <c r="AA904" t="s">
        <v>3696</v>
      </c>
      <c r="AC904" t="s">
        <v>4537</v>
      </c>
      <c r="AE904" t="s">
        <v>5611</v>
      </c>
      <c r="AF904">
        <v>0</v>
      </c>
      <c r="AG904" t="s">
        <v>5813</v>
      </c>
      <c r="AH904" t="s">
        <v>5830</v>
      </c>
      <c r="AI904">
        <v>25</v>
      </c>
      <c r="AJ904">
        <v>1</v>
      </c>
      <c r="AK904">
        <v>0</v>
      </c>
      <c r="AL904">
        <v>67.25</v>
      </c>
      <c r="AP904">
        <v>8400</v>
      </c>
      <c r="AV904">
        <v>0.6</v>
      </c>
      <c r="AW904" t="s">
        <v>234</v>
      </c>
      <c r="AX904" t="s">
        <v>166</v>
      </c>
    </row>
    <row r="905" spans="1:50">
      <c r="A905" s="1">
        <f>HYPERLINK("https://lsnyc.legalserver.org/matter/dynamic-profile/view/1905267","19-1905267")</f>
        <v>0</v>
      </c>
      <c r="B905" t="s">
        <v>166</v>
      </c>
      <c r="C905" t="s">
        <v>191</v>
      </c>
      <c r="D905" t="s">
        <v>254</v>
      </c>
      <c r="F905" t="s">
        <v>1042</v>
      </c>
      <c r="G905" t="s">
        <v>1821</v>
      </c>
      <c r="H905" t="s">
        <v>2632</v>
      </c>
      <c r="I905" t="s">
        <v>3088</v>
      </c>
      <c r="J905" t="s">
        <v>3147</v>
      </c>
      <c r="K905">
        <v>10451</v>
      </c>
      <c r="L905" t="s">
        <v>3185</v>
      </c>
      <c r="M905" t="s">
        <v>3189</v>
      </c>
      <c r="N905" t="s">
        <v>3186</v>
      </c>
      <c r="P905" t="s">
        <v>3257</v>
      </c>
      <c r="Q905" t="s">
        <v>3634</v>
      </c>
      <c r="T905" t="s">
        <v>3660</v>
      </c>
      <c r="U905" t="s">
        <v>3184</v>
      </c>
      <c r="W905" t="s">
        <v>3670</v>
      </c>
      <c r="Y905">
        <v>1630</v>
      </c>
      <c r="Z905" t="s">
        <v>3690</v>
      </c>
      <c r="AA905" t="s">
        <v>3700</v>
      </c>
      <c r="AC905" t="s">
        <v>4538</v>
      </c>
      <c r="AF905">
        <v>260</v>
      </c>
      <c r="AG905" t="s">
        <v>5810</v>
      </c>
      <c r="AH905" t="s">
        <v>3188</v>
      </c>
      <c r="AI905">
        <v>16</v>
      </c>
      <c r="AJ905">
        <v>1</v>
      </c>
      <c r="AK905">
        <v>0</v>
      </c>
      <c r="AL905">
        <v>156.61</v>
      </c>
      <c r="AO905" t="s">
        <v>5843</v>
      </c>
      <c r="AP905">
        <v>19560</v>
      </c>
      <c r="AV905">
        <v>1</v>
      </c>
      <c r="AW905" t="s">
        <v>254</v>
      </c>
      <c r="AX905" t="s">
        <v>166</v>
      </c>
    </row>
    <row r="906" spans="1:50">
      <c r="A906" s="1">
        <f>HYPERLINK("https://lsnyc.legalserver.org/matter/dynamic-profile/view/1907847","19-1907847")</f>
        <v>0</v>
      </c>
      <c r="B906" t="s">
        <v>166</v>
      </c>
      <c r="C906" t="s">
        <v>191</v>
      </c>
      <c r="D906" t="s">
        <v>268</v>
      </c>
      <c r="F906" t="s">
        <v>573</v>
      </c>
      <c r="G906" t="s">
        <v>1758</v>
      </c>
      <c r="H906" t="s">
        <v>2563</v>
      </c>
      <c r="I906" t="s">
        <v>3064</v>
      </c>
      <c r="J906" t="s">
        <v>3147</v>
      </c>
      <c r="K906">
        <v>10472</v>
      </c>
      <c r="L906" t="s">
        <v>3185</v>
      </c>
      <c r="M906" t="s">
        <v>3189</v>
      </c>
      <c r="N906" t="s">
        <v>3186</v>
      </c>
      <c r="P906" t="s">
        <v>3257</v>
      </c>
      <c r="Q906" t="s">
        <v>3634</v>
      </c>
      <c r="T906" t="s">
        <v>3660</v>
      </c>
      <c r="U906" t="s">
        <v>3184</v>
      </c>
      <c r="W906" t="s">
        <v>3670</v>
      </c>
      <c r="Y906">
        <v>1908</v>
      </c>
      <c r="Z906" t="s">
        <v>3690</v>
      </c>
      <c r="AA906" t="s">
        <v>3700</v>
      </c>
      <c r="AC906" t="s">
        <v>4539</v>
      </c>
      <c r="AE906" t="s">
        <v>5538</v>
      </c>
      <c r="AF906">
        <v>0</v>
      </c>
      <c r="AG906" t="s">
        <v>5813</v>
      </c>
      <c r="AH906" t="s">
        <v>3188</v>
      </c>
      <c r="AI906">
        <v>7</v>
      </c>
      <c r="AJ906">
        <v>2</v>
      </c>
      <c r="AK906">
        <v>3</v>
      </c>
      <c r="AL906">
        <v>198.87</v>
      </c>
      <c r="AO906" t="s">
        <v>5843</v>
      </c>
      <c r="AP906">
        <v>60000</v>
      </c>
      <c r="AV906">
        <v>2</v>
      </c>
      <c r="AW906" t="s">
        <v>268</v>
      </c>
      <c r="AX906" t="s">
        <v>166</v>
      </c>
    </row>
    <row r="907" spans="1:50">
      <c r="A907" s="1">
        <f>HYPERLINK("https://lsnyc.legalserver.org/matter/dynamic-profile/view/1905957","19-1905957")</f>
        <v>0</v>
      </c>
      <c r="B907" t="s">
        <v>166</v>
      </c>
      <c r="C907" t="s">
        <v>191</v>
      </c>
      <c r="D907" t="s">
        <v>200</v>
      </c>
      <c r="F907" t="s">
        <v>781</v>
      </c>
      <c r="G907" t="s">
        <v>1303</v>
      </c>
      <c r="H907" t="s">
        <v>2633</v>
      </c>
      <c r="I907" t="s">
        <v>2900</v>
      </c>
      <c r="J907" t="s">
        <v>3147</v>
      </c>
      <c r="K907">
        <v>10452</v>
      </c>
      <c r="L907" t="s">
        <v>3185</v>
      </c>
      <c r="M907" t="s">
        <v>3189</v>
      </c>
      <c r="N907" t="s">
        <v>3186</v>
      </c>
      <c r="P907" t="s">
        <v>3616</v>
      </c>
      <c r="Q907" t="s">
        <v>3639</v>
      </c>
      <c r="T907" t="s">
        <v>3660</v>
      </c>
      <c r="U907" t="s">
        <v>3185</v>
      </c>
      <c r="W907" t="s">
        <v>3670</v>
      </c>
      <c r="Y907">
        <v>1728.15</v>
      </c>
      <c r="Z907" t="s">
        <v>3690</v>
      </c>
      <c r="AA907" t="s">
        <v>3700</v>
      </c>
      <c r="AC907" t="s">
        <v>4540</v>
      </c>
      <c r="AE907" t="s">
        <v>5612</v>
      </c>
      <c r="AF907">
        <v>52</v>
      </c>
      <c r="AG907" t="s">
        <v>5813</v>
      </c>
      <c r="AH907" t="s">
        <v>3188</v>
      </c>
      <c r="AI907">
        <v>8</v>
      </c>
      <c r="AJ907">
        <v>2</v>
      </c>
      <c r="AK907">
        <v>0</v>
      </c>
      <c r="AL907">
        <v>679.74</v>
      </c>
      <c r="AO907" t="s">
        <v>5843</v>
      </c>
      <c r="AP907">
        <v>114944.72</v>
      </c>
      <c r="AV907">
        <v>0.6</v>
      </c>
      <c r="AW907" t="s">
        <v>200</v>
      </c>
      <c r="AX907" t="s">
        <v>166</v>
      </c>
    </row>
    <row r="908" spans="1:50">
      <c r="A908" s="1">
        <f>HYPERLINK("https://lsnyc.legalserver.org/matter/dynamic-profile/view/1907628","19-1907628")</f>
        <v>0</v>
      </c>
      <c r="B908" t="s">
        <v>167</v>
      </c>
      <c r="C908" t="s">
        <v>191</v>
      </c>
      <c r="D908" t="s">
        <v>246</v>
      </c>
      <c r="F908" t="s">
        <v>589</v>
      </c>
      <c r="G908" t="s">
        <v>1808</v>
      </c>
      <c r="H908" t="s">
        <v>2634</v>
      </c>
      <c r="I908" t="s">
        <v>3089</v>
      </c>
      <c r="J908" t="s">
        <v>3161</v>
      </c>
      <c r="K908">
        <v>11368</v>
      </c>
      <c r="L908" t="s">
        <v>3186</v>
      </c>
      <c r="N908" t="s">
        <v>3186</v>
      </c>
      <c r="P908" t="s">
        <v>3616</v>
      </c>
      <c r="T908" t="s">
        <v>3660</v>
      </c>
      <c r="W908" t="s">
        <v>3670</v>
      </c>
      <c r="Y908">
        <v>1240.73</v>
      </c>
      <c r="Z908" t="s">
        <v>3688</v>
      </c>
      <c r="AE908" t="s">
        <v>5613</v>
      </c>
      <c r="AF908">
        <v>0</v>
      </c>
      <c r="AH908" t="s">
        <v>3188</v>
      </c>
      <c r="AI908">
        <v>33</v>
      </c>
      <c r="AJ908">
        <v>1</v>
      </c>
      <c r="AK908">
        <v>0</v>
      </c>
      <c r="AL908">
        <v>280.22</v>
      </c>
      <c r="AO908" t="s">
        <v>5843</v>
      </c>
      <c r="AP908">
        <v>35000</v>
      </c>
      <c r="AV908">
        <v>0</v>
      </c>
      <c r="AX908" t="s">
        <v>6028</v>
      </c>
    </row>
    <row r="909" spans="1:50">
      <c r="A909" s="1">
        <f>HYPERLINK("https://lsnyc.legalserver.org/matter/dynamic-profile/view/1906765","19-1906765")</f>
        <v>0</v>
      </c>
      <c r="B909" t="s">
        <v>56</v>
      </c>
      <c r="C909" t="s">
        <v>191</v>
      </c>
      <c r="D909" t="s">
        <v>290</v>
      </c>
      <c r="F909" t="s">
        <v>1043</v>
      </c>
      <c r="G909" t="s">
        <v>1822</v>
      </c>
      <c r="H909" t="s">
        <v>2635</v>
      </c>
      <c r="J909" t="s">
        <v>3153</v>
      </c>
      <c r="K909">
        <v>11691</v>
      </c>
      <c r="L909" t="s">
        <v>3186</v>
      </c>
      <c r="N909" t="s">
        <v>3186</v>
      </c>
      <c r="P909" t="s">
        <v>3257</v>
      </c>
      <c r="T909" t="s">
        <v>3660</v>
      </c>
      <c r="W909" t="s">
        <v>3670</v>
      </c>
      <c r="Y909">
        <v>1650</v>
      </c>
      <c r="Z909" t="s">
        <v>3688</v>
      </c>
      <c r="AC909" t="s">
        <v>4541</v>
      </c>
      <c r="AE909" t="s">
        <v>5614</v>
      </c>
      <c r="AF909">
        <v>0</v>
      </c>
      <c r="AG909" t="s">
        <v>3263</v>
      </c>
      <c r="AH909" t="s">
        <v>3188</v>
      </c>
      <c r="AI909">
        <v>2</v>
      </c>
      <c r="AJ909">
        <v>1</v>
      </c>
      <c r="AK909">
        <v>0</v>
      </c>
      <c r="AL909">
        <v>38.43</v>
      </c>
      <c r="AO909" t="s">
        <v>5843</v>
      </c>
      <c r="AP909">
        <v>4800</v>
      </c>
      <c r="AV909">
        <v>2</v>
      </c>
      <c r="AW909" t="s">
        <v>246</v>
      </c>
      <c r="AX909" t="s">
        <v>6030</v>
      </c>
    </row>
    <row r="910" spans="1:50">
      <c r="A910" s="1">
        <f>HYPERLINK("https://lsnyc.legalserver.org/matter/dynamic-profile/view/1890485","19-1890485")</f>
        <v>0</v>
      </c>
      <c r="B910" t="s">
        <v>128</v>
      </c>
      <c r="C910" t="s">
        <v>191</v>
      </c>
      <c r="D910" t="s">
        <v>394</v>
      </c>
      <c r="F910" t="s">
        <v>548</v>
      </c>
      <c r="G910" t="s">
        <v>1823</v>
      </c>
      <c r="H910" t="s">
        <v>2636</v>
      </c>
      <c r="I910" t="s">
        <v>3090</v>
      </c>
      <c r="J910" t="s">
        <v>3153</v>
      </c>
      <c r="K910">
        <v>11691</v>
      </c>
      <c r="L910" t="s">
        <v>3186</v>
      </c>
      <c r="N910" t="s">
        <v>3186</v>
      </c>
      <c r="P910" t="s">
        <v>3257</v>
      </c>
      <c r="Q910" t="s">
        <v>3638</v>
      </c>
      <c r="T910" t="s">
        <v>3660</v>
      </c>
      <c r="U910" t="s">
        <v>3184</v>
      </c>
      <c r="W910" t="s">
        <v>3670</v>
      </c>
      <c r="X910" t="s">
        <v>3681</v>
      </c>
      <c r="Y910">
        <v>155</v>
      </c>
      <c r="Z910" t="s">
        <v>3688</v>
      </c>
      <c r="AA910" t="s">
        <v>3693</v>
      </c>
      <c r="AC910" t="s">
        <v>4542</v>
      </c>
      <c r="AE910" t="s">
        <v>5615</v>
      </c>
      <c r="AF910">
        <v>200</v>
      </c>
      <c r="AG910" t="s">
        <v>5813</v>
      </c>
      <c r="AH910" t="s">
        <v>3188</v>
      </c>
      <c r="AI910">
        <v>19</v>
      </c>
      <c r="AJ910">
        <v>1</v>
      </c>
      <c r="AK910">
        <v>0</v>
      </c>
      <c r="AL910">
        <v>74.75</v>
      </c>
      <c r="AO910" t="s">
        <v>5843</v>
      </c>
      <c r="AP910">
        <v>9336</v>
      </c>
      <c r="AV910">
        <v>2.9</v>
      </c>
      <c r="AW910" t="s">
        <v>196</v>
      </c>
      <c r="AX910" t="s">
        <v>6015</v>
      </c>
    </row>
    <row r="911" spans="1:50">
      <c r="A911" s="1">
        <f>HYPERLINK("https://lsnyc.legalserver.org/matter/dynamic-profile/view/0812242","16-0812242")</f>
        <v>0</v>
      </c>
      <c r="B911" t="s">
        <v>96</v>
      </c>
      <c r="C911" t="s">
        <v>191</v>
      </c>
      <c r="D911" t="s">
        <v>395</v>
      </c>
      <c r="F911" t="s">
        <v>1044</v>
      </c>
      <c r="G911" t="s">
        <v>1429</v>
      </c>
      <c r="H911" t="s">
        <v>2637</v>
      </c>
      <c r="I911" t="s">
        <v>2858</v>
      </c>
      <c r="J911" t="s">
        <v>3149</v>
      </c>
      <c r="K911">
        <v>11355</v>
      </c>
      <c r="L911" t="s">
        <v>3186</v>
      </c>
      <c r="N911" t="s">
        <v>3186</v>
      </c>
      <c r="P911" t="s">
        <v>3612</v>
      </c>
      <c r="Q911" t="s">
        <v>3634</v>
      </c>
      <c r="T911" t="s">
        <v>3660</v>
      </c>
      <c r="U911" t="s">
        <v>3184</v>
      </c>
      <c r="V911" t="s">
        <v>3668</v>
      </c>
      <c r="W911" t="s">
        <v>3670</v>
      </c>
      <c r="Y911">
        <v>1266.69</v>
      </c>
      <c r="Z911" t="s">
        <v>3688</v>
      </c>
      <c r="AA911" t="s">
        <v>3700</v>
      </c>
      <c r="AC911" t="s">
        <v>4543</v>
      </c>
      <c r="AE911" t="s">
        <v>5616</v>
      </c>
      <c r="AF911">
        <v>84</v>
      </c>
      <c r="AG911" t="s">
        <v>5813</v>
      </c>
      <c r="AH911" t="s">
        <v>3188</v>
      </c>
      <c r="AI911">
        <v>30</v>
      </c>
      <c r="AJ911">
        <v>1</v>
      </c>
      <c r="AK911">
        <v>0</v>
      </c>
      <c r="AL911">
        <v>196.77</v>
      </c>
      <c r="AO911" t="s">
        <v>5843</v>
      </c>
      <c r="AP911">
        <v>23376</v>
      </c>
      <c r="AV911">
        <v>2.55</v>
      </c>
      <c r="AW911" t="s">
        <v>197</v>
      </c>
      <c r="AX911" t="s">
        <v>6008</v>
      </c>
    </row>
    <row r="912" spans="1:50">
      <c r="A912" s="1">
        <f>HYPERLINK("https://lsnyc.legalserver.org/matter/dynamic-profile/view/1901139","19-1901139")</f>
        <v>0</v>
      </c>
      <c r="B912" t="s">
        <v>116</v>
      </c>
      <c r="C912" t="s">
        <v>191</v>
      </c>
      <c r="D912" t="s">
        <v>396</v>
      </c>
      <c r="F912" t="s">
        <v>1045</v>
      </c>
      <c r="G912" t="s">
        <v>1523</v>
      </c>
      <c r="H912" t="s">
        <v>2638</v>
      </c>
      <c r="I912" t="s">
        <v>2915</v>
      </c>
      <c r="J912" t="s">
        <v>3149</v>
      </c>
      <c r="K912">
        <v>11354</v>
      </c>
      <c r="L912" t="s">
        <v>3186</v>
      </c>
      <c r="N912" t="s">
        <v>3186</v>
      </c>
      <c r="O912" t="s">
        <v>3522</v>
      </c>
      <c r="P912" t="s">
        <v>3612</v>
      </c>
      <c r="Q912" t="s">
        <v>3638</v>
      </c>
      <c r="T912" t="s">
        <v>3660</v>
      </c>
      <c r="W912" t="s">
        <v>3670</v>
      </c>
      <c r="X912" t="s">
        <v>3681</v>
      </c>
      <c r="Y912">
        <v>1664.64</v>
      </c>
      <c r="Z912" t="s">
        <v>3688</v>
      </c>
      <c r="AA912" t="s">
        <v>3700</v>
      </c>
      <c r="AC912" t="s">
        <v>4544</v>
      </c>
      <c r="AD912" t="s">
        <v>4850</v>
      </c>
      <c r="AE912" t="s">
        <v>5617</v>
      </c>
      <c r="AF912">
        <v>72</v>
      </c>
      <c r="AH912" t="s">
        <v>3188</v>
      </c>
      <c r="AI912">
        <v>11</v>
      </c>
      <c r="AJ912">
        <v>3</v>
      </c>
      <c r="AK912">
        <v>0</v>
      </c>
      <c r="AL912">
        <v>131.27</v>
      </c>
      <c r="AO912" t="s">
        <v>5853</v>
      </c>
      <c r="AP912">
        <v>28000</v>
      </c>
      <c r="AV912">
        <v>6.35</v>
      </c>
      <c r="AW912" t="s">
        <v>269</v>
      </c>
      <c r="AX912" t="s">
        <v>6046</v>
      </c>
    </row>
    <row r="913" spans="1:50">
      <c r="A913" s="1">
        <f>HYPERLINK("https://lsnyc.legalserver.org/matter/dynamic-profile/view/1906016","19-1906016")</f>
        <v>0</v>
      </c>
      <c r="B913" t="s">
        <v>126</v>
      </c>
      <c r="C913" t="s">
        <v>191</v>
      </c>
      <c r="D913" t="s">
        <v>200</v>
      </c>
      <c r="F913" t="s">
        <v>452</v>
      </c>
      <c r="G913" t="s">
        <v>1824</v>
      </c>
      <c r="H913" t="s">
        <v>2639</v>
      </c>
      <c r="I913" t="s">
        <v>2930</v>
      </c>
      <c r="J913" t="s">
        <v>3149</v>
      </c>
      <c r="K913">
        <v>11354</v>
      </c>
      <c r="L913" t="s">
        <v>3186</v>
      </c>
      <c r="N913" t="s">
        <v>3186</v>
      </c>
      <c r="O913" t="s">
        <v>3207</v>
      </c>
      <c r="P913" t="s">
        <v>3616</v>
      </c>
      <c r="Q913" t="s">
        <v>3639</v>
      </c>
      <c r="T913" t="s">
        <v>3660</v>
      </c>
      <c r="U913" t="s">
        <v>3185</v>
      </c>
      <c r="W913" t="s">
        <v>3670</v>
      </c>
      <c r="X913" t="s">
        <v>3681</v>
      </c>
      <c r="Y913">
        <v>1025</v>
      </c>
      <c r="Z913" t="s">
        <v>3688</v>
      </c>
      <c r="AA913" t="s">
        <v>3702</v>
      </c>
      <c r="AC913" t="s">
        <v>4545</v>
      </c>
      <c r="AE913" t="s">
        <v>4764</v>
      </c>
      <c r="AF913">
        <v>91</v>
      </c>
      <c r="AG913" t="s">
        <v>5813</v>
      </c>
      <c r="AH913" t="s">
        <v>3188</v>
      </c>
      <c r="AI913">
        <v>34</v>
      </c>
      <c r="AJ913">
        <v>3</v>
      </c>
      <c r="AK913">
        <v>0</v>
      </c>
      <c r="AL913">
        <v>48.38</v>
      </c>
      <c r="AO913" t="s">
        <v>5844</v>
      </c>
      <c r="AP913">
        <v>10320</v>
      </c>
      <c r="AV913">
        <v>0.4</v>
      </c>
      <c r="AW913" t="s">
        <v>3656</v>
      </c>
      <c r="AX913" t="s">
        <v>62</v>
      </c>
    </row>
    <row r="914" spans="1:50">
      <c r="A914" s="1">
        <f>HYPERLINK("https://lsnyc.legalserver.org/matter/dynamic-profile/view/1905904","19-1905904")</f>
        <v>0</v>
      </c>
      <c r="B914" t="s">
        <v>126</v>
      </c>
      <c r="C914" t="s">
        <v>191</v>
      </c>
      <c r="D914" t="s">
        <v>265</v>
      </c>
      <c r="F914" t="s">
        <v>653</v>
      </c>
      <c r="G914" t="s">
        <v>522</v>
      </c>
      <c r="H914" t="s">
        <v>2145</v>
      </c>
      <c r="J914" t="s">
        <v>3149</v>
      </c>
      <c r="K914">
        <v>11354</v>
      </c>
      <c r="L914" t="s">
        <v>3186</v>
      </c>
      <c r="N914" t="s">
        <v>3186</v>
      </c>
      <c r="O914" t="s">
        <v>3523</v>
      </c>
      <c r="P914" t="s">
        <v>3631</v>
      </c>
      <c r="Q914" t="s">
        <v>3638</v>
      </c>
      <c r="T914" t="s">
        <v>3660</v>
      </c>
      <c r="U914" t="s">
        <v>3184</v>
      </c>
      <c r="V914" t="s">
        <v>3660</v>
      </c>
      <c r="W914" t="s">
        <v>3670</v>
      </c>
      <c r="X914" t="s">
        <v>3681</v>
      </c>
      <c r="Y914">
        <v>1100</v>
      </c>
      <c r="Z914" t="s">
        <v>3688</v>
      </c>
      <c r="AA914" t="s">
        <v>3696</v>
      </c>
      <c r="AC914" t="s">
        <v>3965</v>
      </c>
      <c r="AE914" t="s">
        <v>5090</v>
      </c>
      <c r="AF914">
        <v>2</v>
      </c>
      <c r="AG914" t="s">
        <v>5814</v>
      </c>
      <c r="AH914" t="s">
        <v>3188</v>
      </c>
      <c r="AI914">
        <v>1</v>
      </c>
      <c r="AJ914">
        <v>1</v>
      </c>
      <c r="AK914">
        <v>0</v>
      </c>
      <c r="AL914">
        <v>120.1</v>
      </c>
      <c r="AO914" t="s">
        <v>5853</v>
      </c>
      <c r="AP914">
        <v>15000</v>
      </c>
      <c r="AV914">
        <v>19.5</v>
      </c>
      <c r="AW914" t="s">
        <v>216</v>
      </c>
      <c r="AX914" t="s">
        <v>6014</v>
      </c>
    </row>
    <row r="915" spans="1:50">
      <c r="A915" s="1">
        <f>HYPERLINK("https://lsnyc.legalserver.org/matter/dynamic-profile/view/1906776","19-1906776")</f>
        <v>0</v>
      </c>
      <c r="B915" t="s">
        <v>131</v>
      </c>
      <c r="C915" t="s">
        <v>192</v>
      </c>
      <c r="D915" t="s">
        <v>290</v>
      </c>
      <c r="E915" t="s">
        <v>227</v>
      </c>
      <c r="F915" t="s">
        <v>1046</v>
      </c>
      <c r="G915" t="s">
        <v>1825</v>
      </c>
      <c r="H915" t="s">
        <v>2640</v>
      </c>
      <c r="I915" t="s">
        <v>2981</v>
      </c>
      <c r="J915" t="s">
        <v>3148</v>
      </c>
      <c r="K915">
        <v>11206</v>
      </c>
      <c r="L915" t="s">
        <v>3185</v>
      </c>
      <c r="M915" t="s">
        <v>3189</v>
      </c>
      <c r="N915" t="s">
        <v>3186</v>
      </c>
      <c r="P915" t="s">
        <v>3620</v>
      </c>
      <c r="Q915" t="s">
        <v>3639</v>
      </c>
      <c r="R915" t="s">
        <v>3645</v>
      </c>
      <c r="S915" t="s">
        <v>290</v>
      </c>
      <c r="T915" t="s">
        <v>3660</v>
      </c>
      <c r="U915" t="s">
        <v>3184</v>
      </c>
      <c r="W915" t="s">
        <v>3670</v>
      </c>
      <c r="Y915">
        <v>0</v>
      </c>
      <c r="Z915" t="s">
        <v>3691</v>
      </c>
      <c r="AB915" t="s">
        <v>3714</v>
      </c>
      <c r="AC915" t="s">
        <v>4546</v>
      </c>
      <c r="AE915" t="s">
        <v>5618</v>
      </c>
      <c r="AF915">
        <v>774</v>
      </c>
      <c r="AI915">
        <v>0</v>
      </c>
      <c r="AJ915">
        <v>1</v>
      </c>
      <c r="AK915">
        <v>0</v>
      </c>
      <c r="AL915">
        <v>76.86</v>
      </c>
      <c r="AO915" t="s">
        <v>5852</v>
      </c>
      <c r="AP915">
        <v>9600</v>
      </c>
      <c r="AT915" t="s">
        <v>5946</v>
      </c>
      <c r="AU915" t="s">
        <v>5971</v>
      </c>
      <c r="AV915">
        <v>7.6</v>
      </c>
      <c r="AW915" t="s">
        <v>206</v>
      </c>
      <c r="AX915" t="s">
        <v>131</v>
      </c>
    </row>
    <row r="916" spans="1:50">
      <c r="A916" s="1">
        <f>HYPERLINK("https://lsnyc.legalserver.org/matter/dynamic-profile/view/1907958","19-1907958")</f>
        <v>0</v>
      </c>
      <c r="B916" t="s">
        <v>131</v>
      </c>
      <c r="C916" t="s">
        <v>191</v>
      </c>
      <c r="D916" t="s">
        <v>251</v>
      </c>
      <c r="F916" t="s">
        <v>471</v>
      </c>
      <c r="G916" t="s">
        <v>1826</v>
      </c>
      <c r="H916" t="s">
        <v>2641</v>
      </c>
      <c r="J916" t="s">
        <v>3148</v>
      </c>
      <c r="K916">
        <v>11217</v>
      </c>
      <c r="L916" t="s">
        <v>3185</v>
      </c>
      <c r="M916" t="s">
        <v>3189</v>
      </c>
      <c r="N916" t="s">
        <v>3186</v>
      </c>
      <c r="P916" t="s">
        <v>3615</v>
      </c>
      <c r="Q916" t="s">
        <v>3635</v>
      </c>
      <c r="S916" t="s">
        <v>251</v>
      </c>
      <c r="T916" t="s">
        <v>3660</v>
      </c>
      <c r="W916" t="s">
        <v>3670</v>
      </c>
      <c r="Y916">
        <v>1739.1</v>
      </c>
      <c r="Z916" t="s">
        <v>3691</v>
      </c>
      <c r="AA916" t="s">
        <v>3696</v>
      </c>
      <c r="AC916" t="s">
        <v>4547</v>
      </c>
      <c r="AE916" t="s">
        <v>5619</v>
      </c>
      <c r="AF916">
        <v>20</v>
      </c>
      <c r="AG916" t="s">
        <v>5813</v>
      </c>
      <c r="AH916" t="s">
        <v>3188</v>
      </c>
      <c r="AI916">
        <v>22</v>
      </c>
      <c r="AJ916">
        <v>3</v>
      </c>
      <c r="AK916">
        <v>0</v>
      </c>
      <c r="AL916">
        <v>93.76000000000001</v>
      </c>
      <c r="AO916" t="s">
        <v>5860</v>
      </c>
      <c r="AP916">
        <v>20000</v>
      </c>
      <c r="AV916">
        <v>3.4</v>
      </c>
      <c r="AW916" t="s">
        <v>221</v>
      </c>
      <c r="AX916" t="s">
        <v>6021</v>
      </c>
    </row>
    <row r="917" spans="1:50">
      <c r="A917" s="1">
        <f>HYPERLINK("https://lsnyc.legalserver.org/matter/dynamic-profile/view/1909273","19-1909273")</f>
        <v>0</v>
      </c>
      <c r="B917" t="s">
        <v>131</v>
      </c>
      <c r="C917" t="s">
        <v>191</v>
      </c>
      <c r="D917" t="s">
        <v>222</v>
      </c>
      <c r="F917" t="s">
        <v>471</v>
      </c>
      <c r="G917" t="s">
        <v>1826</v>
      </c>
      <c r="H917" t="s">
        <v>2641</v>
      </c>
      <c r="J917" t="s">
        <v>3148</v>
      </c>
      <c r="K917">
        <v>11217</v>
      </c>
      <c r="L917" t="s">
        <v>3185</v>
      </c>
      <c r="M917" t="s">
        <v>3189</v>
      </c>
      <c r="N917" t="s">
        <v>3186</v>
      </c>
      <c r="P917" t="s">
        <v>3622</v>
      </c>
      <c r="Q917" t="s">
        <v>3635</v>
      </c>
      <c r="S917" t="s">
        <v>222</v>
      </c>
      <c r="T917" t="s">
        <v>3660</v>
      </c>
      <c r="W917" t="s">
        <v>3670</v>
      </c>
      <c r="Y917">
        <v>0</v>
      </c>
      <c r="Z917" t="s">
        <v>3691</v>
      </c>
      <c r="AC917" t="s">
        <v>4547</v>
      </c>
      <c r="AE917" t="s">
        <v>5619</v>
      </c>
      <c r="AF917">
        <v>20</v>
      </c>
      <c r="AI917">
        <v>0</v>
      </c>
      <c r="AJ917">
        <v>2</v>
      </c>
      <c r="AK917">
        <v>1</v>
      </c>
      <c r="AL917">
        <v>93.76000000000001</v>
      </c>
      <c r="AO917" t="s">
        <v>5860</v>
      </c>
      <c r="AP917">
        <v>20000</v>
      </c>
      <c r="AV917">
        <v>0</v>
      </c>
      <c r="AX917" t="s">
        <v>61</v>
      </c>
    </row>
    <row r="918" spans="1:50">
      <c r="A918" s="1">
        <f>HYPERLINK("https://lsnyc.legalserver.org/matter/dynamic-profile/view/1910195","19-1910195")</f>
        <v>0</v>
      </c>
      <c r="B918" t="s">
        <v>131</v>
      </c>
      <c r="C918" t="s">
        <v>191</v>
      </c>
      <c r="D918" t="s">
        <v>221</v>
      </c>
      <c r="F918" t="s">
        <v>1047</v>
      </c>
      <c r="G918" t="s">
        <v>1827</v>
      </c>
      <c r="H918" t="s">
        <v>2642</v>
      </c>
      <c r="I918" t="s">
        <v>2912</v>
      </c>
      <c r="J918" t="s">
        <v>3148</v>
      </c>
      <c r="K918">
        <v>11223</v>
      </c>
      <c r="L918" t="s">
        <v>3185</v>
      </c>
      <c r="N918" t="s">
        <v>3186</v>
      </c>
      <c r="P918" t="s">
        <v>3622</v>
      </c>
      <c r="Q918" t="s">
        <v>3635</v>
      </c>
      <c r="S918" t="s">
        <v>198</v>
      </c>
      <c r="T918" t="s">
        <v>3660</v>
      </c>
      <c r="W918" t="s">
        <v>3670</v>
      </c>
      <c r="Y918">
        <v>0</v>
      </c>
      <c r="Z918" t="s">
        <v>3691</v>
      </c>
      <c r="AC918" t="s">
        <v>4548</v>
      </c>
      <c r="AF918">
        <v>0</v>
      </c>
      <c r="AI918">
        <v>0</v>
      </c>
      <c r="AJ918">
        <v>1</v>
      </c>
      <c r="AK918">
        <v>0</v>
      </c>
      <c r="AL918">
        <v>184.15</v>
      </c>
      <c r="AO918" t="s">
        <v>5847</v>
      </c>
      <c r="AP918">
        <v>23000</v>
      </c>
      <c r="AV918">
        <v>5.2</v>
      </c>
      <c r="AW918" t="s">
        <v>291</v>
      </c>
      <c r="AX918" t="s">
        <v>131</v>
      </c>
    </row>
    <row r="919" spans="1:50">
      <c r="A919" s="1">
        <f>HYPERLINK("https://lsnyc.legalserver.org/matter/dynamic-profile/view/1901325","19-1901325")</f>
        <v>0</v>
      </c>
      <c r="B919" t="s">
        <v>50</v>
      </c>
      <c r="C919" t="s">
        <v>191</v>
      </c>
      <c r="D919" t="s">
        <v>320</v>
      </c>
      <c r="F919" t="s">
        <v>1048</v>
      </c>
      <c r="G919" t="s">
        <v>1828</v>
      </c>
      <c r="H919" t="s">
        <v>2643</v>
      </c>
      <c r="I919" t="s">
        <v>3091</v>
      </c>
      <c r="J919" t="s">
        <v>3149</v>
      </c>
      <c r="K919">
        <v>11354</v>
      </c>
      <c r="L919" t="s">
        <v>3186</v>
      </c>
      <c r="N919" t="s">
        <v>3186</v>
      </c>
      <c r="Q919" t="s">
        <v>3637</v>
      </c>
      <c r="T919" t="s">
        <v>3660</v>
      </c>
      <c r="U919" t="s">
        <v>3184</v>
      </c>
      <c r="W919" t="s">
        <v>3670</v>
      </c>
      <c r="X919" t="s">
        <v>3681</v>
      </c>
      <c r="Y919">
        <v>1700</v>
      </c>
      <c r="Z919" t="s">
        <v>3688</v>
      </c>
      <c r="AA919" t="s">
        <v>3706</v>
      </c>
      <c r="AC919" t="s">
        <v>4549</v>
      </c>
      <c r="AD919" t="s">
        <v>3188</v>
      </c>
      <c r="AE919" t="s">
        <v>5620</v>
      </c>
      <c r="AF919">
        <v>104</v>
      </c>
      <c r="AG919" t="s">
        <v>5810</v>
      </c>
      <c r="AH919" t="s">
        <v>3188</v>
      </c>
      <c r="AI919">
        <v>3</v>
      </c>
      <c r="AJ919">
        <v>2</v>
      </c>
      <c r="AK919">
        <v>0</v>
      </c>
      <c r="AL919">
        <v>159.67</v>
      </c>
      <c r="AO919" t="s">
        <v>5853</v>
      </c>
      <c r="AP919">
        <v>27000</v>
      </c>
      <c r="AV919">
        <v>3.4</v>
      </c>
      <c r="AW919" t="s">
        <v>437</v>
      </c>
      <c r="AX919" t="s">
        <v>6021</v>
      </c>
    </row>
    <row r="920" spans="1:50">
      <c r="A920" s="1">
        <f>HYPERLINK("https://lsnyc.legalserver.org/matter/dynamic-profile/view/1903879","19-1903879")</f>
        <v>0</v>
      </c>
      <c r="B920" t="s">
        <v>131</v>
      </c>
      <c r="C920" t="s">
        <v>191</v>
      </c>
      <c r="D920" t="s">
        <v>194</v>
      </c>
      <c r="F920" t="s">
        <v>571</v>
      </c>
      <c r="G920" t="s">
        <v>1829</v>
      </c>
      <c r="H920" t="s">
        <v>2644</v>
      </c>
      <c r="I920" t="s">
        <v>3092</v>
      </c>
      <c r="J920" t="s">
        <v>3148</v>
      </c>
      <c r="K920">
        <v>11210</v>
      </c>
      <c r="L920" t="s">
        <v>3185</v>
      </c>
      <c r="M920" t="s">
        <v>3189</v>
      </c>
      <c r="N920" t="s">
        <v>3186</v>
      </c>
      <c r="S920" t="s">
        <v>194</v>
      </c>
      <c r="T920" t="s">
        <v>3660</v>
      </c>
      <c r="W920" t="s">
        <v>3670</v>
      </c>
      <c r="Y920">
        <v>0</v>
      </c>
      <c r="Z920" t="s">
        <v>3691</v>
      </c>
      <c r="AC920" t="s">
        <v>4550</v>
      </c>
      <c r="AF920">
        <v>38</v>
      </c>
      <c r="AI920">
        <v>0</v>
      </c>
      <c r="AJ920">
        <v>5</v>
      </c>
      <c r="AK920">
        <v>0</v>
      </c>
      <c r="AL920">
        <v>195.56</v>
      </c>
      <c r="AO920" t="s">
        <v>5843</v>
      </c>
      <c r="AP920">
        <v>59000</v>
      </c>
      <c r="AV920">
        <v>7.4</v>
      </c>
      <c r="AW920" t="s">
        <v>286</v>
      </c>
      <c r="AX920" t="s">
        <v>131</v>
      </c>
    </row>
    <row r="921" spans="1:50">
      <c r="A921" s="1">
        <f>HYPERLINK("https://lsnyc.legalserver.org/matter/dynamic-profile/view/1878038","18-1878038")</f>
        <v>0</v>
      </c>
      <c r="B921" t="s">
        <v>168</v>
      </c>
      <c r="C921" t="s">
        <v>191</v>
      </c>
      <c r="D921" t="s">
        <v>350</v>
      </c>
      <c r="F921" t="s">
        <v>1049</v>
      </c>
      <c r="G921" t="s">
        <v>1830</v>
      </c>
      <c r="H921" t="s">
        <v>2645</v>
      </c>
      <c r="I921">
        <v>509</v>
      </c>
      <c r="J921" t="s">
        <v>3149</v>
      </c>
      <c r="K921">
        <v>11354</v>
      </c>
      <c r="L921" t="s">
        <v>3184</v>
      </c>
      <c r="N921" t="s">
        <v>3185</v>
      </c>
      <c r="O921" t="s">
        <v>3218</v>
      </c>
      <c r="P921" t="s">
        <v>3257</v>
      </c>
      <c r="Q921" t="s">
        <v>3635</v>
      </c>
      <c r="T921" t="s">
        <v>3660</v>
      </c>
      <c r="U921" t="s">
        <v>3184</v>
      </c>
      <c r="W921" t="s">
        <v>3670</v>
      </c>
      <c r="X921" t="s">
        <v>3681</v>
      </c>
      <c r="Y921">
        <v>541</v>
      </c>
      <c r="Z921" t="s">
        <v>3688</v>
      </c>
      <c r="AA921" t="s">
        <v>3697</v>
      </c>
      <c r="AC921" t="s">
        <v>4551</v>
      </c>
      <c r="AF921">
        <v>80</v>
      </c>
      <c r="AG921" t="s">
        <v>3263</v>
      </c>
      <c r="AH921" t="s">
        <v>3188</v>
      </c>
      <c r="AI921">
        <v>23</v>
      </c>
      <c r="AJ921">
        <v>1</v>
      </c>
      <c r="AK921">
        <v>0</v>
      </c>
      <c r="AL921">
        <v>70.70999999999999</v>
      </c>
      <c r="AO921" t="s">
        <v>5844</v>
      </c>
      <c r="AP921">
        <v>8584</v>
      </c>
      <c r="AV921">
        <v>2.65</v>
      </c>
      <c r="AW921" t="s">
        <v>202</v>
      </c>
      <c r="AX921" t="s">
        <v>6028</v>
      </c>
    </row>
    <row r="922" spans="1:50">
      <c r="A922" s="1">
        <f>HYPERLINK("https://lsnyc.legalserver.org/matter/dynamic-profile/view/1879783","18-1879783")</f>
        <v>0</v>
      </c>
      <c r="B922" t="s">
        <v>168</v>
      </c>
      <c r="C922" t="s">
        <v>191</v>
      </c>
      <c r="D922" t="s">
        <v>397</v>
      </c>
      <c r="F922" t="s">
        <v>1050</v>
      </c>
      <c r="G922" t="s">
        <v>1831</v>
      </c>
      <c r="H922" t="s">
        <v>2646</v>
      </c>
      <c r="I922">
        <v>510</v>
      </c>
      <c r="J922" t="s">
        <v>3149</v>
      </c>
      <c r="K922">
        <v>11355</v>
      </c>
      <c r="L922" t="s">
        <v>3184</v>
      </c>
      <c r="N922" t="s">
        <v>3184</v>
      </c>
      <c r="O922" t="s">
        <v>3218</v>
      </c>
      <c r="P922" t="s">
        <v>3257</v>
      </c>
      <c r="Q922" t="s">
        <v>3635</v>
      </c>
      <c r="T922" t="s">
        <v>3660</v>
      </c>
      <c r="U922" t="s">
        <v>3184</v>
      </c>
      <c r="W922" t="s">
        <v>3670</v>
      </c>
      <c r="X922" t="s">
        <v>3681</v>
      </c>
      <c r="Y922">
        <v>1213</v>
      </c>
      <c r="Z922" t="s">
        <v>3688</v>
      </c>
      <c r="AA922" t="s">
        <v>3705</v>
      </c>
      <c r="AC922" t="s">
        <v>4552</v>
      </c>
      <c r="AD922" t="s">
        <v>4764</v>
      </c>
      <c r="AE922" t="s">
        <v>5621</v>
      </c>
      <c r="AF922">
        <v>158</v>
      </c>
      <c r="AG922" t="s">
        <v>5813</v>
      </c>
      <c r="AH922" t="s">
        <v>5832</v>
      </c>
      <c r="AI922">
        <v>5</v>
      </c>
      <c r="AJ922">
        <v>1</v>
      </c>
      <c r="AK922">
        <v>0</v>
      </c>
      <c r="AL922">
        <v>118.81</v>
      </c>
      <c r="AO922" t="s">
        <v>5843</v>
      </c>
      <c r="AP922">
        <v>14424</v>
      </c>
      <c r="AV922">
        <v>1.7</v>
      </c>
      <c r="AW922" t="s">
        <v>5985</v>
      </c>
      <c r="AX922" t="s">
        <v>153</v>
      </c>
    </row>
    <row r="923" spans="1:50">
      <c r="A923" s="1">
        <f>HYPERLINK("https://lsnyc.legalserver.org/matter/dynamic-profile/view/1910392","19-1910392")</f>
        <v>0</v>
      </c>
      <c r="B923" t="s">
        <v>96</v>
      </c>
      <c r="C923" t="s">
        <v>191</v>
      </c>
      <c r="D923" t="s">
        <v>199</v>
      </c>
      <c r="F923" t="s">
        <v>1051</v>
      </c>
      <c r="G923" t="s">
        <v>1832</v>
      </c>
      <c r="H923" t="s">
        <v>2647</v>
      </c>
      <c r="I923">
        <v>2</v>
      </c>
      <c r="J923" t="s">
        <v>3178</v>
      </c>
      <c r="K923">
        <v>11385</v>
      </c>
      <c r="L923" t="s">
        <v>3186</v>
      </c>
      <c r="N923" t="s">
        <v>3186</v>
      </c>
      <c r="O923" t="s">
        <v>3524</v>
      </c>
      <c r="P923" t="s">
        <v>3619</v>
      </c>
      <c r="T923" t="s">
        <v>3660</v>
      </c>
      <c r="W923" t="s">
        <v>3670</v>
      </c>
      <c r="Y923">
        <v>1450</v>
      </c>
      <c r="Z923" t="s">
        <v>3688</v>
      </c>
      <c r="AC923" t="s">
        <v>4553</v>
      </c>
      <c r="AE923" t="s">
        <v>5622</v>
      </c>
      <c r="AF923">
        <v>2</v>
      </c>
      <c r="AG923" t="s">
        <v>3263</v>
      </c>
      <c r="AH923" t="s">
        <v>3188</v>
      </c>
      <c r="AI923">
        <v>3</v>
      </c>
      <c r="AJ923">
        <v>2</v>
      </c>
      <c r="AK923">
        <v>2</v>
      </c>
      <c r="AL923">
        <v>74.56</v>
      </c>
      <c r="AO923" t="s">
        <v>5843</v>
      </c>
      <c r="AP923">
        <v>19200</v>
      </c>
      <c r="AV923">
        <v>0.33</v>
      </c>
      <c r="AW923" t="s">
        <v>199</v>
      </c>
      <c r="AX923" t="s">
        <v>6028</v>
      </c>
    </row>
    <row r="924" spans="1:50">
      <c r="A924" s="1">
        <f>HYPERLINK("https://lsnyc.legalserver.org/matter/dynamic-profile/view/0820941","16-0820941")</f>
        <v>0</v>
      </c>
      <c r="B924" t="s">
        <v>96</v>
      </c>
      <c r="C924" t="s">
        <v>191</v>
      </c>
      <c r="D924" t="s">
        <v>398</v>
      </c>
      <c r="F924" t="s">
        <v>1052</v>
      </c>
      <c r="G924" t="s">
        <v>1833</v>
      </c>
      <c r="H924" t="s">
        <v>2648</v>
      </c>
      <c r="I924" t="s">
        <v>3093</v>
      </c>
      <c r="J924" t="s">
        <v>3155</v>
      </c>
      <c r="K924">
        <v>11432</v>
      </c>
      <c r="L924" t="s">
        <v>3184</v>
      </c>
      <c r="N924" t="s">
        <v>3186</v>
      </c>
      <c r="O924" t="s">
        <v>3525</v>
      </c>
      <c r="P924" t="s">
        <v>3624</v>
      </c>
      <c r="Q924" t="s">
        <v>3638</v>
      </c>
      <c r="T924" t="s">
        <v>3660</v>
      </c>
      <c r="U924" t="s">
        <v>3185</v>
      </c>
      <c r="W924" t="s">
        <v>3670</v>
      </c>
      <c r="Y924">
        <v>1535</v>
      </c>
      <c r="Z924" t="s">
        <v>3688</v>
      </c>
      <c r="AA924" t="s">
        <v>3632</v>
      </c>
      <c r="AC924" t="s">
        <v>4554</v>
      </c>
      <c r="AD924" t="s">
        <v>4851</v>
      </c>
      <c r="AE924" t="s">
        <v>5623</v>
      </c>
      <c r="AF924">
        <v>61</v>
      </c>
      <c r="AG924" t="s">
        <v>5813</v>
      </c>
      <c r="AH924" t="s">
        <v>3188</v>
      </c>
      <c r="AI924">
        <v>10</v>
      </c>
      <c r="AJ924">
        <v>2</v>
      </c>
      <c r="AK924">
        <v>2</v>
      </c>
      <c r="AL924">
        <v>98.77</v>
      </c>
      <c r="AM924" t="s">
        <v>5837</v>
      </c>
      <c r="AO924" t="s">
        <v>5844</v>
      </c>
      <c r="AP924">
        <v>24000</v>
      </c>
      <c r="AV924">
        <v>82.59999999999999</v>
      </c>
      <c r="AW924" t="s">
        <v>222</v>
      </c>
      <c r="AX924" t="s">
        <v>6057</v>
      </c>
    </row>
    <row r="925" spans="1:50">
      <c r="A925" s="1">
        <f>HYPERLINK("https://lsnyc.legalserver.org/matter/dynamic-profile/view/1902986","19-1902986")</f>
        <v>0</v>
      </c>
      <c r="B925" t="s">
        <v>139</v>
      </c>
      <c r="C925" t="s">
        <v>192</v>
      </c>
      <c r="D925" t="s">
        <v>205</v>
      </c>
      <c r="E925" t="s">
        <v>222</v>
      </c>
      <c r="F925" t="s">
        <v>655</v>
      </c>
      <c r="G925" t="s">
        <v>1486</v>
      </c>
      <c r="H925" t="s">
        <v>2649</v>
      </c>
      <c r="J925" t="s">
        <v>3179</v>
      </c>
      <c r="K925">
        <v>13790</v>
      </c>
      <c r="L925" t="s">
        <v>3186</v>
      </c>
      <c r="N925" t="s">
        <v>3186</v>
      </c>
      <c r="O925" t="s">
        <v>3526</v>
      </c>
      <c r="Q925" t="s">
        <v>3634</v>
      </c>
      <c r="R925" t="s">
        <v>3642</v>
      </c>
      <c r="T925" t="s">
        <v>3660</v>
      </c>
      <c r="W925" t="s">
        <v>3679</v>
      </c>
      <c r="Y925">
        <v>0</v>
      </c>
      <c r="Z925" t="s">
        <v>3691</v>
      </c>
      <c r="AB925" t="s">
        <v>3722</v>
      </c>
      <c r="AC925" t="s">
        <v>4555</v>
      </c>
      <c r="AE925" t="s">
        <v>5624</v>
      </c>
      <c r="AF925">
        <v>0</v>
      </c>
      <c r="AI925">
        <v>0</v>
      </c>
      <c r="AJ925">
        <v>1</v>
      </c>
      <c r="AK925">
        <v>0</v>
      </c>
      <c r="AL925">
        <v>345.88</v>
      </c>
      <c r="AO925" t="s">
        <v>5843</v>
      </c>
      <c r="AP925">
        <v>43200</v>
      </c>
      <c r="AV925">
        <v>6.9</v>
      </c>
      <c r="AW925" t="s">
        <v>222</v>
      </c>
      <c r="AX925" t="s">
        <v>6030</v>
      </c>
    </row>
    <row r="926" spans="1:50">
      <c r="A926" s="1">
        <f>HYPERLINK("https://lsnyc.legalserver.org/matter/dynamic-profile/view/1906964","19-1906964")</f>
        <v>0</v>
      </c>
      <c r="B926" t="s">
        <v>131</v>
      </c>
      <c r="C926" t="s">
        <v>191</v>
      </c>
      <c r="D926" t="s">
        <v>226</v>
      </c>
      <c r="F926" t="s">
        <v>1053</v>
      </c>
      <c r="G926" t="s">
        <v>1421</v>
      </c>
      <c r="H926" t="s">
        <v>2650</v>
      </c>
      <c r="J926" t="s">
        <v>3146</v>
      </c>
      <c r="K926">
        <v>10009</v>
      </c>
      <c r="L926" t="s">
        <v>3185</v>
      </c>
      <c r="M926" t="s">
        <v>3189</v>
      </c>
      <c r="N926" t="s">
        <v>3186</v>
      </c>
      <c r="P926" t="s">
        <v>3622</v>
      </c>
      <c r="Q926" t="s">
        <v>3635</v>
      </c>
      <c r="S926" t="s">
        <v>226</v>
      </c>
      <c r="T926" t="s">
        <v>3660</v>
      </c>
      <c r="W926" t="s">
        <v>3670</v>
      </c>
      <c r="Y926">
        <v>0</v>
      </c>
      <c r="Z926" t="s">
        <v>3691</v>
      </c>
      <c r="AB926" t="s">
        <v>3713</v>
      </c>
      <c r="AC926" t="s">
        <v>4556</v>
      </c>
      <c r="AE926" t="s">
        <v>5625</v>
      </c>
      <c r="AF926">
        <v>0</v>
      </c>
      <c r="AI926">
        <v>0</v>
      </c>
      <c r="AJ926">
        <v>2</v>
      </c>
      <c r="AK926">
        <v>0</v>
      </c>
      <c r="AL926">
        <v>313.02</v>
      </c>
      <c r="AO926" t="s">
        <v>5843</v>
      </c>
      <c r="AP926">
        <v>52932</v>
      </c>
      <c r="AQ926" t="s">
        <v>5924</v>
      </c>
      <c r="AV926">
        <v>39</v>
      </c>
      <c r="AW926" t="s">
        <v>291</v>
      </c>
      <c r="AX926" t="s">
        <v>131</v>
      </c>
    </row>
    <row r="927" spans="1:50">
      <c r="A927" s="1">
        <f>HYPERLINK("https://lsnyc.legalserver.org/matter/dynamic-profile/view/1884108","18-1884108")</f>
        <v>0</v>
      </c>
      <c r="B927" t="s">
        <v>168</v>
      </c>
      <c r="C927" t="s">
        <v>191</v>
      </c>
      <c r="D927" t="s">
        <v>337</v>
      </c>
      <c r="F927" t="s">
        <v>478</v>
      </c>
      <c r="G927" t="s">
        <v>1834</v>
      </c>
      <c r="H927" t="s">
        <v>2651</v>
      </c>
      <c r="I927" t="s">
        <v>3094</v>
      </c>
      <c r="J927" t="s">
        <v>3171</v>
      </c>
      <c r="K927">
        <v>11415</v>
      </c>
      <c r="L927" t="s">
        <v>3186</v>
      </c>
      <c r="N927" t="s">
        <v>3186</v>
      </c>
      <c r="O927" t="s">
        <v>3257</v>
      </c>
      <c r="P927" t="s">
        <v>3609</v>
      </c>
      <c r="Q927" t="s">
        <v>3635</v>
      </c>
      <c r="T927" t="s">
        <v>3660</v>
      </c>
      <c r="U927" t="s">
        <v>3185</v>
      </c>
      <c r="W927" t="s">
        <v>3670</v>
      </c>
      <c r="X927" t="s">
        <v>3681</v>
      </c>
      <c r="Y927">
        <v>0</v>
      </c>
      <c r="Z927" t="s">
        <v>3688</v>
      </c>
      <c r="AA927" t="s">
        <v>3696</v>
      </c>
      <c r="AC927" t="s">
        <v>4557</v>
      </c>
      <c r="AD927" t="s">
        <v>4764</v>
      </c>
      <c r="AE927" t="s">
        <v>4764</v>
      </c>
      <c r="AF927">
        <v>57</v>
      </c>
      <c r="AG927" t="s">
        <v>5813</v>
      </c>
      <c r="AH927" t="s">
        <v>3188</v>
      </c>
      <c r="AI927">
        <v>2</v>
      </c>
      <c r="AJ927">
        <v>1</v>
      </c>
      <c r="AK927">
        <v>0</v>
      </c>
      <c r="AL927">
        <v>0</v>
      </c>
      <c r="AO927" t="s">
        <v>5844</v>
      </c>
      <c r="AP927">
        <v>0</v>
      </c>
      <c r="AV927">
        <v>1.1</v>
      </c>
      <c r="AW927" t="s">
        <v>5985</v>
      </c>
      <c r="AX927" t="s">
        <v>62</v>
      </c>
    </row>
    <row r="928" spans="1:50">
      <c r="A928" s="1">
        <f>HYPERLINK("https://lsnyc.legalserver.org/matter/dynamic-profile/view/0821956","16-0821956")</f>
        <v>0</v>
      </c>
      <c r="B928" t="s">
        <v>169</v>
      </c>
      <c r="C928" t="s">
        <v>191</v>
      </c>
      <c r="D928" t="s">
        <v>356</v>
      </c>
      <c r="F928" t="s">
        <v>1054</v>
      </c>
      <c r="G928" t="s">
        <v>795</v>
      </c>
      <c r="H928" t="s">
        <v>2652</v>
      </c>
      <c r="I928">
        <v>7</v>
      </c>
      <c r="J928" t="s">
        <v>3180</v>
      </c>
      <c r="K928">
        <v>11101</v>
      </c>
      <c r="L928" t="s">
        <v>3186</v>
      </c>
      <c r="N928" t="s">
        <v>3186</v>
      </c>
      <c r="O928" t="s">
        <v>3527</v>
      </c>
      <c r="P928" t="s">
        <v>3632</v>
      </c>
      <c r="Q928" t="s">
        <v>3638</v>
      </c>
      <c r="T928" t="s">
        <v>3660</v>
      </c>
      <c r="U928" t="s">
        <v>3185</v>
      </c>
      <c r="W928" t="s">
        <v>3670</v>
      </c>
      <c r="Y928">
        <v>1694.41</v>
      </c>
      <c r="Z928" t="s">
        <v>3688</v>
      </c>
      <c r="AA928" t="s">
        <v>3701</v>
      </c>
      <c r="AC928" t="s">
        <v>4558</v>
      </c>
      <c r="AD928" t="s">
        <v>4852</v>
      </c>
      <c r="AE928" t="s">
        <v>5626</v>
      </c>
      <c r="AF928">
        <v>19</v>
      </c>
      <c r="AG928" t="s">
        <v>5813</v>
      </c>
      <c r="AH928" t="s">
        <v>3188</v>
      </c>
      <c r="AI928">
        <v>20</v>
      </c>
      <c r="AJ928">
        <v>3</v>
      </c>
      <c r="AK928">
        <v>2</v>
      </c>
      <c r="AL928">
        <v>91.42</v>
      </c>
      <c r="AO928" t="s">
        <v>5854</v>
      </c>
      <c r="AP928">
        <v>42800</v>
      </c>
      <c r="AV928">
        <v>3.9</v>
      </c>
      <c r="AW928" t="s">
        <v>5985</v>
      </c>
      <c r="AX928" t="s">
        <v>169</v>
      </c>
    </row>
    <row r="929" spans="1:50">
      <c r="A929" s="1">
        <f>HYPERLINK("https://lsnyc.legalserver.org/matter/dynamic-profile/view/1909501","19-1909501")</f>
        <v>0</v>
      </c>
      <c r="B929" t="s">
        <v>170</v>
      </c>
      <c r="C929" t="s">
        <v>191</v>
      </c>
      <c r="D929" t="s">
        <v>197</v>
      </c>
      <c r="F929" t="s">
        <v>1055</v>
      </c>
      <c r="G929" t="s">
        <v>1835</v>
      </c>
      <c r="H929" t="s">
        <v>2357</v>
      </c>
      <c r="I929" t="s">
        <v>2850</v>
      </c>
      <c r="J929" t="s">
        <v>3146</v>
      </c>
      <c r="K929">
        <v>10040</v>
      </c>
      <c r="L929" t="s">
        <v>3184</v>
      </c>
      <c r="M929" t="s">
        <v>3189</v>
      </c>
      <c r="N929" t="s">
        <v>3186</v>
      </c>
      <c r="P929" t="s">
        <v>3612</v>
      </c>
      <c r="Q929" t="s">
        <v>3637</v>
      </c>
      <c r="S929" t="s">
        <v>197</v>
      </c>
      <c r="T929" t="s">
        <v>3660</v>
      </c>
      <c r="U929" t="s">
        <v>3185</v>
      </c>
      <c r="W929" t="s">
        <v>3670</v>
      </c>
      <c r="Y929">
        <v>1738.34</v>
      </c>
      <c r="Z929" t="s">
        <v>3689</v>
      </c>
      <c r="AA929" t="s">
        <v>3697</v>
      </c>
      <c r="AC929" t="s">
        <v>4129</v>
      </c>
      <c r="AE929" t="s">
        <v>5627</v>
      </c>
      <c r="AF929">
        <v>77</v>
      </c>
      <c r="AG929" t="s">
        <v>5813</v>
      </c>
      <c r="AH929" t="s">
        <v>3188</v>
      </c>
      <c r="AI929">
        <v>5</v>
      </c>
      <c r="AJ929">
        <v>2</v>
      </c>
      <c r="AK929">
        <v>0</v>
      </c>
      <c r="AL929">
        <v>626.85</v>
      </c>
      <c r="AO929" t="s">
        <v>5843</v>
      </c>
      <c r="AP929">
        <v>106000</v>
      </c>
      <c r="AV929">
        <v>0.1</v>
      </c>
      <c r="AW929" t="s">
        <v>252</v>
      </c>
      <c r="AX929" t="s">
        <v>108</v>
      </c>
    </row>
    <row r="930" spans="1:50">
      <c r="A930" s="1">
        <f>HYPERLINK("https://lsnyc.legalserver.org/matter/dynamic-profile/view/1846318","17-1846318")</f>
        <v>0</v>
      </c>
      <c r="B930" t="s">
        <v>171</v>
      </c>
      <c r="C930" t="s">
        <v>191</v>
      </c>
      <c r="D930" t="s">
        <v>399</v>
      </c>
      <c r="F930" t="s">
        <v>1056</v>
      </c>
      <c r="G930" t="s">
        <v>1388</v>
      </c>
      <c r="H930" t="s">
        <v>2653</v>
      </c>
      <c r="I930" t="s">
        <v>3095</v>
      </c>
      <c r="J930" t="s">
        <v>3146</v>
      </c>
      <c r="K930">
        <v>10002</v>
      </c>
      <c r="L930" t="s">
        <v>3186</v>
      </c>
      <c r="N930" t="s">
        <v>3186</v>
      </c>
      <c r="Q930" t="s">
        <v>3635</v>
      </c>
      <c r="T930" t="s">
        <v>3660</v>
      </c>
      <c r="V930" t="s">
        <v>3669</v>
      </c>
      <c r="W930" t="s">
        <v>3673</v>
      </c>
      <c r="Y930">
        <v>0</v>
      </c>
      <c r="Z930" t="s">
        <v>3689</v>
      </c>
      <c r="AC930" t="s">
        <v>4559</v>
      </c>
      <c r="AF930">
        <v>0</v>
      </c>
      <c r="AI930">
        <v>0</v>
      </c>
      <c r="AJ930">
        <v>2</v>
      </c>
      <c r="AK930">
        <v>0</v>
      </c>
      <c r="AL930">
        <v>61.33</v>
      </c>
      <c r="AO930" t="s">
        <v>5844</v>
      </c>
      <c r="AP930">
        <v>9960</v>
      </c>
      <c r="AV930">
        <v>8</v>
      </c>
      <c r="AW930" t="s">
        <v>317</v>
      </c>
      <c r="AX930" t="s">
        <v>6058</v>
      </c>
    </row>
    <row r="931" spans="1:50">
      <c r="A931" s="1">
        <f>HYPERLINK("https://lsnyc.legalserver.org/matter/dynamic-profile/view/1909919","19-1909919")</f>
        <v>0</v>
      </c>
      <c r="B931" t="s">
        <v>65</v>
      </c>
      <c r="C931" t="s">
        <v>191</v>
      </c>
      <c r="D931" t="s">
        <v>243</v>
      </c>
      <c r="F931" t="s">
        <v>692</v>
      </c>
      <c r="G931" t="s">
        <v>1836</v>
      </c>
      <c r="H931" t="s">
        <v>2654</v>
      </c>
      <c r="I931" t="s">
        <v>2815</v>
      </c>
      <c r="J931" t="s">
        <v>3146</v>
      </c>
      <c r="K931">
        <v>10029</v>
      </c>
      <c r="L931" t="s">
        <v>3186</v>
      </c>
      <c r="N931" t="s">
        <v>3186</v>
      </c>
      <c r="P931" t="s">
        <v>3620</v>
      </c>
      <c r="Q931" t="s">
        <v>3637</v>
      </c>
      <c r="T931" t="s">
        <v>3660</v>
      </c>
      <c r="U931" t="s">
        <v>3184</v>
      </c>
      <c r="W931" t="s">
        <v>3670</v>
      </c>
      <c r="X931" t="s">
        <v>3681</v>
      </c>
      <c r="Y931">
        <v>900</v>
      </c>
      <c r="Z931" t="s">
        <v>3689</v>
      </c>
      <c r="AA931" t="s">
        <v>3694</v>
      </c>
      <c r="AC931" t="s">
        <v>4560</v>
      </c>
      <c r="AE931" t="s">
        <v>5628</v>
      </c>
      <c r="AF931">
        <v>272</v>
      </c>
      <c r="AG931" t="s">
        <v>5812</v>
      </c>
      <c r="AI931">
        <v>45</v>
      </c>
      <c r="AJ931">
        <v>1</v>
      </c>
      <c r="AK931">
        <v>0</v>
      </c>
      <c r="AL931">
        <v>165.16</v>
      </c>
      <c r="AO931" t="s">
        <v>5843</v>
      </c>
      <c r="AP931">
        <v>20628</v>
      </c>
      <c r="AV931">
        <v>0.3</v>
      </c>
      <c r="AW931" t="s">
        <v>243</v>
      </c>
      <c r="AX931" t="s">
        <v>6022</v>
      </c>
    </row>
    <row r="932" spans="1:50">
      <c r="A932" s="1">
        <f>HYPERLINK("https://lsnyc.legalserver.org/matter/dynamic-profile/view/1904684","19-1904684")</f>
        <v>0</v>
      </c>
      <c r="B932" t="s">
        <v>67</v>
      </c>
      <c r="C932" t="s">
        <v>191</v>
      </c>
      <c r="D932" t="s">
        <v>214</v>
      </c>
      <c r="F932" t="s">
        <v>1057</v>
      </c>
      <c r="G932" t="s">
        <v>1199</v>
      </c>
      <c r="H932" t="s">
        <v>2655</v>
      </c>
      <c r="I932" t="s">
        <v>2895</v>
      </c>
      <c r="J932" t="s">
        <v>3146</v>
      </c>
      <c r="K932">
        <v>10040</v>
      </c>
      <c r="L932" t="s">
        <v>3186</v>
      </c>
      <c r="N932" t="s">
        <v>3186</v>
      </c>
      <c r="O932" t="s">
        <v>3528</v>
      </c>
      <c r="P932" t="s">
        <v>3613</v>
      </c>
      <c r="Q932" t="s">
        <v>3638</v>
      </c>
      <c r="T932" t="s">
        <v>3660</v>
      </c>
      <c r="U932" t="s">
        <v>3184</v>
      </c>
      <c r="W932" t="s">
        <v>3670</v>
      </c>
      <c r="X932" t="s">
        <v>3681</v>
      </c>
      <c r="Y932">
        <v>0</v>
      </c>
      <c r="Z932" t="s">
        <v>3689</v>
      </c>
      <c r="AA932" t="s">
        <v>3697</v>
      </c>
      <c r="AC932" t="s">
        <v>4561</v>
      </c>
      <c r="AF932">
        <v>38</v>
      </c>
      <c r="AH932" t="s">
        <v>3188</v>
      </c>
      <c r="AI932">
        <v>18</v>
      </c>
      <c r="AJ932">
        <v>2</v>
      </c>
      <c r="AK932">
        <v>0</v>
      </c>
      <c r="AL932">
        <v>30.75</v>
      </c>
      <c r="AO932" t="s">
        <v>5862</v>
      </c>
      <c r="AP932">
        <v>5200</v>
      </c>
      <c r="AV932">
        <v>49.2</v>
      </c>
      <c r="AW932" t="s">
        <v>199</v>
      </c>
      <c r="AX932" t="s">
        <v>108</v>
      </c>
    </row>
    <row r="933" spans="1:50">
      <c r="A933" s="1">
        <f>HYPERLINK("https://lsnyc.legalserver.org/matter/dynamic-profile/view/1846658","17-1846658")</f>
        <v>0</v>
      </c>
      <c r="B933" t="s">
        <v>67</v>
      </c>
      <c r="C933" t="s">
        <v>191</v>
      </c>
      <c r="D933" t="s">
        <v>400</v>
      </c>
      <c r="F933" t="s">
        <v>1058</v>
      </c>
      <c r="G933" t="s">
        <v>1716</v>
      </c>
      <c r="H933" t="s">
        <v>2656</v>
      </c>
      <c r="I933" t="s">
        <v>2895</v>
      </c>
      <c r="J933" t="s">
        <v>3146</v>
      </c>
      <c r="K933">
        <v>10034</v>
      </c>
      <c r="L933" t="s">
        <v>3186</v>
      </c>
      <c r="N933" t="s">
        <v>3186</v>
      </c>
      <c r="Q933" t="s">
        <v>3636</v>
      </c>
      <c r="T933" t="s">
        <v>3660</v>
      </c>
      <c r="W933" t="s">
        <v>3670</v>
      </c>
      <c r="Y933">
        <v>1375</v>
      </c>
      <c r="Z933" t="s">
        <v>3689</v>
      </c>
      <c r="AA933" t="s">
        <v>3702</v>
      </c>
      <c r="AC933" t="s">
        <v>4562</v>
      </c>
      <c r="AE933" t="s">
        <v>5629</v>
      </c>
      <c r="AF933">
        <v>28</v>
      </c>
      <c r="AI933">
        <v>3</v>
      </c>
      <c r="AJ933">
        <v>1</v>
      </c>
      <c r="AK933">
        <v>0</v>
      </c>
      <c r="AL933">
        <v>75.72</v>
      </c>
      <c r="AO933" t="s">
        <v>5844</v>
      </c>
      <c r="AP933">
        <v>9132</v>
      </c>
      <c r="AV933">
        <v>1.2</v>
      </c>
      <c r="AW933" t="s">
        <v>415</v>
      </c>
      <c r="AX933" t="s">
        <v>6056</v>
      </c>
    </row>
    <row r="934" spans="1:50">
      <c r="A934" s="1">
        <f>HYPERLINK("https://lsnyc.legalserver.org/matter/dynamic-profile/view/1908432","19-1908432")</f>
        <v>0</v>
      </c>
      <c r="B934" t="s">
        <v>123</v>
      </c>
      <c r="C934" t="s">
        <v>191</v>
      </c>
      <c r="D934" t="s">
        <v>262</v>
      </c>
      <c r="F934" t="s">
        <v>478</v>
      </c>
      <c r="G934" t="s">
        <v>1837</v>
      </c>
      <c r="H934" t="s">
        <v>2657</v>
      </c>
      <c r="I934" t="s">
        <v>2904</v>
      </c>
      <c r="J934" t="s">
        <v>3146</v>
      </c>
      <c r="K934">
        <v>10029</v>
      </c>
      <c r="L934" t="s">
        <v>3186</v>
      </c>
      <c r="N934" t="s">
        <v>3186</v>
      </c>
      <c r="P934" t="s">
        <v>3615</v>
      </c>
      <c r="Q934" t="s">
        <v>3637</v>
      </c>
      <c r="T934" t="s">
        <v>3660</v>
      </c>
      <c r="U934" t="s">
        <v>3184</v>
      </c>
      <c r="W934" t="s">
        <v>3670</v>
      </c>
      <c r="X934" t="s">
        <v>3681</v>
      </c>
      <c r="Y934">
        <v>360</v>
      </c>
      <c r="Z934" t="s">
        <v>3689</v>
      </c>
      <c r="AA934" t="s">
        <v>3695</v>
      </c>
      <c r="AC934" t="s">
        <v>4563</v>
      </c>
      <c r="AE934" t="s">
        <v>5630</v>
      </c>
      <c r="AF934">
        <v>40</v>
      </c>
      <c r="AG934" t="s">
        <v>5813</v>
      </c>
      <c r="AH934" t="s">
        <v>5826</v>
      </c>
      <c r="AI934">
        <v>40</v>
      </c>
      <c r="AJ934">
        <v>1</v>
      </c>
      <c r="AK934">
        <v>0</v>
      </c>
      <c r="AL934">
        <v>0</v>
      </c>
      <c r="AO934" t="s">
        <v>5844</v>
      </c>
      <c r="AP934">
        <v>0</v>
      </c>
      <c r="AV934">
        <v>0</v>
      </c>
      <c r="AX934" t="s">
        <v>6008</v>
      </c>
    </row>
    <row r="935" spans="1:50">
      <c r="A935" s="1">
        <f>HYPERLINK("https://lsnyc.legalserver.org/matter/dynamic-profile/view/1907361","19-1907361")</f>
        <v>0</v>
      </c>
      <c r="B935" t="s">
        <v>70</v>
      </c>
      <c r="C935" t="s">
        <v>191</v>
      </c>
      <c r="D935" t="s">
        <v>253</v>
      </c>
      <c r="F935" t="s">
        <v>758</v>
      </c>
      <c r="G935" t="s">
        <v>1838</v>
      </c>
      <c r="H935" t="s">
        <v>2658</v>
      </c>
      <c r="I935" t="s">
        <v>3096</v>
      </c>
      <c r="J935" t="s">
        <v>3146</v>
      </c>
      <c r="K935">
        <v>10029</v>
      </c>
      <c r="L935" t="s">
        <v>3186</v>
      </c>
      <c r="N935" t="s">
        <v>3186</v>
      </c>
      <c r="T935" t="s">
        <v>3660</v>
      </c>
      <c r="W935" t="s">
        <v>3670</v>
      </c>
      <c r="Y935">
        <v>488</v>
      </c>
      <c r="Z935" t="s">
        <v>3689</v>
      </c>
      <c r="AA935" t="s">
        <v>3706</v>
      </c>
      <c r="AC935" t="s">
        <v>4564</v>
      </c>
      <c r="AE935" t="s">
        <v>5631</v>
      </c>
      <c r="AF935">
        <v>10</v>
      </c>
      <c r="AI935">
        <v>19</v>
      </c>
      <c r="AJ935">
        <v>1</v>
      </c>
      <c r="AK935">
        <v>0</v>
      </c>
      <c r="AL935">
        <v>86.28</v>
      </c>
      <c r="AO935" t="s">
        <v>5844</v>
      </c>
      <c r="AP935">
        <v>10776</v>
      </c>
      <c r="AV935">
        <v>1.5</v>
      </c>
      <c r="AW935" t="s">
        <v>262</v>
      </c>
      <c r="AX935" t="s">
        <v>6006</v>
      </c>
    </row>
    <row r="936" spans="1:50">
      <c r="A936" s="1">
        <f>HYPERLINK("https://lsnyc.legalserver.org/matter/dynamic-profile/view/1908731","19-1908731")</f>
        <v>0</v>
      </c>
      <c r="B936" t="s">
        <v>70</v>
      </c>
      <c r="C936" t="s">
        <v>191</v>
      </c>
      <c r="D936" t="s">
        <v>244</v>
      </c>
      <c r="F936" t="s">
        <v>824</v>
      </c>
      <c r="G936" t="s">
        <v>1839</v>
      </c>
      <c r="H936" t="s">
        <v>2659</v>
      </c>
      <c r="I936" t="s">
        <v>2935</v>
      </c>
      <c r="J936" t="s">
        <v>3146</v>
      </c>
      <c r="K936">
        <v>10034</v>
      </c>
      <c r="L936" t="s">
        <v>3186</v>
      </c>
      <c r="N936" t="s">
        <v>3186</v>
      </c>
      <c r="T936" t="s">
        <v>3660</v>
      </c>
      <c r="W936" t="s">
        <v>3670</v>
      </c>
      <c r="Y936">
        <v>0</v>
      </c>
      <c r="Z936" t="s">
        <v>3689</v>
      </c>
      <c r="AC936" t="s">
        <v>4565</v>
      </c>
      <c r="AE936" t="s">
        <v>5632</v>
      </c>
      <c r="AF936">
        <v>0</v>
      </c>
      <c r="AI936">
        <v>0</v>
      </c>
      <c r="AJ936">
        <v>1</v>
      </c>
      <c r="AK936">
        <v>0</v>
      </c>
      <c r="AL936">
        <v>134.41</v>
      </c>
      <c r="AO936" t="s">
        <v>5843</v>
      </c>
      <c r="AP936">
        <v>16788</v>
      </c>
      <c r="AV936">
        <v>0.6</v>
      </c>
      <c r="AW936" t="s">
        <v>244</v>
      </c>
      <c r="AX936" t="s">
        <v>6022</v>
      </c>
    </row>
    <row r="937" spans="1:50">
      <c r="A937" s="1">
        <f>HYPERLINK("https://lsnyc.legalserver.org/matter/dynamic-profile/view/1909287","19-1909287")</f>
        <v>0</v>
      </c>
      <c r="B937" t="s">
        <v>172</v>
      </c>
      <c r="C937" t="s">
        <v>191</v>
      </c>
      <c r="D937" t="s">
        <v>222</v>
      </c>
      <c r="F937" t="s">
        <v>548</v>
      </c>
      <c r="G937" t="s">
        <v>1456</v>
      </c>
      <c r="H937" t="s">
        <v>2660</v>
      </c>
      <c r="I937" t="s">
        <v>3097</v>
      </c>
      <c r="J937" t="s">
        <v>3161</v>
      </c>
      <c r="K937">
        <v>11368</v>
      </c>
      <c r="L937" t="s">
        <v>3185</v>
      </c>
      <c r="M937" t="s">
        <v>3189</v>
      </c>
      <c r="N937" t="s">
        <v>3186</v>
      </c>
      <c r="O937" t="s">
        <v>3529</v>
      </c>
      <c r="P937" t="s">
        <v>3610</v>
      </c>
      <c r="Q937" t="s">
        <v>3634</v>
      </c>
      <c r="S937" t="s">
        <v>222</v>
      </c>
      <c r="T937" t="s">
        <v>3660</v>
      </c>
      <c r="U937" t="s">
        <v>3184</v>
      </c>
      <c r="W937" t="s">
        <v>3670</v>
      </c>
      <c r="Y937">
        <v>1079</v>
      </c>
      <c r="Z937" t="s">
        <v>3688</v>
      </c>
      <c r="AA937" t="s">
        <v>3698</v>
      </c>
      <c r="AC937" t="s">
        <v>4566</v>
      </c>
      <c r="AD937" t="s">
        <v>4853</v>
      </c>
      <c r="AE937" t="s">
        <v>5633</v>
      </c>
      <c r="AF937">
        <v>180</v>
      </c>
      <c r="AG937" t="s">
        <v>5813</v>
      </c>
      <c r="AH937" t="s">
        <v>3632</v>
      </c>
      <c r="AI937">
        <v>2</v>
      </c>
      <c r="AJ937">
        <v>1</v>
      </c>
      <c r="AK937">
        <v>0</v>
      </c>
      <c r="AL937">
        <v>0</v>
      </c>
      <c r="AO937" t="s">
        <v>5843</v>
      </c>
      <c r="AP937">
        <v>0</v>
      </c>
      <c r="AV937">
        <v>0.9</v>
      </c>
      <c r="AW937" t="s">
        <v>252</v>
      </c>
      <c r="AX937" t="s">
        <v>62</v>
      </c>
    </row>
    <row r="938" spans="1:50">
      <c r="A938" s="1">
        <f>HYPERLINK("https://lsnyc.legalserver.org/matter/dynamic-profile/view/1907120","19-1907120")</f>
        <v>0</v>
      </c>
      <c r="B938" t="s">
        <v>172</v>
      </c>
      <c r="C938" t="s">
        <v>191</v>
      </c>
      <c r="D938" t="s">
        <v>215</v>
      </c>
      <c r="F938" t="s">
        <v>959</v>
      </c>
      <c r="G938" t="s">
        <v>1840</v>
      </c>
      <c r="H938" t="s">
        <v>2661</v>
      </c>
      <c r="I938" t="s">
        <v>3098</v>
      </c>
      <c r="J938" t="s">
        <v>3161</v>
      </c>
      <c r="K938">
        <v>11368</v>
      </c>
      <c r="L938" t="s">
        <v>3185</v>
      </c>
      <c r="M938" t="s">
        <v>3189</v>
      </c>
      <c r="N938" t="s">
        <v>3186</v>
      </c>
      <c r="O938" t="s">
        <v>3530</v>
      </c>
      <c r="P938" t="s">
        <v>3610</v>
      </c>
      <c r="Q938" t="s">
        <v>3638</v>
      </c>
      <c r="T938" t="s">
        <v>3660</v>
      </c>
      <c r="U938" t="s">
        <v>3184</v>
      </c>
      <c r="W938" t="s">
        <v>3670</v>
      </c>
      <c r="X938" t="s">
        <v>3681</v>
      </c>
      <c r="Y938">
        <v>932</v>
      </c>
      <c r="Z938" t="s">
        <v>3688</v>
      </c>
      <c r="AC938" t="s">
        <v>4567</v>
      </c>
      <c r="AE938" t="s">
        <v>5634</v>
      </c>
      <c r="AF938">
        <v>30</v>
      </c>
      <c r="AG938" t="s">
        <v>5813</v>
      </c>
      <c r="AH938" t="s">
        <v>5826</v>
      </c>
      <c r="AI938">
        <v>42</v>
      </c>
      <c r="AJ938">
        <v>1</v>
      </c>
      <c r="AK938">
        <v>0</v>
      </c>
      <c r="AL938">
        <v>240.19</v>
      </c>
      <c r="AO938" t="s">
        <v>5843</v>
      </c>
      <c r="AP938">
        <v>30000</v>
      </c>
      <c r="AV938">
        <v>16.15</v>
      </c>
      <c r="AW938" t="s">
        <v>221</v>
      </c>
      <c r="AX938" t="s">
        <v>167</v>
      </c>
    </row>
    <row r="939" spans="1:50">
      <c r="A939" s="1">
        <f>HYPERLINK("https://lsnyc.legalserver.org/matter/dynamic-profile/view/1909543","19-1909543")</f>
        <v>0</v>
      </c>
      <c r="B939" t="s">
        <v>172</v>
      </c>
      <c r="C939" t="s">
        <v>191</v>
      </c>
      <c r="D939" t="s">
        <v>197</v>
      </c>
      <c r="F939" t="s">
        <v>1059</v>
      </c>
      <c r="G939" t="s">
        <v>1841</v>
      </c>
      <c r="H939" t="s">
        <v>2662</v>
      </c>
      <c r="I939" t="s">
        <v>3099</v>
      </c>
      <c r="J939" t="s">
        <v>3149</v>
      </c>
      <c r="K939">
        <v>11355</v>
      </c>
      <c r="L939" t="s">
        <v>3185</v>
      </c>
      <c r="M939" t="s">
        <v>3189</v>
      </c>
      <c r="N939" t="s">
        <v>3186</v>
      </c>
      <c r="O939" t="s">
        <v>3531</v>
      </c>
      <c r="P939" t="s">
        <v>3610</v>
      </c>
      <c r="Q939" t="s">
        <v>3638</v>
      </c>
      <c r="S939" t="s">
        <v>197</v>
      </c>
      <c r="T939" t="s">
        <v>3660</v>
      </c>
      <c r="U939" t="s">
        <v>3184</v>
      </c>
      <c r="W939" t="s">
        <v>3670</v>
      </c>
      <c r="Y939">
        <v>1257.22</v>
      </c>
      <c r="Z939" t="s">
        <v>3688</v>
      </c>
      <c r="AA939" t="s">
        <v>3700</v>
      </c>
      <c r="AC939" t="s">
        <v>4568</v>
      </c>
      <c r="AE939" t="s">
        <v>5635</v>
      </c>
      <c r="AF939">
        <v>0</v>
      </c>
      <c r="AG939" t="s">
        <v>5813</v>
      </c>
      <c r="AH939" t="s">
        <v>3188</v>
      </c>
      <c r="AI939">
        <v>11</v>
      </c>
      <c r="AJ939">
        <v>1</v>
      </c>
      <c r="AK939">
        <v>0</v>
      </c>
      <c r="AL939">
        <v>17.58</v>
      </c>
      <c r="AO939" t="s">
        <v>5855</v>
      </c>
      <c r="AP939">
        <v>2196</v>
      </c>
      <c r="AV939">
        <v>4.5</v>
      </c>
      <c r="AW939" t="s">
        <v>291</v>
      </c>
      <c r="AX939" t="s">
        <v>62</v>
      </c>
    </row>
    <row r="940" spans="1:50">
      <c r="A940" s="1">
        <f>HYPERLINK("https://lsnyc.legalserver.org/matter/dynamic-profile/view/1906212","19-1906212")</f>
        <v>0</v>
      </c>
      <c r="B940" t="s">
        <v>172</v>
      </c>
      <c r="C940" t="s">
        <v>191</v>
      </c>
      <c r="D940" t="s">
        <v>219</v>
      </c>
      <c r="F940" t="s">
        <v>478</v>
      </c>
      <c r="G940" t="s">
        <v>1842</v>
      </c>
      <c r="H940" t="s">
        <v>2663</v>
      </c>
      <c r="I940" t="s">
        <v>2907</v>
      </c>
      <c r="J940" t="s">
        <v>3165</v>
      </c>
      <c r="K940">
        <v>11377</v>
      </c>
      <c r="L940" t="s">
        <v>3185</v>
      </c>
      <c r="M940" t="s">
        <v>3189</v>
      </c>
      <c r="N940" t="s">
        <v>3186</v>
      </c>
      <c r="P940" t="s">
        <v>3257</v>
      </c>
      <c r="Q940" t="s">
        <v>3638</v>
      </c>
      <c r="T940" t="s">
        <v>3660</v>
      </c>
      <c r="U940" t="s">
        <v>3184</v>
      </c>
      <c r="W940" t="s">
        <v>3670</v>
      </c>
      <c r="X940" t="s">
        <v>3681</v>
      </c>
      <c r="Y940">
        <v>1400</v>
      </c>
      <c r="Z940" t="s">
        <v>3688</v>
      </c>
      <c r="AA940" t="s">
        <v>3696</v>
      </c>
      <c r="AC940" t="s">
        <v>4569</v>
      </c>
      <c r="AF940">
        <v>8</v>
      </c>
      <c r="AG940" t="s">
        <v>5814</v>
      </c>
      <c r="AH940" t="s">
        <v>3188</v>
      </c>
      <c r="AI940">
        <v>-1</v>
      </c>
      <c r="AJ940">
        <v>1</v>
      </c>
      <c r="AK940">
        <v>1</v>
      </c>
      <c r="AL940">
        <v>0</v>
      </c>
      <c r="AO940" t="s">
        <v>5844</v>
      </c>
      <c r="AP940">
        <v>0</v>
      </c>
      <c r="AV940">
        <v>2.02</v>
      </c>
      <c r="AW940" t="s">
        <v>195</v>
      </c>
      <c r="AX940" t="s">
        <v>167</v>
      </c>
    </row>
    <row r="941" spans="1:50">
      <c r="A941" s="1">
        <f>HYPERLINK("https://lsnyc.legalserver.org/matter/dynamic-profile/view/1908646","19-1908646")</f>
        <v>0</v>
      </c>
      <c r="B941" t="s">
        <v>173</v>
      </c>
      <c r="C941" t="s">
        <v>191</v>
      </c>
      <c r="D941" t="s">
        <v>231</v>
      </c>
      <c r="F941" t="s">
        <v>847</v>
      </c>
      <c r="G941" t="s">
        <v>1515</v>
      </c>
      <c r="H941" t="s">
        <v>2664</v>
      </c>
      <c r="J941" t="s">
        <v>3149</v>
      </c>
      <c r="K941">
        <v>11354</v>
      </c>
      <c r="L941" t="s">
        <v>3185</v>
      </c>
      <c r="M941" t="s">
        <v>3189</v>
      </c>
      <c r="N941" t="s">
        <v>3186</v>
      </c>
      <c r="O941" t="s">
        <v>3532</v>
      </c>
      <c r="P941" t="s">
        <v>3610</v>
      </c>
      <c r="Q941" t="s">
        <v>3638</v>
      </c>
      <c r="S941" t="s">
        <v>231</v>
      </c>
      <c r="T941" t="s">
        <v>3660</v>
      </c>
      <c r="U941" t="s">
        <v>3184</v>
      </c>
      <c r="W941" t="s">
        <v>3670</v>
      </c>
      <c r="X941" t="s">
        <v>3681</v>
      </c>
      <c r="Y941">
        <v>2400</v>
      </c>
      <c r="Z941" t="s">
        <v>3688</v>
      </c>
      <c r="AA941" t="s">
        <v>3698</v>
      </c>
      <c r="AC941" t="s">
        <v>4570</v>
      </c>
      <c r="AD941" t="s">
        <v>4854</v>
      </c>
      <c r="AF941">
        <v>3</v>
      </c>
      <c r="AG941" t="s">
        <v>5814</v>
      </c>
      <c r="AH941" t="s">
        <v>3632</v>
      </c>
      <c r="AI941">
        <v>1</v>
      </c>
      <c r="AJ941">
        <v>2</v>
      </c>
      <c r="AK941">
        <v>4</v>
      </c>
      <c r="AL941">
        <v>72.84999999999999</v>
      </c>
      <c r="AO941" t="s">
        <v>5844</v>
      </c>
      <c r="AP941">
        <v>25200</v>
      </c>
      <c r="AV941">
        <v>2.45</v>
      </c>
      <c r="AW941" t="s">
        <v>269</v>
      </c>
      <c r="AX941" t="s">
        <v>6059</v>
      </c>
    </row>
    <row r="942" spans="1:50">
      <c r="A942" s="1">
        <f>HYPERLINK("https://lsnyc.legalserver.org/matter/dynamic-profile/view/1908658","19-1908658")</f>
        <v>0</v>
      </c>
      <c r="B942" t="s">
        <v>173</v>
      </c>
      <c r="C942" t="s">
        <v>191</v>
      </c>
      <c r="D942" t="s">
        <v>244</v>
      </c>
      <c r="F942" t="s">
        <v>1060</v>
      </c>
      <c r="G942" t="s">
        <v>1843</v>
      </c>
      <c r="H942" t="s">
        <v>2645</v>
      </c>
      <c r="I942">
        <v>314</v>
      </c>
      <c r="J942" t="s">
        <v>3149</v>
      </c>
      <c r="K942">
        <v>11354</v>
      </c>
      <c r="L942" t="s">
        <v>3185</v>
      </c>
      <c r="N942" t="s">
        <v>3186</v>
      </c>
      <c r="O942" t="s">
        <v>3533</v>
      </c>
      <c r="P942" t="s">
        <v>3610</v>
      </c>
      <c r="Q942" t="s">
        <v>3638</v>
      </c>
      <c r="S942" t="s">
        <v>244</v>
      </c>
      <c r="T942" t="s">
        <v>3660</v>
      </c>
      <c r="U942" t="s">
        <v>3184</v>
      </c>
      <c r="W942" t="s">
        <v>3670</v>
      </c>
      <c r="X942" t="s">
        <v>3681</v>
      </c>
      <c r="Y942">
        <v>1150.87</v>
      </c>
      <c r="Z942" t="s">
        <v>3688</v>
      </c>
      <c r="AA942" t="s">
        <v>3699</v>
      </c>
      <c r="AC942" t="s">
        <v>4571</v>
      </c>
      <c r="AE942" t="s">
        <v>5636</v>
      </c>
      <c r="AF942">
        <v>0</v>
      </c>
      <c r="AG942" t="s">
        <v>5813</v>
      </c>
      <c r="AH942" t="s">
        <v>5826</v>
      </c>
      <c r="AI942">
        <v>30</v>
      </c>
      <c r="AJ942">
        <v>1</v>
      </c>
      <c r="AK942">
        <v>0</v>
      </c>
      <c r="AL942">
        <v>94.83</v>
      </c>
      <c r="AO942" t="s">
        <v>5853</v>
      </c>
      <c r="AP942">
        <v>11844</v>
      </c>
      <c r="AV942">
        <v>2.15</v>
      </c>
      <c r="AW942" t="s">
        <v>269</v>
      </c>
      <c r="AX942" t="s">
        <v>6046</v>
      </c>
    </row>
    <row r="943" spans="1:50">
      <c r="A943" s="1">
        <f>HYPERLINK("https://lsnyc.legalserver.org/matter/dynamic-profile/view/1908592","19-1908592")</f>
        <v>0</v>
      </c>
      <c r="B943" t="s">
        <v>173</v>
      </c>
      <c r="C943" t="s">
        <v>191</v>
      </c>
      <c r="D943" t="s">
        <v>231</v>
      </c>
      <c r="F943" t="s">
        <v>454</v>
      </c>
      <c r="G943" t="s">
        <v>1186</v>
      </c>
      <c r="H943" t="s">
        <v>2665</v>
      </c>
      <c r="I943" t="s">
        <v>2906</v>
      </c>
      <c r="J943" t="s">
        <v>3181</v>
      </c>
      <c r="K943">
        <v>11375</v>
      </c>
      <c r="L943" t="s">
        <v>3185</v>
      </c>
      <c r="M943" t="s">
        <v>3189</v>
      </c>
      <c r="N943" t="s">
        <v>3186</v>
      </c>
      <c r="O943" t="s">
        <v>3534</v>
      </c>
      <c r="P943" t="s">
        <v>3610</v>
      </c>
      <c r="Q943" t="s">
        <v>3638</v>
      </c>
      <c r="S943" t="s">
        <v>231</v>
      </c>
      <c r="T943" t="s">
        <v>3660</v>
      </c>
      <c r="U943" t="s">
        <v>3184</v>
      </c>
      <c r="W943" t="s">
        <v>3670</v>
      </c>
      <c r="X943" t="s">
        <v>3681</v>
      </c>
      <c r="Y943">
        <v>1413.52</v>
      </c>
      <c r="Z943" t="s">
        <v>3688</v>
      </c>
      <c r="AA943" t="s">
        <v>3698</v>
      </c>
      <c r="AC943" t="s">
        <v>4572</v>
      </c>
      <c r="AD943" t="s">
        <v>4855</v>
      </c>
      <c r="AE943" t="s">
        <v>5637</v>
      </c>
      <c r="AF943">
        <v>40</v>
      </c>
      <c r="AG943" t="s">
        <v>3263</v>
      </c>
      <c r="AH943" t="s">
        <v>3188</v>
      </c>
      <c r="AI943">
        <v>15</v>
      </c>
      <c r="AJ943">
        <v>3</v>
      </c>
      <c r="AK943">
        <v>0</v>
      </c>
      <c r="AL943">
        <v>172.53</v>
      </c>
      <c r="AO943" t="s">
        <v>5843</v>
      </c>
      <c r="AP943">
        <v>36800</v>
      </c>
      <c r="AV943">
        <v>0.96</v>
      </c>
      <c r="AW943" t="s">
        <v>269</v>
      </c>
      <c r="AX943" t="s">
        <v>62</v>
      </c>
    </row>
    <row r="944" spans="1:50">
      <c r="A944" s="1">
        <f>HYPERLINK("https://lsnyc.legalserver.org/matter/dynamic-profile/view/1910053","19-1910053")</f>
        <v>0</v>
      </c>
      <c r="B944" t="s">
        <v>70</v>
      </c>
      <c r="C944" t="s">
        <v>191</v>
      </c>
      <c r="D944" t="s">
        <v>198</v>
      </c>
      <c r="F944" t="s">
        <v>828</v>
      </c>
      <c r="G944" t="s">
        <v>1589</v>
      </c>
      <c r="H944" t="s">
        <v>2352</v>
      </c>
      <c r="I944">
        <v>33</v>
      </c>
      <c r="J944" t="s">
        <v>3146</v>
      </c>
      <c r="K944">
        <v>10040</v>
      </c>
      <c r="L944" t="s">
        <v>3186</v>
      </c>
      <c r="N944" t="s">
        <v>3186</v>
      </c>
      <c r="T944" t="s">
        <v>3660</v>
      </c>
      <c r="W944" t="s">
        <v>3670</v>
      </c>
      <c r="Y944">
        <v>0</v>
      </c>
      <c r="Z944" t="s">
        <v>3689</v>
      </c>
      <c r="AC944" t="s">
        <v>4212</v>
      </c>
      <c r="AE944" t="s">
        <v>5324</v>
      </c>
      <c r="AF944">
        <v>0</v>
      </c>
      <c r="AI944">
        <v>0</v>
      </c>
      <c r="AJ944">
        <v>1</v>
      </c>
      <c r="AK944">
        <v>0</v>
      </c>
      <c r="AL944">
        <v>480.38</v>
      </c>
      <c r="AO944" t="s">
        <v>5843</v>
      </c>
      <c r="AP944">
        <v>60000</v>
      </c>
      <c r="AV944">
        <v>0</v>
      </c>
      <c r="AX944" t="s">
        <v>108</v>
      </c>
    </row>
    <row r="945" spans="1:50">
      <c r="A945" s="1">
        <f>HYPERLINK("https://lsnyc.legalserver.org/matter/dynamic-profile/view/1891183","19-1891183")</f>
        <v>0</v>
      </c>
      <c r="B945" t="s">
        <v>167</v>
      </c>
      <c r="C945" t="s">
        <v>191</v>
      </c>
      <c r="D945" t="s">
        <v>401</v>
      </c>
      <c r="F945" t="s">
        <v>1061</v>
      </c>
      <c r="G945" t="s">
        <v>1844</v>
      </c>
      <c r="H945" t="s">
        <v>2666</v>
      </c>
      <c r="J945" t="s">
        <v>3161</v>
      </c>
      <c r="K945">
        <v>11368</v>
      </c>
      <c r="L945" t="s">
        <v>3185</v>
      </c>
      <c r="M945" t="s">
        <v>3190</v>
      </c>
      <c r="N945" t="s">
        <v>3185</v>
      </c>
      <c r="O945" t="s">
        <v>3535</v>
      </c>
      <c r="P945" t="s">
        <v>3613</v>
      </c>
      <c r="Q945" t="s">
        <v>3636</v>
      </c>
      <c r="S945" t="s">
        <v>265</v>
      </c>
      <c r="T945" t="s">
        <v>3660</v>
      </c>
      <c r="U945" t="s">
        <v>3184</v>
      </c>
      <c r="W945" t="s">
        <v>3670</v>
      </c>
      <c r="X945" t="s">
        <v>3681</v>
      </c>
      <c r="Y945">
        <v>1400</v>
      </c>
      <c r="Z945" t="s">
        <v>3688</v>
      </c>
      <c r="AA945" t="s">
        <v>3698</v>
      </c>
      <c r="AC945" t="s">
        <v>4573</v>
      </c>
      <c r="AD945" t="s">
        <v>4856</v>
      </c>
      <c r="AE945" t="s">
        <v>5638</v>
      </c>
      <c r="AF945">
        <v>25</v>
      </c>
      <c r="AG945" t="s">
        <v>5814</v>
      </c>
      <c r="AH945" t="s">
        <v>5825</v>
      </c>
      <c r="AI945">
        <v>6</v>
      </c>
      <c r="AJ945">
        <v>1</v>
      </c>
      <c r="AK945">
        <v>3</v>
      </c>
      <c r="AL945">
        <v>46.6</v>
      </c>
      <c r="AO945" t="s">
        <v>5844</v>
      </c>
      <c r="AP945">
        <v>12000</v>
      </c>
      <c r="AV945">
        <v>1.55</v>
      </c>
      <c r="AW945" t="s">
        <v>203</v>
      </c>
      <c r="AX945" t="s">
        <v>167</v>
      </c>
    </row>
    <row r="946" spans="1:50">
      <c r="A946" s="1">
        <f>HYPERLINK("https://lsnyc.legalserver.org/matter/dynamic-profile/view/1900774","19-1900774")</f>
        <v>0</v>
      </c>
      <c r="B946" t="s">
        <v>167</v>
      </c>
      <c r="C946" t="s">
        <v>191</v>
      </c>
      <c r="D946" t="s">
        <v>402</v>
      </c>
      <c r="F946" t="s">
        <v>1062</v>
      </c>
      <c r="G946" t="s">
        <v>621</v>
      </c>
      <c r="H946" t="s">
        <v>2667</v>
      </c>
      <c r="I946" t="s">
        <v>3100</v>
      </c>
      <c r="J946" t="s">
        <v>3161</v>
      </c>
      <c r="K946">
        <v>11368</v>
      </c>
      <c r="L946" t="s">
        <v>3185</v>
      </c>
      <c r="M946" t="s">
        <v>3189</v>
      </c>
      <c r="N946" t="s">
        <v>3186</v>
      </c>
      <c r="O946" t="s">
        <v>3536</v>
      </c>
      <c r="P946" t="s">
        <v>3616</v>
      </c>
      <c r="Q946" t="s">
        <v>3639</v>
      </c>
      <c r="S946" t="s">
        <v>265</v>
      </c>
      <c r="T946" t="s">
        <v>3660</v>
      </c>
      <c r="U946" t="s">
        <v>3185</v>
      </c>
      <c r="W946" t="s">
        <v>3670</v>
      </c>
      <c r="X946" t="s">
        <v>3681</v>
      </c>
      <c r="Y946">
        <v>940</v>
      </c>
      <c r="Z946" t="s">
        <v>3688</v>
      </c>
      <c r="AA946" t="s">
        <v>3632</v>
      </c>
      <c r="AC946" t="s">
        <v>4574</v>
      </c>
      <c r="AD946" t="s">
        <v>4764</v>
      </c>
      <c r="AE946" t="s">
        <v>5639</v>
      </c>
      <c r="AF946">
        <v>50</v>
      </c>
      <c r="AG946" t="s">
        <v>5813</v>
      </c>
      <c r="AH946" t="s">
        <v>3188</v>
      </c>
      <c r="AI946">
        <v>19</v>
      </c>
      <c r="AJ946">
        <v>1</v>
      </c>
      <c r="AK946">
        <v>0</v>
      </c>
      <c r="AL946">
        <v>129.7</v>
      </c>
      <c r="AO946" t="s">
        <v>5843</v>
      </c>
      <c r="AP946">
        <v>16200</v>
      </c>
      <c r="AV946">
        <v>5.76</v>
      </c>
      <c r="AW946" t="s">
        <v>207</v>
      </c>
      <c r="AX946" t="s">
        <v>167</v>
      </c>
    </row>
    <row r="947" spans="1:50">
      <c r="A947" s="1">
        <f>HYPERLINK("https://lsnyc.legalserver.org/matter/dynamic-profile/view/1897595","19-1897595")</f>
        <v>0</v>
      </c>
      <c r="B947" t="s">
        <v>167</v>
      </c>
      <c r="C947" t="s">
        <v>191</v>
      </c>
      <c r="D947" t="s">
        <v>235</v>
      </c>
      <c r="F947" t="s">
        <v>1063</v>
      </c>
      <c r="G947" t="s">
        <v>1690</v>
      </c>
      <c r="H947" t="s">
        <v>2668</v>
      </c>
      <c r="I947" t="s">
        <v>3101</v>
      </c>
      <c r="J947" t="s">
        <v>3161</v>
      </c>
      <c r="K947">
        <v>11368</v>
      </c>
      <c r="L947" t="s">
        <v>3185</v>
      </c>
      <c r="M947" t="s">
        <v>3189</v>
      </c>
      <c r="N947" t="s">
        <v>3185</v>
      </c>
      <c r="O947" t="s">
        <v>3537</v>
      </c>
      <c r="P947" t="s">
        <v>3616</v>
      </c>
      <c r="Q947" t="s">
        <v>3639</v>
      </c>
      <c r="S947" t="s">
        <v>265</v>
      </c>
      <c r="T947" t="s">
        <v>3660</v>
      </c>
      <c r="U947" t="s">
        <v>3185</v>
      </c>
      <c r="W947" t="s">
        <v>3670</v>
      </c>
      <c r="X947" t="s">
        <v>3681</v>
      </c>
      <c r="Y947">
        <v>1293</v>
      </c>
      <c r="Z947" t="s">
        <v>3688</v>
      </c>
      <c r="AA947" t="s">
        <v>3632</v>
      </c>
      <c r="AC947" t="s">
        <v>4575</v>
      </c>
      <c r="AE947" t="s">
        <v>5640</v>
      </c>
      <c r="AF947">
        <v>70</v>
      </c>
      <c r="AG947" t="s">
        <v>5813</v>
      </c>
      <c r="AH947" t="s">
        <v>3188</v>
      </c>
      <c r="AI947">
        <v>30</v>
      </c>
      <c r="AJ947">
        <v>2</v>
      </c>
      <c r="AK947">
        <v>0</v>
      </c>
      <c r="AL947">
        <v>276.76</v>
      </c>
      <c r="AO947" t="s">
        <v>5843</v>
      </c>
      <c r="AP947">
        <v>46800</v>
      </c>
      <c r="AV947">
        <v>0.66</v>
      </c>
      <c r="AW947" t="s">
        <v>437</v>
      </c>
      <c r="AX947" t="s">
        <v>167</v>
      </c>
    </row>
    <row r="948" spans="1:50">
      <c r="A948" s="1">
        <f>HYPERLINK("https://lsnyc.legalserver.org/matter/dynamic-profile/view/1907121","19-1907121")</f>
        <v>0</v>
      </c>
      <c r="B948" t="s">
        <v>167</v>
      </c>
      <c r="C948" t="s">
        <v>191</v>
      </c>
      <c r="D948" t="s">
        <v>215</v>
      </c>
      <c r="F948" t="s">
        <v>959</v>
      </c>
      <c r="G948" t="s">
        <v>1840</v>
      </c>
      <c r="H948" t="s">
        <v>2661</v>
      </c>
      <c r="I948" t="s">
        <v>3098</v>
      </c>
      <c r="J948" t="s">
        <v>3161</v>
      </c>
      <c r="K948">
        <v>11368</v>
      </c>
      <c r="L948" t="s">
        <v>3185</v>
      </c>
      <c r="M948" t="s">
        <v>3189</v>
      </c>
      <c r="N948" t="s">
        <v>3186</v>
      </c>
      <c r="O948" t="s">
        <v>3538</v>
      </c>
      <c r="P948" t="s">
        <v>3616</v>
      </c>
      <c r="Q948" t="s">
        <v>3639</v>
      </c>
      <c r="T948" t="s">
        <v>3660</v>
      </c>
      <c r="U948" t="s">
        <v>3185</v>
      </c>
      <c r="W948" t="s">
        <v>3670</v>
      </c>
      <c r="X948" t="s">
        <v>3681</v>
      </c>
      <c r="Y948">
        <v>932</v>
      </c>
      <c r="Z948" t="s">
        <v>3688</v>
      </c>
      <c r="AA948" t="s">
        <v>3704</v>
      </c>
      <c r="AC948" t="s">
        <v>4567</v>
      </c>
      <c r="AE948" t="s">
        <v>5634</v>
      </c>
      <c r="AF948">
        <v>30</v>
      </c>
      <c r="AG948" t="s">
        <v>5813</v>
      </c>
      <c r="AH948" t="s">
        <v>5826</v>
      </c>
      <c r="AI948">
        <v>42</v>
      </c>
      <c r="AJ948">
        <v>1</v>
      </c>
      <c r="AK948">
        <v>0</v>
      </c>
      <c r="AL948">
        <v>240.19</v>
      </c>
      <c r="AO948" t="s">
        <v>5843</v>
      </c>
      <c r="AP948">
        <v>30000</v>
      </c>
      <c r="AV948">
        <v>1.05</v>
      </c>
      <c r="AW948" t="s">
        <v>246</v>
      </c>
      <c r="AX948" t="s">
        <v>167</v>
      </c>
    </row>
    <row r="949" spans="1:50">
      <c r="A949" s="1">
        <f>HYPERLINK("https://lsnyc.legalserver.org/matter/dynamic-profile/view/1861611","18-1861611")</f>
        <v>0</v>
      </c>
      <c r="B949" t="s">
        <v>70</v>
      </c>
      <c r="C949" t="s">
        <v>191</v>
      </c>
      <c r="D949" t="s">
        <v>403</v>
      </c>
      <c r="F949" t="s">
        <v>478</v>
      </c>
      <c r="G949" t="s">
        <v>1845</v>
      </c>
      <c r="H949" t="s">
        <v>2669</v>
      </c>
      <c r="I949" t="s">
        <v>3102</v>
      </c>
      <c r="J949" t="s">
        <v>3146</v>
      </c>
      <c r="K949">
        <v>10034</v>
      </c>
      <c r="L949" t="s">
        <v>3186</v>
      </c>
      <c r="N949" t="s">
        <v>3186</v>
      </c>
      <c r="O949" t="s">
        <v>3539</v>
      </c>
      <c r="P949" t="s">
        <v>3610</v>
      </c>
      <c r="Q949" t="s">
        <v>3638</v>
      </c>
      <c r="T949" t="s">
        <v>3660</v>
      </c>
      <c r="W949" t="s">
        <v>3670</v>
      </c>
      <c r="Y949">
        <v>1200</v>
      </c>
      <c r="Z949" t="s">
        <v>3689</v>
      </c>
      <c r="AC949" t="s">
        <v>4576</v>
      </c>
      <c r="AE949" t="s">
        <v>5641</v>
      </c>
      <c r="AF949">
        <v>20</v>
      </c>
      <c r="AG949" t="s">
        <v>3263</v>
      </c>
      <c r="AH949" t="s">
        <v>3188</v>
      </c>
      <c r="AI949">
        <v>6</v>
      </c>
      <c r="AJ949">
        <v>3</v>
      </c>
      <c r="AK949">
        <v>0</v>
      </c>
      <c r="AL949">
        <v>206.45</v>
      </c>
      <c r="AO949" t="s">
        <v>5844</v>
      </c>
      <c r="AP949">
        <v>42900</v>
      </c>
      <c r="AV949">
        <v>54.55</v>
      </c>
      <c r="AW949" t="s">
        <v>252</v>
      </c>
      <c r="AX949" t="s">
        <v>6015</v>
      </c>
    </row>
    <row r="950" spans="1:50">
      <c r="A950" s="1">
        <f>HYPERLINK("https://lsnyc.legalserver.org/matter/dynamic-profile/view/1907462","19-1907462")</f>
        <v>0</v>
      </c>
      <c r="B950" t="s">
        <v>167</v>
      </c>
      <c r="C950" t="s">
        <v>191</v>
      </c>
      <c r="D950" t="s">
        <v>234</v>
      </c>
      <c r="F950" t="s">
        <v>1064</v>
      </c>
      <c r="G950" t="s">
        <v>1499</v>
      </c>
      <c r="H950" t="s">
        <v>2670</v>
      </c>
      <c r="J950" t="s">
        <v>3182</v>
      </c>
      <c r="K950">
        <v>11429</v>
      </c>
      <c r="L950" t="s">
        <v>3185</v>
      </c>
      <c r="M950" t="s">
        <v>3189</v>
      </c>
      <c r="N950" t="s">
        <v>3186</v>
      </c>
      <c r="O950" t="s">
        <v>3540</v>
      </c>
      <c r="P950" t="s">
        <v>3613</v>
      </c>
      <c r="Q950" t="s">
        <v>3634</v>
      </c>
      <c r="S950" t="s">
        <v>234</v>
      </c>
      <c r="T950" t="s">
        <v>3660</v>
      </c>
      <c r="U950" t="s">
        <v>3184</v>
      </c>
      <c r="W950" t="s">
        <v>3670</v>
      </c>
      <c r="X950" t="s">
        <v>3683</v>
      </c>
      <c r="Y950">
        <v>450</v>
      </c>
      <c r="Z950" t="s">
        <v>3688</v>
      </c>
      <c r="AA950" t="s">
        <v>3698</v>
      </c>
      <c r="AC950" t="s">
        <v>4577</v>
      </c>
      <c r="AE950" t="s">
        <v>4764</v>
      </c>
      <c r="AF950">
        <v>2</v>
      </c>
      <c r="AG950" t="s">
        <v>3263</v>
      </c>
      <c r="AH950" t="s">
        <v>3188</v>
      </c>
      <c r="AI950">
        <v>2</v>
      </c>
      <c r="AJ950">
        <v>1</v>
      </c>
      <c r="AK950">
        <v>2</v>
      </c>
      <c r="AL950">
        <v>93.76000000000001</v>
      </c>
      <c r="AO950" t="s">
        <v>5843</v>
      </c>
      <c r="AP950">
        <v>20000</v>
      </c>
      <c r="AV950">
        <v>2.45</v>
      </c>
      <c r="AW950" t="s">
        <v>244</v>
      </c>
      <c r="AX950" t="s">
        <v>62</v>
      </c>
    </row>
    <row r="951" spans="1:50">
      <c r="A951" s="1">
        <f>HYPERLINK("https://lsnyc.legalserver.org/matter/dynamic-profile/view/1904923","19-1904923")</f>
        <v>0</v>
      </c>
      <c r="B951" t="s">
        <v>167</v>
      </c>
      <c r="C951" t="s">
        <v>191</v>
      </c>
      <c r="D951" t="s">
        <v>218</v>
      </c>
      <c r="F951" t="s">
        <v>1065</v>
      </c>
      <c r="G951" t="s">
        <v>1846</v>
      </c>
      <c r="H951" t="s">
        <v>2671</v>
      </c>
      <c r="I951" t="s">
        <v>2836</v>
      </c>
      <c r="J951" t="s">
        <v>3163</v>
      </c>
      <c r="K951">
        <v>11422</v>
      </c>
      <c r="L951" t="s">
        <v>3185</v>
      </c>
      <c r="M951" t="s">
        <v>3189</v>
      </c>
      <c r="N951" t="s">
        <v>3186</v>
      </c>
      <c r="O951" t="s">
        <v>3541</v>
      </c>
      <c r="P951" t="s">
        <v>3613</v>
      </c>
      <c r="Q951" t="s">
        <v>3634</v>
      </c>
      <c r="S951" t="s">
        <v>218</v>
      </c>
      <c r="T951" t="s">
        <v>3660</v>
      </c>
      <c r="U951" t="s">
        <v>3184</v>
      </c>
      <c r="W951" t="s">
        <v>3670</v>
      </c>
      <c r="X951" t="s">
        <v>3681</v>
      </c>
      <c r="Y951">
        <v>1800</v>
      </c>
      <c r="Z951" t="s">
        <v>3688</v>
      </c>
      <c r="AA951" t="s">
        <v>3698</v>
      </c>
      <c r="AC951" t="s">
        <v>4578</v>
      </c>
      <c r="AE951" t="s">
        <v>5642</v>
      </c>
      <c r="AF951">
        <v>2</v>
      </c>
      <c r="AG951" t="s">
        <v>3263</v>
      </c>
      <c r="AH951" t="s">
        <v>3188</v>
      </c>
      <c r="AI951">
        <v>7</v>
      </c>
      <c r="AJ951">
        <v>2</v>
      </c>
      <c r="AK951">
        <v>3</v>
      </c>
      <c r="AL951">
        <v>139.21</v>
      </c>
      <c r="AO951" t="s">
        <v>5843</v>
      </c>
      <c r="AP951">
        <v>42000</v>
      </c>
      <c r="AV951">
        <v>1.97</v>
      </c>
      <c r="AW951" t="s">
        <v>227</v>
      </c>
      <c r="AX951" t="s">
        <v>62</v>
      </c>
    </row>
    <row r="952" spans="1:50">
      <c r="A952" s="1">
        <f>HYPERLINK("https://lsnyc.legalserver.org/matter/dynamic-profile/view/1905350","19-1905350")</f>
        <v>0</v>
      </c>
      <c r="B952" t="s">
        <v>167</v>
      </c>
      <c r="C952" t="s">
        <v>191</v>
      </c>
      <c r="D952" t="s">
        <v>210</v>
      </c>
      <c r="F952" t="s">
        <v>771</v>
      </c>
      <c r="G952" t="s">
        <v>1847</v>
      </c>
      <c r="H952" t="s">
        <v>2672</v>
      </c>
      <c r="I952" t="s">
        <v>2826</v>
      </c>
      <c r="J952" t="s">
        <v>3163</v>
      </c>
      <c r="K952">
        <v>11422</v>
      </c>
      <c r="L952" t="s">
        <v>3185</v>
      </c>
      <c r="M952" t="s">
        <v>3189</v>
      </c>
      <c r="N952" t="s">
        <v>3186</v>
      </c>
      <c r="O952" t="s">
        <v>3542</v>
      </c>
      <c r="P952" t="s">
        <v>3613</v>
      </c>
      <c r="Q952" t="s">
        <v>3634</v>
      </c>
      <c r="T952" t="s">
        <v>3660</v>
      </c>
      <c r="U952" t="s">
        <v>3184</v>
      </c>
      <c r="W952" t="s">
        <v>3670</v>
      </c>
      <c r="X952" t="s">
        <v>3681</v>
      </c>
      <c r="Y952">
        <v>1300</v>
      </c>
      <c r="Z952" t="s">
        <v>3688</v>
      </c>
      <c r="AA952" t="s">
        <v>3698</v>
      </c>
      <c r="AC952" t="s">
        <v>4579</v>
      </c>
      <c r="AE952" t="s">
        <v>5643</v>
      </c>
      <c r="AF952">
        <v>2</v>
      </c>
      <c r="AG952" t="s">
        <v>5814</v>
      </c>
      <c r="AH952" t="s">
        <v>3188</v>
      </c>
      <c r="AI952">
        <v>10</v>
      </c>
      <c r="AJ952">
        <v>1</v>
      </c>
      <c r="AK952">
        <v>0</v>
      </c>
      <c r="AL952">
        <v>40.03</v>
      </c>
      <c r="AO952" t="s">
        <v>5843</v>
      </c>
      <c r="AP952">
        <v>5000</v>
      </c>
      <c r="AV952">
        <v>2.35</v>
      </c>
      <c r="AW952" t="s">
        <v>225</v>
      </c>
      <c r="AX952" t="s">
        <v>6028</v>
      </c>
    </row>
    <row r="953" spans="1:50">
      <c r="A953" s="1">
        <f>HYPERLINK("https://lsnyc.legalserver.org/matter/dynamic-profile/view/1865239","18-1865239")</f>
        <v>0</v>
      </c>
      <c r="B953" t="s">
        <v>174</v>
      </c>
      <c r="C953" t="s">
        <v>192</v>
      </c>
      <c r="D953" t="s">
        <v>404</v>
      </c>
      <c r="E953" t="s">
        <v>265</v>
      </c>
      <c r="F953" t="s">
        <v>1066</v>
      </c>
      <c r="G953" t="s">
        <v>1848</v>
      </c>
      <c r="H953" t="s">
        <v>2673</v>
      </c>
      <c r="I953" t="s">
        <v>2838</v>
      </c>
      <c r="J953" t="s">
        <v>3182</v>
      </c>
      <c r="K953">
        <v>11427</v>
      </c>
      <c r="L953" t="s">
        <v>3185</v>
      </c>
      <c r="M953" t="s">
        <v>3189</v>
      </c>
      <c r="N953" t="s">
        <v>3186</v>
      </c>
      <c r="O953" t="s">
        <v>3543</v>
      </c>
      <c r="P953" t="s">
        <v>3610</v>
      </c>
      <c r="Q953" t="s">
        <v>3634</v>
      </c>
      <c r="R953" t="s">
        <v>3642</v>
      </c>
      <c r="S953" t="s">
        <v>265</v>
      </c>
      <c r="T953" t="s">
        <v>3660</v>
      </c>
      <c r="U953" t="s">
        <v>3184</v>
      </c>
      <c r="W953" t="s">
        <v>3670</v>
      </c>
      <c r="X953" t="s">
        <v>3681</v>
      </c>
      <c r="Y953">
        <v>1044</v>
      </c>
      <c r="Z953" t="s">
        <v>3688</v>
      </c>
      <c r="AA953" t="s">
        <v>3632</v>
      </c>
      <c r="AB953" t="s">
        <v>3712</v>
      </c>
      <c r="AC953" t="s">
        <v>4580</v>
      </c>
      <c r="AE953" t="s">
        <v>5644</v>
      </c>
      <c r="AF953">
        <v>21</v>
      </c>
      <c r="AG953" t="s">
        <v>5813</v>
      </c>
      <c r="AH953" t="s">
        <v>3632</v>
      </c>
      <c r="AI953">
        <v>40</v>
      </c>
      <c r="AJ953">
        <v>2</v>
      </c>
      <c r="AK953">
        <v>0</v>
      </c>
      <c r="AL953">
        <v>482.93</v>
      </c>
      <c r="AO953" t="s">
        <v>5843</v>
      </c>
      <c r="AP953">
        <v>79490.05</v>
      </c>
      <c r="AV953">
        <v>1.1</v>
      </c>
      <c r="AW953" t="s">
        <v>5985</v>
      </c>
      <c r="AX953" t="s">
        <v>174</v>
      </c>
    </row>
    <row r="954" spans="1:50">
      <c r="A954" s="1">
        <f>HYPERLINK("https://lsnyc.legalserver.org/matter/dynamic-profile/view/1901843","19-1901843")</f>
        <v>0</v>
      </c>
      <c r="B954" t="s">
        <v>175</v>
      </c>
      <c r="C954" t="s">
        <v>192</v>
      </c>
      <c r="D954" t="s">
        <v>252</v>
      </c>
      <c r="E954" t="s">
        <v>252</v>
      </c>
      <c r="F954" t="s">
        <v>764</v>
      </c>
      <c r="G954" t="s">
        <v>1366</v>
      </c>
      <c r="H954" t="s">
        <v>2674</v>
      </c>
      <c r="I954" t="s">
        <v>2902</v>
      </c>
      <c r="J954" t="s">
        <v>3147</v>
      </c>
      <c r="K954">
        <v>10460</v>
      </c>
      <c r="L954" t="s">
        <v>3185</v>
      </c>
      <c r="M954" t="s">
        <v>3189</v>
      </c>
      <c r="N954" t="s">
        <v>3186</v>
      </c>
      <c r="O954" t="s">
        <v>3544</v>
      </c>
      <c r="P954" t="s">
        <v>3610</v>
      </c>
      <c r="Q954" t="s">
        <v>3634</v>
      </c>
      <c r="R954" t="s">
        <v>3642</v>
      </c>
      <c r="T954" t="s">
        <v>3660</v>
      </c>
      <c r="U954" t="s">
        <v>3184</v>
      </c>
      <c r="W954" t="s">
        <v>3670</v>
      </c>
      <c r="X954" t="s">
        <v>3682</v>
      </c>
      <c r="Y954">
        <v>25</v>
      </c>
      <c r="Z954" t="s">
        <v>3690</v>
      </c>
      <c r="AB954" t="s">
        <v>3712</v>
      </c>
      <c r="AC954" t="s">
        <v>4581</v>
      </c>
      <c r="AE954" t="s">
        <v>5645</v>
      </c>
      <c r="AF954">
        <v>0</v>
      </c>
      <c r="AG954" t="s">
        <v>5816</v>
      </c>
      <c r="AH954" t="s">
        <v>3632</v>
      </c>
      <c r="AI954">
        <v>21</v>
      </c>
      <c r="AJ954">
        <v>2</v>
      </c>
      <c r="AK954">
        <v>0</v>
      </c>
      <c r="AL954">
        <v>0</v>
      </c>
      <c r="AO954" t="s">
        <v>5843</v>
      </c>
      <c r="AP954">
        <v>0</v>
      </c>
      <c r="AV954">
        <v>0.1</v>
      </c>
      <c r="AW954" t="s">
        <v>252</v>
      </c>
      <c r="AX954" t="s">
        <v>175</v>
      </c>
    </row>
    <row r="955" spans="1:50">
      <c r="A955" s="1">
        <f>HYPERLINK("https://lsnyc.legalserver.org/matter/dynamic-profile/view/1901849","19-1901849")</f>
        <v>0</v>
      </c>
      <c r="B955" t="s">
        <v>175</v>
      </c>
      <c r="C955" t="s">
        <v>192</v>
      </c>
      <c r="D955" t="s">
        <v>252</v>
      </c>
      <c r="E955" t="s">
        <v>252</v>
      </c>
      <c r="F955" t="s">
        <v>1067</v>
      </c>
      <c r="G955" t="s">
        <v>1595</v>
      </c>
      <c r="H955" t="s">
        <v>2675</v>
      </c>
      <c r="J955" t="s">
        <v>3147</v>
      </c>
      <c r="K955">
        <v>10458</v>
      </c>
      <c r="L955" t="s">
        <v>3185</v>
      </c>
      <c r="M955" t="s">
        <v>3189</v>
      </c>
      <c r="N955" t="s">
        <v>3186</v>
      </c>
      <c r="P955" t="s">
        <v>3621</v>
      </c>
      <c r="Q955" t="s">
        <v>3634</v>
      </c>
      <c r="R955" t="s">
        <v>3642</v>
      </c>
      <c r="T955" t="s">
        <v>3660</v>
      </c>
      <c r="U955" t="s">
        <v>3184</v>
      </c>
      <c r="W955" t="s">
        <v>3670</v>
      </c>
      <c r="X955" t="s">
        <v>3684</v>
      </c>
      <c r="Y955">
        <v>0</v>
      </c>
      <c r="Z955" t="s">
        <v>3690</v>
      </c>
      <c r="AB955" t="s">
        <v>3712</v>
      </c>
      <c r="AC955" t="s">
        <v>4582</v>
      </c>
      <c r="AE955" t="s">
        <v>5646</v>
      </c>
      <c r="AF955">
        <v>0</v>
      </c>
      <c r="AG955" t="s">
        <v>5813</v>
      </c>
      <c r="AH955" t="s">
        <v>3188</v>
      </c>
      <c r="AI955">
        <v>2</v>
      </c>
      <c r="AJ955">
        <v>1</v>
      </c>
      <c r="AK955">
        <v>0</v>
      </c>
      <c r="AL955">
        <v>24.02</v>
      </c>
      <c r="AO955" t="s">
        <v>5843</v>
      </c>
      <c r="AP955">
        <v>3000</v>
      </c>
      <c r="AV955">
        <v>0.1</v>
      </c>
      <c r="AW955" t="s">
        <v>252</v>
      </c>
      <c r="AX955" t="s">
        <v>175</v>
      </c>
    </row>
    <row r="956" spans="1:50">
      <c r="A956" s="1">
        <f>HYPERLINK("https://lsnyc.legalserver.org/matter/dynamic-profile/view/1899008","19-1899008")</f>
        <v>0</v>
      </c>
      <c r="B956" t="s">
        <v>175</v>
      </c>
      <c r="C956" t="s">
        <v>192</v>
      </c>
      <c r="D956" t="s">
        <v>405</v>
      </c>
      <c r="E956" t="s">
        <v>207</v>
      </c>
      <c r="F956" t="s">
        <v>462</v>
      </c>
      <c r="G956" t="s">
        <v>1258</v>
      </c>
      <c r="H956" t="s">
        <v>2676</v>
      </c>
      <c r="I956" t="s">
        <v>3103</v>
      </c>
      <c r="J956" t="s">
        <v>3147</v>
      </c>
      <c r="K956">
        <v>10452</v>
      </c>
      <c r="L956" t="s">
        <v>3185</v>
      </c>
      <c r="M956" t="s">
        <v>3189</v>
      </c>
      <c r="N956" t="s">
        <v>3186</v>
      </c>
      <c r="P956" t="s">
        <v>3610</v>
      </c>
      <c r="Q956" t="s">
        <v>3636</v>
      </c>
      <c r="R956" t="s">
        <v>3642</v>
      </c>
      <c r="T956" t="s">
        <v>3660</v>
      </c>
      <c r="U956" t="s">
        <v>3184</v>
      </c>
      <c r="W956" t="s">
        <v>3670</v>
      </c>
      <c r="X956" t="s">
        <v>3683</v>
      </c>
      <c r="Y956">
        <v>1303</v>
      </c>
      <c r="Z956" t="s">
        <v>3690</v>
      </c>
      <c r="AA956" t="s">
        <v>3706</v>
      </c>
      <c r="AB956" t="s">
        <v>3712</v>
      </c>
      <c r="AC956" t="s">
        <v>4583</v>
      </c>
      <c r="AE956" t="s">
        <v>5647</v>
      </c>
      <c r="AF956">
        <v>105</v>
      </c>
      <c r="AG956" t="s">
        <v>5813</v>
      </c>
      <c r="AH956" t="s">
        <v>5825</v>
      </c>
      <c r="AI956">
        <v>1</v>
      </c>
      <c r="AJ956">
        <v>1</v>
      </c>
      <c r="AK956">
        <v>1</v>
      </c>
      <c r="AL956">
        <v>76.88</v>
      </c>
      <c r="AO956" t="s">
        <v>5844</v>
      </c>
      <c r="AP956">
        <v>12999.99</v>
      </c>
      <c r="AV956">
        <v>1.2</v>
      </c>
      <c r="AW956" t="s">
        <v>240</v>
      </c>
      <c r="AX956" t="s">
        <v>6014</v>
      </c>
    </row>
    <row r="957" spans="1:50">
      <c r="A957" s="1">
        <f>HYPERLINK("https://lsnyc.legalserver.org/matter/dynamic-profile/view/1909584","19-1909584")</f>
        <v>0</v>
      </c>
      <c r="B957" t="s">
        <v>175</v>
      </c>
      <c r="C957" t="s">
        <v>192</v>
      </c>
      <c r="D957" t="s">
        <v>197</v>
      </c>
      <c r="E957" t="s">
        <v>269</v>
      </c>
      <c r="F957" t="s">
        <v>681</v>
      </c>
      <c r="G957" t="s">
        <v>1426</v>
      </c>
      <c r="H957" t="s">
        <v>2179</v>
      </c>
      <c r="I957" t="s">
        <v>2951</v>
      </c>
      <c r="J957" t="s">
        <v>3147</v>
      </c>
      <c r="K957">
        <v>10457</v>
      </c>
      <c r="L957" t="s">
        <v>3185</v>
      </c>
      <c r="M957" t="s">
        <v>3189</v>
      </c>
      <c r="N957" t="s">
        <v>3186</v>
      </c>
      <c r="O957" t="s">
        <v>3545</v>
      </c>
      <c r="P957" t="s">
        <v>3612</v>
      </c>
      <c r="Q957" t="s">
        <v>3634</v>
      </c>
      <c r="R957" t="s">
        <v>3642</v>
      </c>
      <c r="T957" t="s">
        <v>3660</v>
      </c>
      <c r="U957" t="s">
        <v>3184</v>
      </c>
      <c r="W957" t="s">
        <v>3670</v>
      </c>
      <c r="X957" t="s">
        <v>3681</v>
      </c>
      <c r="Y957">
        <v>172</v>
      </c>
      <c r="Z957" t="s">
        <v>3690</v>
      </c>
      <c r="AA957" t="s">
        <v>3704</v>
      </c>
      <c r="AB957" t="s">
        <v>3712</v>
      </c>
      <c r="AC957" t="s">
        <v>4002</v>
      </c>
      <c r="AE957" t="s">
        <v>5648</v>
      </c>
      <c r="AF957">
        <v>0</v>
      </c>
      <c r="AG957" t="s">
        <v>5812</v>
      </c>
      <c r="AH957" t="s">
        <v>5827</v>
      </c>
      <c r="AI957">
        <v>17</v>
      </c>
      <c r="AJ957">
        <v>1</v>
      </c>
      <c r="AK957">
        <v>0</v>
      </c>
      <c r="AL957">
        <v>80.7</v>
      </c>
      <c r="AO957" t="s">
        <v>5843</v>
      </c>
      <c r="AP957">
        <v>10080</v>
      </c>
      <c r="AV957">
        <v>0.2</v>
      </c>
      <c r="AW957" t="s">
        <v>269</v>
      </c>
      <c r="AX957" t="s">
        <v>175</v>
      </c>
    </row>
    <row r="958" spans="1:50">
      <c r="A958" s="1">
        <f>HYPERLINK("https://lsnyc.legalserver.org/matter/dynamic-profile/view/1909579","19-1909579")</f>
        <v>0</v>
      </c>
      <c r="B958" t="s">
        <v>175</v>
      </c>
      <c r="C958" t="s">
        <v>192</v>
      </c>
      <c r="D958" t="s">
        <v>197</v>
      </c>
      <c r="E958" t="s">
        <v>252</v>
      </c>
      <c r="F958" t="s">
        <v>1068</v>
      </c>
      <c r="G958" t="s">
        <v>1849</v>
      </c>
      <c r="H958" t="s">
        <v>2677</v>
      </c>
      <c r="J958" t="s">
        <v>3147</v>
      </c>
      <c r="K958">
        <v>10463</v>
      </c>
      <c r="L958" t="s">
        <v>3185</v>
      </c>
      <c r="M958" t="s">
        <v>3189</v>
      </c>
      <c r="N958" t="s">
        <v>3186</v>
      </c>
      <c r="O958" t="s">
        <v>3218</v>
      </c>
      <c r="P958" t="s">
        <v>3257</v>
      </c>
      <c r="Q958" t="s">
        <v>3634</v>
      </c>
      <c r="R958" t="s">
        <v>3642</v>
      </c>
      <c r="T958" t="s">
        <v>3660</v>
      </c>
      <c r="U958" t="s">
        <v>3184</v>
      </c>
      <c r="W958" t="s">
        <v>3670</v>
      </c>
      <c r="X958" t="s">
        <v>3681</v>
      </c>
      <c r="Y958">
        <v>1200</v>
      </c>
      <c r="Z958" t="s">
        <v>3690</v>
      </c>
      <c r="AA958" t="s">
        <v>3704</v>
      </c>
      <c r="AB958" t="s">
        <v>3712</v>
      </c>
      <c r="AC958" t="s">
        <v>4584</v>
      </c>
      <c r="AE958" t="s">
        <v>4764</v>
      </c>
      <c r="AF958">
        <v>0</v>
      </c>
      <c r="AG958" t="s">
        <v>5810</v>
      </c>
      <c r="AH958" t="s">
        <v>3188</v>
      </c>
      <c r="AI958">
        <v>30</v>
      </c>
      <c r="AJ958">
        <v>1</v>
      </c>
      <c r="AK958">
        <v>0</v>
      </c>
      <c r="AL958">
        <v>199.84</v>
      </c>
      <c r="AO958" t="s">
        <v>5843</v>
      </c>
      <c r="AP958">
        <v>24960</v>
      </c>
      <c r="AV958">
        <v>0.4</v>
      </c>
      <c r="AW958" t="s">
        <v>252</v>
      </c>
      <c r="AX958" t="s">
        <v>175</v>
      </c>
    </row>
    <row r="959" spans="1:50">
      <c r="A959" s="1">
        <f>HYPERLINK("https://lsnyc.legalserver.org/matter/dynamic-profile/view/1901811","19-1901811")</f>
        <v>0</v>
      </c>
      <c r="B959" t="s">
        <v>175</v>
      </c>
      <c r="C959" t="s">
        <v>192</v>
      </c>
      <c r="D959" t="s">
        <v>228</v>
      </c>
      <c r="E959" t="s">
        <v>228</v>
      </c>
      <c r="F959" t="s">
        <v>529</v>
      </c>
      <c r="G959" t="s">
        <v>1850</v>
      </c>
      <c r="H959" t="s">
        <v>2678</v>
      </c>
      <c r="I959" t="s">
        <v>3104</v>
      </c>
      <c r="J959" t="s">
        <v>3147</v>
      </c>
      <c r="K959">
        <v>10452</v>
      </c>
      <c r="L959" t="s">
        <v>3185</v>
      </c>
      <c r="M959" t="s">
        <v>3189</v>
      </c>
      <c r="N959" t="s">
        <v>3186</v>
      </c>
      <c r="P959" t="s">
        <v>3615</v>
      </c>
      <c r="Q959" t="s">
        <v>3634</v>
      </c>
      <c r="R959" t="s">
        <v>3642</v>
      </c>
      <c r="T959" t="s">
        <v>3660</v>
      </c>
      <c r="W959" t="s">
        <v>3670</v>
      </c>
      <c r="X959" t="s">
        <v>3681</v>
      </c>
      <c r="Y959">
        <v>1100</v>
      </c>
      <c r="Z959" t="s">
        <v>3690</v>
      </c>
      <c r="AA959" t="s">
        <v>3700</v>
      </c>
      <c r="AB959" t="s">
        <v>3712</v>
      </c>
      <c r="AC959" t="s">
        <v>4585</v>
      </c>
      <c r="AE959" t="s">
        <v>5649</v>
      </c>
      <c r="AF959">
        <v>0</v>
      </c>
      <c r="AG959" t="s">
        <v>5813</v>
      </c>
      <c r="AH959" t="s">
        <v>3188</v>
      </c>
      <c r="AI959">
        <v>4</v>
      </c>
      <c r="AJ959">
        <v>2</v>
      </c>
      <c r="AK959">
        <v>0</v>
      </c>
      <c r="AL959">
        <v>224.25</v>
      </c>
      <c r="AO959" t="s">
        <v>5844</v>
      </c>
      <c r="AP959">
        <v>37920</v>
      </c>
      <c r="AV959">
        <v>0.2</v>
      </c>
      <c r="AW959" t="s">
        <v>228</v>
      </c>
      <c r="AX959" t="s">
        <v>175</v>
      </c>
    </row>
    <row r="960" spans="1:50">
      <c r="A960" s="1">
        <f>HYPERLINK("https://lsnyc.legalserver.org/matter/dynamic-profile/view/1909534","19-1909534")</f>
        <v>0</v>
      </c>
      <c r="B960" t="s">
        <v>175</v>
      </c>
      <c r="C960" t="s">
        <v>192</v>
      </c>
      <c r="D960" t="s">
        <v>197</v>
      </c>
      <c r="E960" t="s">
        <v>252</v>
      </c>
      <c r="F960" t="s">
        <v>465</v>
      </c>
      <c r="G960" t="s">
        <v>1851</v>
      </c>
      <c r="H960" t="s">
        <v>2679</v>
      </c>
      <c r="I960" t="s">
        <v>3105</v>
      </c>
      <c r="J960" t="s">
        <v>3147</v>
      </c>
      <c r="K960">
        <v>10471</v>
      </c>
      <c r="L960" t="s">
        <v>3185</v>
      </c>
      <c r="M960" t="s">
        <v>3189</v>
      </c>
      <c r="N960" t="s">
        <v>3186</v>
      </c>
      <c r="O960" t="s">
        <v>3218</v>
      </c>
      <c r="P960" t="s">
        <v>3616</v>
      </c>
      <c r="Q960" t="s">
        <v>3634</v>
      </c>
      <c r="R960" t="s">
        <v>3642</v>
      </c>
      <c r="T960" t="s">
        <v>3660</v>
      </c>
      <c r="U960" t="s">
        <v>3184</v>
      </c>
      <c r="W960" t="s">
        <v>3670</v>
      </c>
      <c r="X960" t="s">
        <v>3681</v>
      </c>
      <c r="Y960">
        <v>2400</v>
      </c>
      <c r="Z960" t="s">
        <v>3690</v>
      </c>
      <c r="AA960" t="s">
        <v>3704</v>
      </c>
      <c r="AB960" t="s">
        <v>3712</v>
      </c>
      <c r="AC960" t="s">
        <v>4586</v>
      </c>
      <c r="AE960" t="s">
        <v>5650</v>
      </c>
      <c r="AF960">
        <v>6</v>
      </c>
      <c r="AG960" t="s">
        <v>5813</v>
      </c>
      <c r="AH960" t="s">
        <v>3188</v>
      </c>
      <c r="AI960">
        <v>2</v>
      </c>
      <c r="AJ960">
        <v>1</v>
      </c>
      <c r="AK960">
        <v>1</v>
      </c>
      <c r="AL960">
        <v>443.52</v>
      </c>
      <c r="AO960" t="s">
        <v>5843</v>
      </c>
      <c r="AP960">
        <v>75000</v>
      </c>
      <c r="AV960">
        <v>0.4</v>
      </c>
      <c r="AW960" t="s">
        <v>252</v>
      </c>
      <c r="AX960" t="s">
        <v>175</v>
      </c>
    </row>
    <row r="961" spans="1:50">
      <c r="A961" s="1">
        <f>HYPERLINK("https://lsnyc.legalserver.org/matter/dynamic-profile/view/1903502","19-1903502")</f>
        <v>0</v>
      </c>
      <c r="B961" t="s">
        <v>175</v>
      </c>
      <c r="C961" t="s">
        <v>191</v>
      </c>
      <c r="D961" t="s">
        <v>258</v>
      </c>
      <c r="F961" t="s">
        <v>523</v>
      </c>
      <c r="G961" t="s">
        <v>1369</v>
      </c>
      <c r="H961" t="s">
        <v>2680</v>
      </c>
      <c r="I961" t="s">
        <v>2903</v>
      </c>
      <c r="J961" t="s">
        <v>3147</v>
      </c>
      <c r="K961">
        <v>10453</v>
      </c>
      <c r="L961" t="s">
        <v>3185</v>
      </c>
      <c r="M961" t="s">
        <v>3189</v>
      </c>
      <c r="N961" t="s">
        <v>3186</v>
      </c>
      <c r="O961" t="s">
        <v>3546</v>
      </c>
      <c r="P961" t="s">
        <v>3613</v>
      </c>
      <c r="Q961" t="s">
        <v>3638</v>
      </c>
      <c r="S961" t="s">
        <v>229</v>
      </c>
      <c r="T961" t="s">
        <v>3660</v>
      </c>
      <c r="U961" t="s">
        <v>3184</v>
      </c>
      <c r="W961" t="s">
        <v>3670</v>
      </c>
      <c r="X961" t="s">
        <v>3681</v>
      </c>
      <c r="Y961">
        <v>825</v>
      </c>
      <c r="Z961" t="s">
        <v>3690</v>
      </c>
      <c r="AA961" t="s">
        <v>3632</v>
      </c>
      <c r="AC961" t="s">
        <v>4587</v>
      </c>
      <c r="AE961" t="s">
        <v>5651</v>
      </c>
      <c r="AF961">
        <v>25</v>
      </c>
      <c r="AG961" t="s">
        <v>5813</v>
      </c>
      <c r="AH961" t="s">
        <v>3188</v>
      </c>
      <c r="AI961">
        <v>19</v>
      </c>
      <c r="AJ961">
        <v>1</v>
      </c>
      <c r="AK961">
        <v>0</v>
      </c>
      <c r="AL961">
        <v>199.84</v>
      </c>
      <c r="AO961" t="s">
        <v>5843</v>
      </c>
      <c r="AP961">
        <v>24960</v>
      </c>
      <c r="AV961">
        <v>15.26</v>
      </c>
      <c r="AW961" t="s">
        <v>196</v>
      </c>
      <c r="AX961" t="s">
        <v>6018</v>
      </c>
    </row>
    <row r="962" spans="1:50">
      <c r="A962" s="1">
        <f>HYPERLINK("https://lsnyc.legalserver.org/matter/dynamic-profile/view/1905354","19-1905354")</f>
        <v>0</v>
      </c>
      <c r="B962" t="s">
        <v>175</v>
      </c>
      <c r="C962" t="s">
        <v>191</v>
      </c>
      <c r="D962" t="s">
        <v>210</v>
      </c>
      <c r="F962" t="s">
        <v>831</v>
      </c>
      <c r="G962" t="s">
        <v>1341</v>
      </c>
      <c r="H962" t="s">
        <v>2681</v>
      </c>
      <c r="I962" t="s">
        <v>3106</v>
      </c>
      <c r="J962" t="s">
        <v>3147</v>
      </c>
      <c r="K962">
        <v>10459</v>
      </c>
      <c r="L962" t="s">
        <v>3185</v>
      </c>
      <c r="M962" t="s">
        <v>3190</v>
      </c>
      <c r="N962" t="s">
        <v>3186</v>
      </c>
      <c r="O962" t="s">
        <v>3547</v>
      </c>
      <c r="P962" t="s">
        <v>3613</v>
      </c>
      <c r="Q962" t="s">
        <v>3638</v>
      </c>
      <c r="S962" t="s">
        <v>231</v>
      </c>
      <c r="T962" t="s">
        <v>3660</v>
      </c>
      <c r="W962" t="s">
        <v>3670</v>
      </c>
      <c r="Y962">
        <v>833</v>
      </c>
      <c r="Z962" t="s">
        <v>3690</v>
      </c>
      <c r="AA962" t="s">
        <v>3632</v>
      </c>
      <c r="AC962" t="s">
        <v>4588</v>
      </c>
      <c r="AD962" t="s">
        <v>4857</v>
      </c>
      <c r="AE962" t="s">
        <v>5652</v>
      </c>
      <c r="AF962">
        <v>67</v>
      </c>
      <c r="AG962" t="s">
        <v>5813</v>
      </c>
      <c r="AH962" t="s">
        <v>3188</v>
      </c>
      <c r="AI962">
        <v>14</v>
      </c>
      <c r="AJ962">
        <v>3</v>
      </c>
      <c r="AK962">
        <v>0</v>
      </c>
      <c r="AL962">
        <v>92.70999999999999</v>
      </c>
      <c r="AO962" t="s">
        <v>5844</v>
      </c>
      <c r="AP962">
        <v>19776</v>
      </c>
      <c r="AV962">
        <v>16.7</v>
      </c>
      <c r="AW962" t="s">
        <v>252</v>
      </c>
      <c r="AX962" t="s">
        <v>6006</v>
      </c>
    </row>
    <row r="963" spans="1:50">
      <c r="A963" s="1">
        <f>HYPERLINK("https://lsnyc.legalserver.org/matter/dynamic-profile/view/1904509","19-1904509")</f>
        <v>0</v>
      </c>
      <c r="B963" t="s">
        <v>175</v>
      </c>
      <c r="C963" t="s">
        <v>191</v>
      </c>
      <c r="D963" t="s">
        <v>233</v>
      </c>
      <c r="F963" t="s">
        <v>1069</v>
      </c>
      <c r="G963" t="s">
        <v>1852</v>
      </c>
      <c r="H963" t="s">
        <v>2682</v>
      </c>
      <c r="I963" t="s">
        <v>2852</v>
      </c>
      <c r="J963" t="s">
        <v>3147</v>
      </c>
      <c r="K963">
        <v>10459</v>
      </c>
      <c r="L963" t="s">
        <v>3185</v>
      </c>
      <c r="M963" t="s">
        <v>3190</v>
      </c>
      <c r="N963" t="s">
        <v>3186</v>
      </c>
      <c r="O963" t="s">
        <v>3548</v>
      </c>
      <c r="P963" t="s">
        <v>3610</v>
      </c>
      <c r="Q963" t="s">
        <v>3638</v>
      </c>
      <c r="T963" t="s">
        <v>3660</v>
      </c>
      <c r="U963" t="s">
        <v>3185</v>
      </c>
      <c r="W963" t="s">
        <v>3670</v>
      </c>
      <c r="X963" t="s">
        <v>3681</v>
      </c>
      <c r="Y963">
        <v>450</v>
      </c>
      <c r="Z963" t="s">
        <v>3690</v>
      </c>
      <c r="AA963" t="s">
        <v>3696</v>
      </c>
      <c r="AC963" t="s">
        <v>4589</v>
      </c>
      <c r="AD963" t="s">
        <v>4858</v>
      </c>
      <c r="AE963" t="s">
        <v>5653</v>
      </c>
      <c r="AF963">
        <v>0</v>
      </c>
      <c r="AG963" t="s">
        <v>5812</v>
      </c>
      <c r="AH963" t="s">
        <v>5827</v>
      </c>
      <c r="AI963">
        <v>23</v>
      </c>
      <c r="AJ963">
        <v>2</v>
      </c>
      <c r="AK963">
        <v>2</v>
      </c>
      <c r="AL963">
        <v>65.23999999999999</v>
      </c>
      <c r="AO963" t="s">
        <v>5843</v>
      </c>
      <c r="AP963">
        <v>16800</v>
      </c>
      <c r="AV963">
        <v>4.4</v>
      </c>
      <c r="AW963" t="s">
        <v>253</v>
      </c>
      <c r="AX963" t="s">
        <v>175</v>
      </c>
    </row>
    <row r="964" spans="1:50">
      <c r="A964" s="1">
        <f>HYPERLINK("https://lsnyc.legalserver.org/matter/dynamic-profile/view/1904796","19-1904796")</f>
        <v>0</v>
      </c>
      <c r="B964" t="s">
        <v>175</v>
      </c>
      <c r="C964" t="s">
        <v>191</v>
      </c>
      <c r="D964" t="s">
        <v>245</v>
      </c>
      <c r="F964" t="s">
        <v>691</v>
      </c>
      <c r="G964" t="s">
        <v>1853</v>
      </c>
      <c r="H964" t="s">
        <v>2683</v>
      </c>
      <c r="I964">
        <v>25</v>
      </c>
      <c r="J964" t="s">
        <v>3147</v>
      </c>
      <c r="K964">
        <v>10458</v>
      </c>
      <c r="L964" t="s">
        <v>3185</v>
      </c>
      <c r="M964" t="s">
        <v>3190</v>
      </c>
      <c r="N964" t="s">
        <v>3186</v>
      </c>
      <c r="O964" t="s">
        <v>3549</v>
      </c>
      <c r="P964" t="s">
        <v>3616</v>
      </c>
      <c r="Q964" t="s">
        <v>3639</v>
      </c>
      <c r="T964" t="s">
        <v>3660</v>
      </c>
      <c r="U964" t="s">
        <v>3185</v>
      </c>
      <c r="W964" t="s">
        <v>3670</v>
      </c>
      <c r="Y964">
        <v>1300</v>
      </c>
      <c r="Z964" t="s">
        <v>3690</v>
      </c>
      <c r="AA964" t="s">
        <v>3700</v>
      </c>
      <c r="AC964" t="s">
        <v>4590</v>
      </c>
      <c r="AD964" t="s">
        <v>4859</v>
      </c>
      <c r="AF964">
        <v>48</v>
      </c>
      <c r="AG964" t="s">
        <v>5813</v>
      </c>
      <c r="AH964" t="s">
        <v>3632</v>
      </c>
      <c r="AI964">
        <v>10</v>
      </c>
      <c r="AJ964">
        <v>1</v>
      </c>
      <c r="AK964">
        <v>0</v>
      </c>
      <c r="AL964">
        <v>115.29</v>
      </c>
      <c r="AO964" t="s">
        <v>5843</v>
      </c>
      <c r="AP964">
        <v>14400</v>
      </c>
      <c r="AV964">
        <v>1</v>
      </c>
      <c r="AW964" t="s">
        <v>245</v>
      </c>
      <c r="AX964" t="s">
        <v>166</v>
      </c>
    </row>
    <row r="965" spans="1:50">
      <c r="A965" s="1">
        <f>HYPERLINK("https://lsnyc.legalserver.org/matter/dynamic-profile/view/1904504","19-1904504")</f>
        <v>0</v>
      </c>
      <c r="B965" t="s">
        <v>175</v>
      </c>
      <c r="C965" t="s">
        <v>191</v>
      </c>
      <c r="D965" t="s">
        <v>233</v>
      </c>
      <c r="F965" t="s">
        <v>614</v>
      </c>
      <c r="G965" t="s">
        <v>1854</v>
      </c>
      <c r="H965" t="s">
        <v>2682</v>
      </c>
      <c r="I965" t="s">
        <v>2902</v>
      </c>
      <c r="J965" t="s">
        <v>3147</v>
      </c>
      <c r="K965">
        <v>10459</v>
      </c>
      <c r="L965" t="s">
        <v>3185</v>
      </c>
      <c r="M965" t="s">
        <v>3189</v>
      </c>
      <c r="N965" t="s">
        <v>3186</v>
      </c>
      <c r="P965" t="s">
        <v>3622</v>
      </c>
      <c r="Q965" t="s">
        <v>3635</v>
      </c>
      <c r="T965" t="s">
        <v>3660</v>
      </c>
      <c r="U965" t="s">
        <v>3185</v>
      </c>
      <c r="W965" t="s">
        <v>3674</v>
      </c>
      <c r="Y965">
        <v>466</v>
      </c>
      <c r="Z965" t="s">
        <v>3690</v>
      </c>
      <c r="AA965" t="s">
        <v>3694</v>
      </c>
      <c r="AC965" t="s">
        <v>4591</v>
      </c>
      <c r="AE965" t="s">
        <v>5654</v>
      </c>
      <c r="AF965">
        <v>50</v>
      </c>
      <c r="AG965" t="s">
        <v>5813</v>
      </c>
      <c r="AH965" t="s">
        <v>3632</v>
      </c>
      <c r="AI965">
        <v>1</v>
      </c>
      <c r="AJ965">
        <v>2</v>
      </c>
      <c r="AK965">
        <v>0</v>
      </c>
      <c r="AL965">
        <v>117.45</v>
      </c>
      <c r="AO965" t="s">
        <v>5843</v>
      </c>
      <c r="AP965">
        <v>19860</v>
      </c>
      <c r="AQ965" t="s">
        <v>5925</v>
      </c>
      <c r="AV965">
        <v>5.1</v>
      </c>
      <c r="AW965" t="s">
        <v>252</v>
      </c>
      <c r="AX965" t="s">
        <v>175</v>
      </c>
    </row>
    <row r="966" spans="1:50">
      <c r="A966" s="1">
        <f>HYPERLINK("https://lsnyc.legalserver.org/matter/dynamic-profile/view/1905024","19-1905024")</f>
        <v>0</v>
      </c>
      <c r="B966" t="s">
        <v>175</v>
      </c>
      <c r="C966" t="s">
        <v>191</v>
      </c>
      <c r="D966" t="s">
        <v>218</v>
      </c>
      <c r="F966" t="s">
        <v>1070</v>
      </c>
      <c r="G966" t="s">
        <v>1219</v>
      </c>
      <c r="H966" t="s">
        <v>2684</v>
      </c>
      <c r="I966" t="s">
        <v>2894</v>
      </c>
      <c r="J966" t="s">
        <v>3147</v>
      </c>
      <c r="K966">
        <v>10457</v>
      </c>
      <c r="L966" t="s">
        <v>3185</v>
      </c>
      <c r="M966" t="s">
        <v>3189</v>
      </c>
      <c r="N966" t="s">
        <v>3186</v>
      </c>
      <c r="P966" t="s">
        <v>3628</v>
      </c>
      <c r="Q966" t="s">
        <v>3635</v>
      </c>
      <c r="T966" t="s">
        <v>3660</v>
      </c>
      <c r="U966" t="s">
        <v>3184</v>
      </c>
      <c r="W966" t="s">
        <v>3672</v>
      </c>
      <c r="Y966">
        <v>1303</v>
      </c>
      <c r="Z966" t="s">
        <v>3690</v>
      </c>
      <c r="AA966" t="s">
        <v>3707</v>
      </c>
      <c r="AC966" t="s">
        <v>4592</v>
      </c>
      <c r="AD966" t="s">
        <v>4860</v>
      </c>
      <c r="AE966" t="s">
        <v>5655</v>
      </c>
      <c r="AF966">
        <v>20</v>
      </c>
      <c r="AG966" t="s">
        <v>5813</v>
      </c>
      <c r="AH966" t="s">
        <v>3632</v>
      </c>
      <c r="AI966">
        <v>7</v>
      </c>
      <c r="AJ966">
        <v>2</v>
      </c>
      <c r="AK966">
        <v>0</v>
      </c>
      <c r="AL966">
        <v>162.04</v>
      </c>
      <c r="AO966" t="s">
        <v>5843</v>
      </c>
      <c r="AP966">
        <v>27401.04</v>
      </c>
      <c r="AV966">
        <v>5</v>
      </c>
      <c r="AW966" t="s">
        <v>275</v>
      </c>
      <c r="AX966" t="s">
        <v>175</v>
      </c>
    </row>
    <row r="967" spans="1:50">
      <c r="A967" s="1">
        <f>HYPERLINK("https://lsnyc.legalserver.org/matter/dynamic-profile/view/1908347","19-1908347")</f>
        <v>0</v>
      </c>
      <c r="B967" t="s">
        <v>175</v>
      </c>
      <c r="C967" t="s">
        <v>191</v>
      </c>
      <c r="D967" t="s">
        <v>212</v>
      </c>
      <c r="F967" t="s">
        <v>454</v>
      </c>
      <c r="G967" t="s">
        <v>1855</v>
      </c>
      <c r="H967" t="s">
        <v>2633</v>
      </c>
      <c r="I967" t="s">
        <v>2856</v>
      </c>
      <c r="J967" t="s">
        <v>3147</v>
      </c>
      <c r="K967">
        <v>10452</v>
      </c>
      <c r="L967" t="s">
        <v>3185</v>
      </c>
      <c r="M967" t="s">
        <v>3189</v>
      </c>
      <c r="N967" t="s">
        <v>3186</v>
      </c>
      <c r="P967" t="s">
        <v>3612</v>
      </c>
      <c r="Q967" t="s">
        <v>3638</v>
      </c>
      <c r="T967" t="s">
        <v>3660</v>
      </c>
      <c r="U967" t="s">
        <v>3185</v>
      </c>
      <c r="W967" t="s">
        <v>3670</v>
      </c>
      <c r="Y967">
        <v>1156.92</v>
      </c>
      <c r="Z967" t="s">
        <v>3690</v>
      </c>
      <c r="AA967" t="s">
        <v>3700</v>
      </c>
      <c r="AC967" t="s">
        <v>4593</v>
      </c>
      <c r="AE967" t="s">
        <v>5656</v>
      </c>
      <c r="AF967">
        <v>52</v>
      </c>
      <c r="AG967" t="s">
        <v>5813</v>
      </c>
      <c r="AH967" t="s">
        <v>3188</v>
      </c>
      <c r="AI967">
        <v>16</v>
      </c>
      <c r="AJ967">
        <v>2</v>
      </c>
      <c r="AK967">
        <v>0</v>
      </c>
      <c r="AL967">
        <v>603.1900000000001</v>
      </c>
      <c r="AO967" t="s">
        <v>5843</v>
      </c>
      <c r="AP967">
        <v>102000</v>
      </c>
      <c r="AV967">
        <v>12.9</v>
      </c>
      <c r="AW967" t="s">
        <v>252</v>
      </c>
      <c r="AX967" t="s">
        <v>166</v>
      </c>
    </row>
    <row r="968" spans="1:50">
      <c r="A968" s="1">
        <f>HYPERLINK("https://lsnyc.legalserver.org/matter/dynamic-profile/view/1910321","19-1910321")</f>
        <v>0</v>
      </c>
      <c r="B968" t="s">
        <v>175</v>
      </c>
      <c r="C968" t="s">
        <v>191</v>
      </c>
      <c r="D968" t="s">
        <v>291</v>
      </c>
      <c r="F968" t="s">
        <v>1071</v>
      </c>
      <c r="G968" t="s">
        <v>1856</v>
      </c>
      <c r="H968" t="s">
        <v>2685</v>
      </c>
      <c r="I968">
        <v>23</v>
      </c>
      <c r="J968" t="s">
        <v>3147</v>
      </c>
      <c r="K968">
        <v>10455</v>
      </c>
      <c r="L968" t="s">
        <v>3185</v>
      </c>
      <c r="N968" t="s">
        <v>3186</v>
      </c>
      <c r="O968" t="s">
        <v>3550</v>
      </c>
      <c r="T968" t="s">
        <v>3661</v>
      </c>
      <c r="U968" t="s">
        <v>3184</v>
      </c>
      <c r="W968" t="s">
        <v>3670</v>
      </c>
      <c r="Y968">
        <v>1272</v>
      </c>
      <c r="Z968" t="s">
        <v>3690</v>
      </c>
      <c r="AA968" t="s">
        <v>3706</v>
      </c>
      <c r="AC968" t="s">
        <v>4594</v>
      </c>
      <c r="AE968" t="s">
        <v>5657</v>
      </c>
      <c r="AF968">
        <v>41</v>
      </c>
      <c r="AI968">
        <v>13</v>
      </c>
      <c r="AJ968">
        <v>2</v>
      </c>
      <c r="AK968">
        <v>1</v>
      </c>
      <c r="AL968">
        <v>0</v>
      </c>
      <c r="AO968" t="s">
        <v>5844</v>
      </c>
      <c r="AP968">
        <v>0</v>
      </c>
      <c r="AV968">
        <v>2.2</v>
      </c>
      <c r="AW968" t="s">
        <v>199</v>
      </c>
      <c r="AX968" t="s">
        <v>78</v>
      </c>
    </row>
    <row r="969" spans="1:50">
      <c r="A969" s="1">
        <f>HYPERLINK("https://lsnyc.legalserver.org/matter/dynamic-profile/view/1908129","19-1908129")</f>
        <v>0</v>
      </c>
      <c r="B969" t="s">
        <v>175</v>
      </c>
      <c r="C969" t="s">
        <v>191</v>
      </c>
      <c r="D969" t="s">
        <v>286</v>
      </c>
      <c r="F969" t="s">
        <v>452</v>
      </c>
      <c r="G969" t="s">
        <v>1515</v>
      </c>
      <c r="H969" t="s">
        <v>2686</v>
      </c>
      <c r="I969" t="s">
        <v>2834</v>
      </c>
      <c r="J969" t="s">
        <v>3147</v>
      </c>
      <c r="K969">
        <v>10453</v>
      </c>
      <c r="L969" t="s">
        <v>3185</v>
      </c>
      <c r="M969" t="s">
        <v>3190</v>
      </c>
      <c r="N969" t="s">
        <v>3186</v>
      </c>
      <c r="O969" t="s">
        <v>3551</v>
      </c>
      <c r="P969" t="s">
        <v>3610</v>
      </c>
      <c r="T969" t="s">
        <v>3660</v>
      </c>
      <c r="U969" t="s">
        <v>3184</v>
      </c>
      <c r="W969" t="s">
        <v>3670</v>
      </c>
      <c r="Y969">
        <v>890</v>
      </c>
      <c r="Z969" t="s">
        <v>3690</v>
      </c>
      <c r="AA969" t="s">
        <v>3700</v>
      </c>
      <c r="AC969" t="s">
        <v>4595</v>
      </c>
      <c r="AD969" t="s">
        <v>4861</v>
      </c>
      <c r="AE969" t="s">
        <v>5658</v>
      </c>
      <c r="AF969">
        <v>56</v>
      </c>
      <c r="AG969" t="s">
        <v>3263</v>
      </c>
      <c r="AH969" t="s">
        <v>5826</v>
      </c>
      <c r="AI969">
        <v>41</v>
      </c>
      <c r="AJ969">
        <v>5</v>
      </c>
      <c r="AK969">
        <v>0</v>
      </c>
      <c r="AL969">
        <v>30.98</v>
      </c>
      <c r="AO969" t="s">
        <v>5844</v>
      </c>
      <c r="AP969">
        <v>9348</v>
      </c>
      <c r="AV969">
        <v>0.2</v>
      </c>
      <c r="AW969" t="s">
        <v>207</v>
      </c>
      <c r="AX969" t="s">
        <v>78</v>
      </c>
    </row>
    <row r="970" spans="1:50">
      <c r="A970" s="1">
        <f>HYPERLINK("https://lsnyc.legalserver.org/matter/dynamic-profile/view/1910328","19-1910328")</f>
        <v>0</v>
      </c>
      <c r="B970" t="s">
        <v>175</v>
      </c>
      <c r="C970" t="s">
        <v>191</v>
      </c>
      <c r="D970" t="s">
        <v>291</v>
      </c>
      <c r="F970" t="s">
        <v>661</v>
      </c>
      <c r="G970" t="s">
        <v>1796</v>
      </c>
      <c r="H970" t="s">
        <v>2011</v>
      </c>
      <c r="I970" t="s">
        <v>2932</v>
      </c>
      <c r="J970" t="s">
        <v>3147</v>
      </c>
      <c r="K970">
        <v>10453</v>
      </c>
      <c r="L970" t="s">
        <v>3185</v>
      </c>
      <c r="M970" t="s">
        <v>3189</v>
      </c>
      <c r="N970" t="s">
        <v>3186</v>
      </c>
      <c r="O970" t="s">
        <v>3552</v>
      </c>
      <c r="T970" t="s">
        <v>3660</v>
      </c>
      <c r="U970" t="s">
        <v>3184</v>
      </c>
      <c r="W970" t="s">
        <v>3670</v>
      </c>
      <c r="Y970">
        <v>856.0599999999999</v>
      </c>
      <c r="Z970" t="s">
        <v>3690</v>
      </c>
      <c r="AA970" t="s">
        <v>3696</v>
      </c>
      <c r="AC970" t="s">
        <v>4596</v>
      </c>
      <c r="AE970" t="s">
        <v>5659</v>
      </c>
      <c r="AF970">
        <v>0</v>
      </c>
      <c r="AG970" t="s">
        <v>5813</v>
      </c>
      <c r="AH970" t="s">
        <v>3188</v>
      </c>
      <c r="AI970">
        <v>23</v>
      </c>
      <c r="AJ970">
        <v>2</v>
      </c>
      <c r="AK970">
        <v>2</v>
      </c>
      <c r="AL970">
        <v>37.93</v>
      </c>
      <c r="AO970" t="s">
        <v>5844</v>
      </c>
      <c r="AP970">
        <v>9768</v>
      </c>
      <c r="AV970">
        <v>0.8</v>
      </c>
      <c r="AW970" t="s">
        <v>291</v>
      </c>
      <c r="AX970" t="s">
        <v>83</v>
      </c>
    </row>
    <row r="971" spans="1:50">
      <c r="A971" s="1">
        <f>HYPERLINK("https://lsnyc.legalserver.org/matter/dynamic-profile/view/1901147","19-1901147")</f>
        <v>0</v>
      </c>
      <c r="B971" t="s">
        <v>176</v>
      </c>
      <c r="C971" t="s">
        <v>191</v>
      </c>
      <c r="D971" t="s">
        <v>396</v>
      </c>
      <c r="F971" t="s">
        <v>876</v>
      </c>
      <c r="G971" t="s">
        <v>1857</v>
      </c>
      <c r="H971" t="s">
        <v>2687</v>
      </c>
      <c r="I971" t="s">
        <v>2905</v>
      </c>
      <c r="J971" t="s">
        <v>3148</v>
      </c>
      <c r="K971">
        <v>11215</v>
      </c>
      <c r="L971" t="s">
        <v>3185</v>
      </c>
      <c r="M971" t="s">
        <v>3189</v>
      </c>
      <c r="N971" t="s">
        <v>3186</v>
      </c>
      <c r="P971" t="s">
        <v>3622</v>
      </c>
      <c r="Q971" t="s">
        <v>3635</v>
      </c>
      <c r="S971" t="s">
        <v>229</v>
      </c>
      <c r="T971" t="s">
        <v>3660</v>
      </c>
      <c r="U971" t="s">
        <v>3184</v>
      </c>
      <c r="W971" t="s">
        <v>3670</v>
      </c>
      <c r="Y971">
        <v>985</v>
      </c>
      <c r="Z971" t="s">
        <v>3691</v>
      </c>
      <c r="AA971" t="s">
        <v>3707</v>
      </c>
      <c r="AC971" t="s">
        <v>4597</v>
      </c>
      <c r="AE971" t="s">
        <v>5660</v>
      </c>
      <c r="AF971">
        <v>8</v>
      </c>
      <c r="AG971" t="s">
        <v>5813</v>
      </c>
      <c r="AH971" t="s">
        <v>5826</v>
      </c>
      <c r="AI971">
        <v>39</v>
      </c>
      <c r="AJ971">
        <v>1</v>
      </c>
      <c r="AK971">
        <v>0</v>
      </c>
      <c r="AL971">
        <v>100.4</v>
      </c>
      <c r="AO971" t="s">
        <v>5843</v>
      </c>
      <c r="AP971">
        <v>12540</v>
      </c>
      <c r="AV971">
        <v>14.6</v>
      </c>
      <c r="AW971" t="s">
        <v>227</v>
      </c>
      <c r="AX971" t="s">
        <v>6014</v>
      </c>
    </row>
    <row r="972" spans="1:50">
      <c r="A972" s="1">
        <f>HYPERLINK("https://lsnyc.legalserver.org/matter/dynamic-profile/view/1896149","19-1896149")</f>
        <v>0</v>
      </c>
      <c r="B972" t="s">
        <v>176</v>
      </c>
      <c r="C972" t="s">
        <v>191</v>
      </c>
      <c r="D972" t="s">
        <v>406</v>
      </c>
      <c r="F972" t="s">
        <v>1072</v>
      </c>
      <c r="G972" t="s">
        <v>1858</v>
      </c>
      <c r="H972" t="s">
        <v>2688</v>
      </c>
      <c r="I972">
        <v>3</v>
      </c>
      <c r="J972" t="s">
        <v>3148</v>
      </c>
      <c r="K972">
        <v>11208</v>
      </c>
      <c r="L972" t="s">
        <v>3185</v>
      </c>
      <c r="M972" t="s">
        <v>3189</v>
      </c>
      <c r="N972" t="s">
        <v>3185</v>
      </c>
      <c r="O972" t="s">
        <v>3553</v>
      </c>
      <c r="P972" t="s">
        <v>3613</v>
      </c>
      <c r="Q972" t="s">
        <v>3638</v>
      </c>
      <c r="S972" t="s">
        <v>229</v>
      </c>
      <c r="T972" t="s">
        <v>3660</v>
      </c>
      <c r="U972" t="s">
        <v>3185</v>
      </c>
      <c r="W972" t="s">
        <v>3670</v>
      </c>
      <c r="Y972">
        <v>1300</v>
      </c>
      <c r="Z972" t="s">
        <v>3691</v>
      </c>
      <c r="AC972" t="s">
        <v>4598</v>
      </c>
      <c r="AE972" t="s">
        <v>5661</v>
      </c>
      <c r="AF972">
        <v>4</v>
      </c>
      <c r="AI972">
        <v>9</v>
      </c>
      <c r="AJ972">
        <v>2</v>
      </c>
      <c r="AK972">
        <v>0</v>
      </c>
      <c r="AL972">
        <v>484.92</v>
      </c>
      <c r="AO972" t="s">
        <v>5843</v>
      </c>
      <c r="AP972">
        <v>82000</v>
      </c>
      <c r="AQ972" t="s">
        <v>5926</v>
      </c>
      <c r="AV972">
        <v>1</v>
      </c>
      <c r="AW972" t="s">
        <v>257</v>
      </c>
      <c r="AX972" t="s">
        <v>61</v>
      </c>
    </row>
    <row r="973" spans="1:50">
      <c r="A973" s="1">
        <f>HYPERLINK("https://lsnyc.legalserver.org/matter/dynamic-profile/view/1906057","19-1906057")</f>
        <v>0</v>
      </c>
      <c r="B973" t="s">
        <v>176</v>
      </c>
      <c r="C973" t="s">
        <v>191</v>
      </c>
      <c r="D973" t="s">
        <v>290</v>
      </c>
      <c r="F973" t="s">
        <v>571</v>
      </c>
      <c r="G973" t="s">
        <v>1315</v>
      </c>
      <c r="H973" t="s">
        <v>2689</v>
      </c>
      <c r="I973" t="s">
        <v>3107</v>
      </c>
      <c r="J973" t="s">
        <v>3148</v>
      </c>
      <c r="K973">
        <v>11226</v>
      </c>
      <c r="L973" t="s">
        <v>3185</v>
      </c>
      <c r="N973" t="s">
        <v>3186</v>
      </c>
      <c r="P973" t="s">
        <v>3616</v>
      </c>
      <c r="Q973" t="s">
        <v>3635</v>
      </c>
      <c r="S973" t="s">
        <v>270</v>
      </c>
      <c r="T973" t="s">
        <v>3660</v>
      </c>
      <c r="U973" t="s">
        <v>3185</v>
      </c>
      <c r="W973" t="s">
        <v>3670</v>
      </c>
      <c r="Y973">
        <v>0</v>
      </c>
      <c r="Z973" t="s">
        <v>3691</v>
      </c>
      <c r="AC973" t="s">
        <v>4599</v>
      </c>
      <c r="AE973" t="s">
        <v>5662</v>
      </c>
      <c r="AF973">
        <v>54</v>
      </c>
      <c r="AI973">
        <v>0</v>
      </c>
      <c r="AJ973">
        <v>3</v>
      </c>
      <c r="AK973">
        <v>0</v>
      </c>
      <c r="AL973">
        <v>56.26</v>
      </c>
      <c r="AO973" t="s">
        <v>5847</v>
      </c>
      <c r="AP973">
        <v>12000</v>
      </c>
      <c r="AV973">
        <v>2</v>
      </c>
      <c r="AW973" t="s">
        <v>206</v>
      </c>
      <c r="AX973" t="s">
        <v>6036</v>
      </c>
    </row>
    <row r="974" spans="1:50">
      <c r="A974" s="1">
        <f>HYPERLINK("https://lsnyc.legalserver.org/matter/dynamic-profile/view/1906962","19-1906962")</f>
        <v>0</v>
      </c>
      <c r="B974" t="s">
        <v>176</v>
      </c>
      <c r="C974" t="s">
        <v>191</v>
      </c>
      <c r="D974" t="s">
        <v>226</v>
      </c>
      <c r="F974" t="s">
        <v>709</v>
      </c>
      <c r="G974" t="s">
        <v>1796</v>
      </c>
      <c r="H974" t="s">
        <v>2688</v>
      </c>
      <c r="J974" t="s">
        <v>3148</v>
      </c>
      <c r="K974">
        <v>11208</v>
      </c>
      <c r="L974" t="s">
        <v>3185</v>
      </c>
      <c r="M974" t="s">
        <v>3189</v>
      </c>
      <c r="N974" t="s">
        <v>3186</v>
      </c>
      <c r="P974" t="s">
        <v>3627</v>
      </c>
      <c r="Q974" t="s">
        <v>3639</v>
      </c>
      <c r="S974" t="s">
        <v>226</v>
      </c>
      <c r="T974" t="s">
        <v>3660</v>
      </c>
      <c r="U974" t="s">
        <v>3184</v>
      </c>
      <c r="W974" t="s">
        <v>3670</v>
      </c>
      <c r="Y974">
        <v>0</v>
      </c>
      <c r="Z974" t="s">
        <v>3691</v>
      </c>
      <c r="AC974" t="s">
        <v>4600</v>
      </c>
      <c r="AE974" t="s">
        <v>5663</v>
      </c>
      <c r="AF974">
        <v>4</v>
      </c>
      <c r="AI974">
        <v>0</v>
      </c>
      <c r="AJ974">
        <v>1</v>
      </c>
      <c r="AK974">
        <v>0</v>
      </c>
      <c r="AL974">
        <v>116.54</v>
      </c>
      <c r="AO974" t="s">
        <v>5844</v>
      </c>
      <c r="AP974">
        <v>14556</v>
      </c>
      <c r="AV974">
        <v>0</v>
      </c>
      <c r="AX974" t="s">
        <v>61</v>
      </c>
    </row>
    <row r="975" spans="1:50">
      <c r="A975" s="1">
        <f>HYPERLINK("https://lsnyc.legalserver.org/matter/dynamic-profile/view/1907025","19-1907025")</f>
        <v>0</v>
      </c>
      <c r="B975" t="s">
        <v>176</v>
      </c>
      <c r="C975" t="s">
        <v>191</v>
      </c>
      <c r="D975" t="s">
        <v>281</v>
      </c>
      <c r="F975" t="s">
        <v>629</v>
      </c>
      <c r="G975" t="s">
        <v>1859</v>
      </c>
      <c r="H975" t="s">
        <v>2690</v>
      </c>
      <c r="I975" t="s">
        <v>2923</v>
      </c>
      <c r="J975" t="s">
        <v>3148</v>
      </c>
      <c r="K975">
        <v>11225</v>
      </c>
      <c r="L975" t="s">
        <v>3185</v>
      </c>
      <c r="M975" t="s">
        <v>3189</v>
      </c>
      <c r="N975" t="s">
        <v>3186</v>
      </c>
      <c r="P975" t="s">
        <v>3633</v>
      </c>
      <c r="Q975" t="s">
        <v>3638</v>
      </c>
      <c r="S975" t="s">
        <v>281</v>
      </c>
      <c r="T975" t="s">
        <v>3660</v>
      </c>
      <c r="U975" t="s">
        <v>3184</v>
      </c>
      <c r="W975" t="s">
        <v>3670</v>
      </c>
      <c r="Y975">
        <v>1450</v>
      </c>
      <c r="Z975" t="s">
        <v>3691</v>
      </c>
      <c r="AC975" t="s">
        <v>4601</v>
      </c>
      <c r="AE975" t="s">
        <v>5664</v>
      </c>
      <c r="AF975">
        <v>72</v>
      </c>
      <c r="AI975">
        <v>0</v>
      </c>
      <c r="AJ975">
        <v>3</v>
      </c>
      <c r="AK975">
        <v>0</v>
      </c>
      <c r="AL975">
        <v>70.31999999999999</v>
      </c>
      <c r="AO975" t="s">
        <v>5843</v>
      </c>
      <c r="AP975">
        <v>15000</v>
      </c>
      <c r="AV975">
        <v>33.5</v>
      </c>
      <c r="AW975" t="s">
        <v>231</v>
      </c>
      <c r="AX975" t="s">
        <v>61</v>
      </c>
    </row>
    <row r="976" spans="1:50">
      <c r="A976" s="1">
        <f>HYPERLINK("https://lsnyc.legalserver.org/matter/dynamic-profile/view/0806528","16-0806528")</f>
        <v>0</v>
      </c>
      <c r="B976" t="s">
        <v>136</v>
      </c>
      <c r="C976" t="s">
        <v>192</v>
      </c>
      <c r="D976" t="s">
        <v>407</v>
      </c>
      <c r="E976" t="s">
        <v>194</v>
      </c>
      <c r="H976" t="s">
        <v>2691</v>
      </c>
      <c r="J976" t="s">
        <v>3146</v>
      </c>
      <c r="K976">
        <v>10035</v>
      </c>
      <c r="L976" t="s">
        <v>3186</v>
      </c>
      <c r="N976" t="s">
        <v>3186</v>
      </c>
      <c r="R976" t="s">
        <v>3644</v>
      </c>
      <c r="T976" t="s">
        <v>3660</v>
      </c>
      <c r="W976" t="s">
        <v>3670</v>
      </c>
      <c r="Y976">
        <v>0</v>
      </c>
      <c r="Z976" t="s">
        <v>3689</v>
      </c>
      <c r="AB976" t="s">
        <v>3719</v>
      </c>
      <c r="AF976">
        <v>0</v>
      </c>
      <c r="AI976">
        <v>0</v>
      </c>
      <c r="AJ976">
        <v>0</v>
      </c>
      <c r="AK976">
        <v>0</v>
      </c>
      <c r="AL976">
        <v>0</v>
      </c>
      <c r="AP976">
        <v>0</v>
      </c>
      <c r="AV976">
        <v>128.43</v>
      </c>
      <c r="AW976" t="s">
        <v>6000</v>
      </c>
      <c r="AX976" t="s">
        <v>6060</v>
      </c>
    </row>
    <row r="977" spans="1:50">
      <c r="A977" s="1">
        <f>HYPERLINK("https://lsnyc.legalserver.org/matter/dynamic-profile/view/1905955","19-1905955")</f>
        <v>0</v>
      </c>
      <c r="B977" t="s">
        <v>177</v>
      </c>
      <c r="C977" t="s">
        <v>192</v>
      </c>
      <c r="D977" t="s">
        <v>200</v>
      </c>
      <c r="E977" t="s">
        <v>231</v>
      </c>
      <c r="F977" t="s">
        <v>1073</v>
      </c>
      <c r="G977" t="s">
        <v>1860</v>
      </c>
      <c r="H977" t="s">
        <v>2692</v>
      </c>
      <c r="I977" t="s">
        <v>2838</v>
      </c>
      <c r="J977" t="s">
        <v>3146</v>
      </c>
      <c r="K977">
        <v>10030</v>
      </c>
      <c r="L977" t="s">
        <v>3185</v>
      </c>
      <c r="M977" t="s">
        <v>3189</v>
      </c>
      <c r="N977" t="s">
        <v>3186</v>
      </c>
      <c r="O977" t="s">
        <v>3554</v>
      </c>
      <c r="P977" t="s">
        <v>3613</v>
      </c>
      <c r="Q977" t="s">
        <v>3634</v>
      </c>
      <c r="R977" t="s">
        <v>3642</v>
      </c>
      <c r="T977" t="s">
        <v>3660</v>
      </c>
      <c r="U977" t="s">
        <v>3184</v>
      </c>
      <c r="W977" t="s">
        <v>3670</v>
      </c>
      <c r="X977" t="s">
        <v>3681</v>
      </c>
      <c r="Y977">
        <v>143</v>
      </c>
      <c r="Z977" t="s">
        <v>3689</v>
      </c>
      <c r="AA977" t="s">
        <v>3706</v>
      </c>
      <c r="AB977" t="s">
        <v>3712</v>
      </c>
      <c r="AC977" t="s">
        <v>4602</v>
      </c>
      <c r="AE977" t="s">
        <v>5665</v>
      </c>
      <c r="AF977">
        <v>0</v>
      </c>
      <c r="AG977" t="s">
        <v>5812</v>
      </c>
      <c r="AH977" t="s">
        <v>5834</v>
      </c>
      <c r="AI977">
        <v>40</v>
      </c>
      <c r="AJ977">
        <v>1</v>
      </c>
      <c r="AK977">
        <v>0</v>
      </c>
      <c r="AL977">
        <v>126.47</v>
      </c>
      <c r="AO977" t="s">
        <v>5843</v>
      </c>
      <c r="AP977">
        <v>15796</v>
      </c>
      <c r="AV977">
        <v>1</v>
      </c>
      <c r="AW977" t="s">
        <v>208</v>
      </c>
      <c r="AX977" t="s">
        <v>6041</v>
      </c>
    </row>
    <row r="978" spans="1:50">
      <c r="A978" s="1">
        <f>HYPERLINK("https://lsnyc.legalserver.org/matter/dynamic-profile/view/1905964","19-1905964")</f>
        <v>0</v>
      </c>
      <c r="B978" t="s">
        <v>177</v>
      </c>
      <c r="C978" t="s">
        <v>191</v>
      </c>
      <c r="D978" t="s">
        <v>200</v>
      </c>
      <c r="F978" t="s">
        <v>799</v>
      </c>
      <c r="G978" t="s">
        <v>1861</v>
      </c>
      <c r="H978" t="s">
        <v>2693</v>
      </c>
      <c r="I978" t="s">
        <v>2829</v>
      </c>
      <c r="J978" t="s">
        <v>3146</v>
      </c>
      <c r="K978">
        <v>10030</v>
      </c>
      <c r="L978" t="s">
        <v>3185</v>
      </c>
      <c r="M978" t="s">
        <v>3189</v>
      </c>
      <c r="N978" t="s">
        <v>3186</v>
      </c>
      <c r="O978" t="s">
        <v>3555</v>
      </c>
      <c r="P978" t="s">
        <v>3613</v>
      </c>
      <c r="Q978" t="s">
        <v>3637</v>
      </c>
      <c r="S978" t="s">
        <v>200</v>
      </c>
      <c r="T978" t="s">
        <v>3660</v>
      </c>
      <c r="U978" t="s">
        <v>3184</v>
      </c>
      <c r="W978" t="s">
        <v>3670</v>
      </c>
      <c r="Y978">
        <v>1130</v>
      </c>
      <c r="Z978" t="s">
        <v>3689</v>
      </c>
      <c r="AA978" t="s">
        <v>3700</v>
      </c>
      <c r="AC978" t="s">
        <v>4603</v>
      </c>
      <c r="AE978" t="s">
        <v>5666</v>
      </c>
      <c r="AF978">
        <v>17</v>
      </c>
      <c r="AG978" t="s">
        <v>5813</v>
      </c>
      <c r="AH978" t="s">
        <v>3188</v>
      </c>
      <c r="AI978">
        <v>10</v>
      </c>
      <c r="AJ978">
        <v>1</v>
      </c>
      <c r="AK978">
        <v>0</v>
      </c>
      <c r="AL978">
        <v>192.15</v>
      </c>
      <c r="AO978" t="s">
        <v>5843</v>
      </c>
      <c r="AP978">
        <v>24000</v>
      </c>
      <c r="AV978">
        <v>0.1</v>
      </c>
      <c r="AW978" t="s">
        <v>200</v>
      </c>
      <c r="AX978" t="s">
        <v>6009</v>
      </c>
    </row>
    <row r="979" spans="1:50">
      <c r="A979" s="1">
        <f>HYPERLINK("https://lsnyc.legalserver.org/matter/dynamic-profile/view/1906841","19-1906841")</f>
        <v>0</v>
      </c>
      <c r="B979" t="s">
        <v>177</v>
      </c>
      <c r="C979" t="s">
        <v>191</v>
      </c>
      <c r="D979" t="s">
        <v>282</v>
      </c>
      <c r="F979" t="s">
        <v>979</v>
      </c>
      <c r="G979" t="s">
        <v>1862</v>
      </c>
      <c r="H979" t="s">
        <v>2694</v>
      </c>
      <c r="I979" t="s">
        <v>2897</v>
      </c>
      <c r="J979" t="s">
        <v>3146</v>
      </c>
      <c r="K979">
        <v>10039</v>
      </c>
      <c r="L979" t="s">
        <v>3185</v>
      </c>
      <c r="M979" t="s">
        <v>3190</v>
      </c>
      <c r="N979" t="s">
        <v>3186</v>
      </c>
      <c r="O979" t="s">
        <v>3556</v>
      </c>
      <c r="P979" t="s">
        <v>3613</v>
      </c>
      <c r="Q979" t="s">
        <v>3637</v>
      </c>
      <c r="S979" t="s">
        <v>282</v>
      </c>
      <c r="T979" t="s">
        <v>3660</v>
      </c>
      <c r="U979" t="s">
        <v>3184</v>
      </c>
      <c r="W979" t="s">
        <v>3670</v>
      </c>
      <c r="Y979">
        <v>500.88</v>
      </c>
      <c r="Z979" t="s">
        <v>3689</v>
      </c>
      <c r="AA979" t="s">
        <v>3698</v>
      </c>
      <c r="AC979" t="s">
        <v>4604</v>
      </c>
      <c r="AD979" t="s">
        <v>4862</v>
      </c>
      <c r="AE979" t="s">
        <v>5667</v>
      </c>
      <c r="AF979">
        <v>10</v>
      </c>
      <c r="AG979" t="s">
        <v>5813</v>
      </c>
      <c r="AH979" t="s">
        <v>3188</v>
      </c>
      <c r="AI979">
        <v>2</v>
      </c>
      <c r="AJ979">
        <v>1</v>
      </c>
      <c r="AK979">
        <v>0</v>
      </c>
      <c r="AL979">
        <v>87.53</v>
      </c>
      <c r="AO979" t="s">
        <v>5843</v>
      </c>
      <c r="AP979">
        <v>10932</v>
      </c>
      <c r="AV979">
        <v>0</v>
      </c>
      <c r="AX979" t="s">
        <v>6009</v>
      </c>
    </row>
    <row r="980" spans="1:50">
      <c r="A980" s="1">
        <f>HYPERLINK("https://lsnyc.legalserver.org/matter/dynamic-profile/view/1905950","19-1905950")</f>
        <v>0</v>
      </c>
      <c r="B980" t="s">
        <v>177</v>
      </c>
      <c r="C980" t="s">
        <v>191</v>
      </c>
      <c r="D980" t="s">
        <v>200</v>
      </c>
      <c r="F980" t="s">
        <v>1074</v>
      </c>
      <c r="G980" t="s">
        <v>1863</v>
      </c>
      <c r="H980" t="s">
        <v>2695</v>
      </c>
      <c r="I980" t="s">
        <v>2829</v>
      </c>
      <c r="J980" t="s">
        <v>3146</v>
      </c>
      <c r="K980">
        <v>10035</v>
      </c>
      <c r="L980" t="s">
        <v>3185</v>
      </c>
      <c r="M980" t="s">
        <v>3189</v>
      </c>
      <c r="N980" t="s">
        <v>3186</v>
      </c>
      <c r="O980" t="s">
        <v>3557</v>
      </c>
      <c r="P980" t="s">
        <v>3610</v>
      </c>
      <c r="Q980" t="s">
        <v>3637</v>
      </c>
      <c r="T980" t="s">
        <v>3660</v>
      </c>
      <c r="U980" t="s">
        <v>3184</v>
      </c>
      <c r="W980" t="s">
        <v>3670</v>
      </c>
      <c r="X980" t="s">
        <v>3683</v>
      </c>
      <c r="Y980">
        <v>1587</v>
      </c>
      <c r="Z980" t="s">
        <v>3689</v>
      </c>
      <c r="AA980" t="s">
        <v>3706</v>
      </c>
      <c r="AC980" t="s">
        <v>4605</v>
      </c>
      <c r="AD980" t="s">
        <v>4863</v>
      </c>
      <c r="AE980" t="s">
        <v>5668</v>
      </c>
      <c r="AF980">
        <v>0</v>
      </c>
      <c r="AG980" t="s">
        <v>5812</v>
      </c>
      <c r="AH980" t="s">
        <v>3188</v>
      </c>
      <c r="AI980">
        <v>5</v>
      </c>
      <c r="AJ980">
        <v>1</v>
      </c>
      <c r="AK980">
        <v>0</v>
      </c>
      <c r="AL980">
        <v>83.39</v>
      </c>
      <c r="AO980" t="s">
        <v>5843</v>
      </c>
      <c r="AP980">
        <v>10416</v>
      </c>
      <c r="AV980">
        <v>0.1</v>
      </c>
      <c r="AW980" t="s">
        <v>200</v>
      </c>
      <c r="AX980" t="s">
        <v>6041</v>
      </c>
    </row>
    <row r="981" spans="1:50">
      <c r="A981" s="1">
        <f>HYPERLINK("https://lsnyc.legalserver.org/matter/dynamic-profile/view/1905933","19-1905933")</f>
        <v>0</v>
      </c>
      <c r="B981" t="s">
        <v>177</v>
      </c>
      <c r="C981" t="s">
        <v>191</v>
      </c>
      <c r="D981" t="s">
        <v>200</v>
      </c>
      <c r="F981" t="s">
        <v>1075</v>
      </c>
      <c r="G981" t="s">
        <v>1864</v>
      </c>
      <c r="H981" t="s">
        <v>2696</v>
      </c>
      <c r="I981" t="s">
        <v>2829</v>
      </c>
      <c r="J981" t="s">
        <v>3146</v>
      </c>
      <c r="K981">
        <v>10035</v>
      </c>
      <c r="L981" t="s">
        <v>3185</v>
      </c>
      <c r="M981" t="s">
        <v>3189</v>
      </c>
      <c r="N981" t="s">
        <v>3186</v>
      </c>
      <c r="O981" t="s">
        <v>3558</v>
      </c>
      <c r="P981" t="s">
        <v>3613</v>
      </c>
      <c r="Q981" t="s">
        <v>3637</v>
      </c>
      <c r="T981" t="s">
        <v>3660</v>
      </c>
      <c r="U981" t="s">
        <v>3184</v>
      </c>
      <c r="W981" t="s">
        <v>3670</v>
      </c>
      <c r="Y981">
        <v>1139.4</v>
      </c>
      <c r="Z981" t="s">
        <v>3689</v>
      </c>
      <c r="AA981" t="s">
        <v>3700</v>
      </c>
      <c r="AC981" t="s">
        <v>4606</v>
      </c>
      <c r="AE981" t="s">
        <v>5669</v>
      </c>
      <c r="AF981">
        <v>0</v>
      </c>
      <c r="AG981" t="s">
        <v>5813</v>
      </c>
      <c r="AH981" t="s">
        <v>3188</v>
      </c>
      <c r="AI981">
        <v>10</v>
      </c>
      <c r="AJ981">
        <v>2</v>
      </c>
      <c r="AK981">
        <v>1</v>
      </c>
      <c r="AL981">
        <v>131.65</v>
      </c>
      <c r="AO981" t="s">
        <v>5844</v>
      </c>
      <c r="AP981">
        <v>28080</v>
      </c>
      <c r="AV981">
        <v>0.1</v>
      </c>
      <c r="AW981" t="s">
        <v>200</v>
      </c>
      <c r="AX981" t="s">
        <v>6009</v>
      </c>
    </row>
    <row r="982" spans="1:50">
      <c r="A982" s="1">
        <f>HYPERLINK("https://lsnyc.legalserver.org/matter/dynamic-profile/view/1905334","19-1905334")</f>
        <v>0</v>
      </c>
      <c r="B982" t="s">
        <v>178</v>
      </c>
      <c r="C982" t="s">
        <v>191</v>
      </c>
      <c r="D982" t="s">
        <v>210</v>
      </c>
      <c r="F982" t="s">
        <v>1076</v>
      </c>
      <c r="G982" t="s">
        <v>1538</v>
      </c>
      <c r="H982" t="s">
        <v>2697</v>
      </c>
      <c r="I982" t="s">
        <v>2840</v>
      </c>
      <c r="J982" t="s">
        <v>3146</v>
      </c>
      <c r="K982">
        <v>10029</v>
      </c>
      <c r="L982" t="s">
        <v>3186</v>
      </c>
      <c r="N982" t="s">
        <v>3186</v>
      </c>
      <c r="T982" t="s">
        <v>3660</v>
      </c>
      <c r="W982" t="s">
        <v>3679</v>
      </c>
      <c r="Y982">
        <v>0</v>
      </c>
      <c r="Z982" t="s">
        <v>3689</v>
      </c>
      <c r="AC982" t="s">
        <v>4607</v>
      </c>
      <c r="AE982" t="s">
        <v>5670</v>
      </c>
      <c r="AF982">
        <v>0</v>
      </c>
      <c r="AI982">
        <v>0</v>
      </c>
      <c r="AJ982">
        <v>2</v>
      </c>
      <c r="AK982">
        <v>0</v>
      </c>
      <c r="AL982">
        <v>118.27</v>
      </c>
      <c r="AO982" t="s">
        <v>5844</v>
      </c>
      <c r="AP982">
        <v>20000</v>
      </c>
      <c r="AV982">
        <v>0.6</v>
      </c>
      <c r="AW982" t="s">
        <v>196</v>
      </c>
      <c r="AX982" t="s">
        <v>6035</v>
      </c>
    </row>
    <row r="983" spans="1:50">
      <c r="A983" s="1">
        <f>HYPERLINK("https://lsnyc.legalserver.org/matter/dynamic-profile/view/1906134","19-1906134")</f>
        <v>0</v>
      </c>
      <c r="B983" t="s">
        <v>178</v>
      </c>
      <c r="C983" t="s">
        <v>191</v>
      </c>
      <c r="D983" t="s">
        <v>208</v>
      </c>
      <c r="F983" t="s">
        <v>1077</v>
      </c>
      <c r="G983" t="s">
        <v>1453</v>
      </c>
      <c r="H983" t="s">
        <v>2698</v>
      </c>
      <c r="I983" t="s">
        <v>2856</v>
      </c>
      <c r="J983" t="s">
        <v>3146</v>
      </c>
      <c r="K983">
        <v>10027</v>
      </c>
      <c r="L983" t="s">
        <v>3186</v>
      </c>
      <c r="N983" t="s">
        <v>3186</v>
      </c>
      <c r="T983" t="s">
        <v>3660</v>
      </c>
      <c r="W983" t="s">
        <v>3679</v>
      </c>
      <c r="Y983">
        <v>0</v>
      </c>
      <c r="Z983" t="s">
        <v>3689</v>
      </c>
      <c r="AC983" t="s">
        <v>4590</v>
      </c>
      <c r="AE983" t="s">
        <v>5671</v>
      </c>
      <c r="AF983">
        <v>0</v>
      </c>
      <c r="AI983">
        <v>0</v>
      </c>
      <c r="AJ983">
        <v>1</v>
      </c>
      <c r="AK983">
        <v>0</v>
      </c>
      <c r="AL983">
        <v>126.82</v>
      </c>
      <c r="AO983" t="s">
        <v>5843</v>
      </c>
      <c r="AP983">
        <v>15840</v>
      </c>
      <c r="AV983">
        <v>34.8</v>
      </c>
      <c r="AW983" t="s">
        <v>252</v>
      </c>
      <c r="AX983" t="s">
        <v>6035</v>
      </c>
    </row>
    <row r="984" spans="1:50">
      <c r="A984" s="1">
        <f>HYPERLINK("https://lsnyc.legalserver.org/matter/dynamic-profile/view/1904688","19-1904688")</f>
        <v>0</v>
      </c>
      <c r="B984" t="s">
        <v>179</v>
      </c>
      <c r="C984" t="s">
        <v>191</v>
      </c>
      <c r="D984" t="s">
        <v>214</v>
      </c>
      <c r="F984" t="s">
        <v>1078</v>
      </c>
      <c r="G984" t="s">
        <v>1865</v>
      </c>
      <c r="H984" t="s">
        <v>2699</v>
      </c>
      <c r="I984" t="s">
        <v>3108</v>
      </c>
      <c r="J984" t="s">
        <v>3146</v>
      </c>
      <c r="K984">
        <v>10128</v>
      </c>
      <c r="L984" t="s">
        <v>3185</v>
      </c>
      <c r="M984" t="s">
        <v>3190</v>
      </c>
      <c r="N984" t="s">
        <v>3186</v>
      </c>
      <c r="O984" t="s">
        <v>3559</v>
      </c>
      <c r="P984" t="s">
        <v>3613</v>
      </c>
      <c r="Q984" t="s">
        <v>3638</v>
      </c>
      <c r="S984" t="s">
        <v>214</v>
      </c>
      <c r="T984" t="s">
        <v>3660</v>
      </c>
      <c r="U984" t="s">
        <v>3184</v>
      </c>
      <c r="W984" t="s">
        <v>3670</v>
      </c>
      <c r="Y984">
        <v>918</v>
      </c>
      <c r="Z984" t="s">
        <v>3689</v>
      </c>
      <c r="AA984" t="s">
        <v>3700</v>
      </c>
      <c r="AC984" t="s">
        <v>4608</v>
      </c>
      <c r="AD984" t="s">
        <v>4864</v>
      </c>
      <c r="AE984" t="s">
        <v>5672</v>
      </c>
      <c r="AF984">
        <v>37</v>
      </c>
      <c r="AG984" t="s">
        <v>5813</v>
      </c>
      <c r="AH984" t="s">
        <v>5831</v>
      </c>
      <c r="AI984">
        <v>21</v>
      </c>
      <c r="AJ984">
        <v>1</v>
      </c>
      <c r="AK984">
        <v>0</v>
      </c>
      <c r="AL984">
        <v>37.89</v>
      </c>
      <c r="AO984" t="s">
        <v>5843</v>
      </c>
      <c r="AP984">
        <v>4732</v>
      </c>
      <c r="AV984">
        <v>8.800000000000001</v>
      </c>
      <c r="AW984" t="s">
        <v>275</v>
      </c>
      <c r="AX984" t="s">
        <v>6009</v>
      </c>
    </row>
    <row r="985" spans="1:50">
      <c r="A985" s="1">
        <f>HYPERLINK("https://lsnyc.legalserver.org/matter/dynamic-profile/view/1909043","19-1909043")</f>
        <v>0</v>
      </c>
      <c r="B985" t="s">
        <v>178</v>
      </c>
      <c r="C985" t="s">
        <v>191</v>
      </c>
      <c r="D985" t="s">
        <v>207</v>
      </c>
      <c r="F985" t="s">
        <v>1079</v>
      </c>
      <c r="G985" t="s">
        <v>1866</v>
      </c>
      <c r="H985" t="s">
        <v>2700</v>
      </c>
      <c r="I985" t="s">
        <v>2900</v>
      </c>
      <c r="J985" t="s">
        <v>3146</v>
      </c>
      <c r="K985">
        <v>10027</v>
      </c>
      <c r="L985" t="s">
        <v>3186</v>
      </c>
      <c r="N985" t="s">
        <v>3186</v>
      </c>
      <c r="T985" t="s">
        <v>3660</v>
      </c>
      <c r="W985" t="s">
        <v>3679</v>
      </c>
      <c r="Y985">
        <v>0</v>
      </c>
      <c r="Z985" t="s">
        <v>3689</v>
      </c>
      <c r="AC985" t="s">
        <v>4609</v>
      </c>
      <c r="AE985" t="s">
        <v>5673</v>
      </c>
      <c r="AF985">
        <v>0</v>
      </c>
      <c r="AI985">
        <v>0</v>
      </c>
      <c r="AJ985">
        <v>7</v>
      </c>
      <c r="AK985">
        <v>1</v>
      </c>
      <c r="AL985">
        <v>142.76</v>
      </c>
      <c r="AO985" t="s">
        <v>5843</v>
      </c>
      <c r="AP985">
        <v>62000</v>
      </c>
      <c r="AV985">
        <v>1.5</v>
      </c>
      <c r="AW985" t="s">
        <v>291</v>
      </c>
      <c r="AX985" t="s">
        <v>178</v>
      </c>
    </row>
    <row r="986" spans="1:50">
      <c r="A986" s="1">
        <f>HYPERLINK("https://lsnyc.legalserver.org/matter/dynamic-profile/view/1903779","19-1903779")</f>
        <v>0</v>
      </c>
      <c r="B986" t="s">
        <v>178</v>
      </c>
      <c r="C986" t="s">
        <v>191</v>
      </c>
      <c r="D986" t="s">
        <v>285</v>
      </c>
      <c r="F986" t="s">
        <v>1079</v>
      </c>
      <c r="G986" t="s">
        <v>1866</v>
      </c>
      <c r="H986" t="s">
        <v>2700</v>
      </c>
      <c r="I986" t="s">
        <v>2900</v>
      </c>
      <c r="J986" t="s">
        <v>3146</v>
      </c>
      <c r="K986">
        <v>10027</v>
      </c>
      <c r="L986" t="s">
        <v>3186</v>
      </c>
      <c r="N986" t="s">
        <v>3186</v>
      </c>
      <c r="T986" t="s">
        <v>3660</v>
      </c>
      <c r="W986" t="s">
        <v>3679</v>
      </c>
      <c r="Y986">
        <v>0</v>
      </c>
      <c r="Z986" t="s">
        <v>3689</v>
      </c>
      <c r="AC986" t="s">
        <v>4609</v>
      </c>
      <c r="AE986" t="s">
        <v>5673</v>
      </c>
      <c r="AF986">
        <v>0</v>
      </c>
      <c r="AI986">
        <v>11</v>
      </c>
      <c r="AJ986">
        <v>7</v>
      </c>
      <c r="AK986">
        <v>1</v>
      </c>
      <c r="AL986">
        <v>161.18</v>
      </c>
      <c r="AO986" t="s">
        <v>5843</v>
      </c>
      <c r="AP986">
        <v>70000</v>
      </c>
      <c r="AV986">
        <v>7.9</v>
      </c>
      <c r="AW986" t="s">
        <v>206</v>
      </c>
      <c r="AX986" t="s">
        <v>6035</v>
      </c>
    </row>
    <row r="987" spans="1:50">
      <c r="A987" s="1">
        <f>HYPERLINK("https://lsnyc.legalserver.org/matter/dynamic-profile/view/1863072","18-1863072")</f>
        <v>0</v>
      </c>
      <c r="B987" t="s">
        <v>178</v>
      </c>
      <c r="C987" t="s">
        <v>191</v>
      </c>
      <c r="D987" t="s">
        <v>408</v>
      </c>
      <c r="F987" t="s">
        <v>1076</v>
      </c>
      <c r="G987" t="s">
        <v>1538</v>
      </c>
      <c r="H987" t="s">
        <v>2697</v>
      </c>
      <c r="I987" t="s">
        <v>2840</v>
      </c>
      <c r="J987" t="s">
        <v>3146</v>
      </c>
      <c r="K987">
        <v>10029</v>
      </c>
      <c r="L987" t="s">
        <v>3186</v>
      </c>
      <c r="N987" t="s">
        <v>3186</v>
      </c>
      <c r="P987" t="s">
        <v>3257</v>
      </c>
      <c r="Q987" t="s">
        <v>3635</v>
      </c>
      <c r="T987" t="s">
        <v>3660</v>
      </c>
      <c r="W987" t="s">
        <v>3679</v>
      </c>
      <c r="Y987">
        <v>487</v>
      </c>
      <c r="Z987" t="s">
        <v>3689</v>
      </c>
      <c r="AA987" t="s">
        <v>3707</v>
      </c>
      <c r="AB987" t="s">
        <v>3712</v>
      </c>
      <c r="AC987" t="s">
        <v>4607</v>
      </c>
      <c r="AE987" t="s">
        <v>5670</v>
      </c>
      <c r="AF987">
        <v>0</v>
      </c>
      <c r="AG987" t="s">
        <v>5813</v>
      </c>
      <c r="AI987">
        <v>4</v>
      </c>
      <c r="AJ987">
        <v>2</v>
      </c>
      <c r="AK987">
        <v>0</v>
      </c>
      <c r="AL987">
        <v>121.51</v>
      </c>
      <c r="AO987" t="s">
        <v>5844</v>
      </c>
      <c r="AP987">
        <v>20000</v>
      </c>
      <c r="AV987">
        <v>5.1</v>
      </c>
      <c r="AW987" t="s">
        <v>254</v>
      </c>
      <c r="AX987" t="s">
        <v>6035</v>
      </c>
    </row>
    <row r="988" spans="1:50">
      <c r="A988" s="1">
        <f>HYPERLINK("https://lsnyc.legalserver.org/matter/dynamic-profile/view/1875941","18-1875941")</f>
        <v>0</v>
      </c>
      <c r="B988" t="s">
        <v>152</v>
      </c>
      <c r="C988" t="s">
        <v>191</v>
      </c>
      <c r="D988" t="s">
        <v>297</v>
      </c>
      <c r="F988" t="s">
        <v>1080</v>
      </c>
      <c r="G988" t="s">
        <v>1850</v>
      </c>
      <c r="H988" t="s">
        <v>2701</v>
      </c>
      <c r="I988" t="s">
        <v>2814</v>
      </c>
      <c r="J988" t="s">
        <v>3146</v>
      </c>
      <c r="K988">
        <v>10033</v>
      </c>
      <c r="L988" t="s">
        <v>3186</v>
      </c>
      <c r="N988" t="s">
        <v>3186</v>
      </c>
      <c r="Q988" t="s">
        <v>3636</v>
      </c>
      <c r="T988" t="s">
        <v>3661</v>
      </c>
      <c r="U988" t="s">
        <v>3184</v>
      </c>
      <c r="W988" t="s">
        <v>3670</v>
      </c>
      <c r="Y988">
        <v>0</v>
      </c>
      <c r="Z988" t="s">
        <v>3689</v>
      </c>
      <c r="AC988" t="s">
        <v>4610</v>
      </c>
      <c r="AF988">
        <v>0</v>
      </c>
      <c r="AG988" t="s">
        <v>5813</v>
      </c>
      <c r="AI988">
        <v>15</v>
      </c>
      <c r="AJ988">
        <v>2</v>
      </c>
      <c r="AK988">
        <v>1</v>
      </c>
      <c r="AL988">
        <v>62.56</v>
      </c>
      <c r="AM988" t="s">
        <v>5835</v>
      </c>
      <c r="AN988" t="s">
        <v>5840</v>
      </c>
      <c r="AO988" t="s">
        <v>5844</v>
      </c>
      <c r="AP988">
        <v>13000</v>
      </c>
      <c r="AV988">
        <v>10.6</v>
      </c>
      <c r="AW988" t="s">
        <v>360</v>
      </c>
      <c r="AX988" t="s">
        <v>6061</v>
      </c>
    </row>
    <row r="989" spans="1:50">
      <c r="A989" s="1">
        <f>HYPERLINK("https://lsnyc.legalserver.org/matter/dynamic-profile/view/1908249","19-1908249")</f>
        <v>0</v>
      </c>
      <c r="B989" t="s">
        <v>152</v>
      </c>
      <c r="C989" t="s">
        <v>191</v>
      </c>
      <c r="D989" t="s">
        <v>212</v>
      </c>
      <c r="F989" t="s">
        <v>548</v>
      </c>
      <c r="G989" t="s">
        <v>1867</v>
      </c>
      <c r="H989" t="s">
        <v>2334</v>
      </c>
      <c r="I989" t="s">
        <v>2908</v>
      </c>
      <c r="J989" t="s">
        <v>3146</v>
      </c>
      <c r="K989">
        <v>10034</v>
      </c>
      <c r="L989" t="s">
        <v>3186</v>
      </c>
      <c r="M989" t="s">
        <v>3190</v>
      </c>
      <c r="N989" t="s">
        <v>3186</v>
      </c>
      <c r="O989" t="s">
        <v>3560</v>
      </c>
      <c r="P989" t="s">
        <v>3610</v>
      </c>
      <c r="Q989" t="s">
        <v>3638</v>
      </c>
      <c r="T989" t="s">
        <v>3660</v>
      </c>
      <c r="U989" t="s">
        <v>3184</v>
      </c>
      <c r="W989" t="s">
        <v>3670</v>
      </c>
      <c r="Y989">
        <v>1270</v>
      </c>
      <c r="Z989" t="s">
        <v>3689</v>
      </c>
      <c r="AA989" t="s">
        <v>3696</v>
      </c>
      <c r="AC989" t="s">
        <v>4611</v>
      </c>
      <c r="AD989" t="s">
        <v>4865</v>
      </c>
      <c r="AE989" t="s">
        <v>5674</v>
      </c>
      <c r="AF989">
        <v>44</v>
      </c>
      <c r="AG989" t="s">
        <v>5813</v>
      </c>
      <c r="AI989">
        <v>5</v>
      </c>
      <c r="AJ989">
        <v>1</v>
      </c>
      <c r="AK989">
        <v>0</v>
      </c>
      <c r="AL989">
        <v>80.06</v>
      </c>
      <c r="AO989" t="s">
        <v>5843</v>
      </c>
      <c r="AP989">
        <v>10000</v>
      </c>
      <c r="AV989">
        <v>3.7</v>
      </c>
      <c r="AW989" t="s">
        <v>196</v>
      </c>
      <c r="AX989" t="s">
        <v>6009</v>
      </c>
    </row>
    <row r="990" spans="1:50">
      <c r="A990" s="1">
        <f>HYPERLINK("https://lsnyc.legalserver.org/matter/dynamic-profile/view/1909631","19-1909631")</f>
        <v>0</v>
      </c>
      <c r="B990" t="s">
        <v>158</v>
      </c>
      <c r="C990" t="s">
        <v>192</v>
      </c>
      <c r="D990" t="s">
        <v>275</v>
      </c>
      <c r="E990" t="s">
        <v>275</v>
      </c>
      <c r="F990" t="s">
        <v>478</v>
      </c>
      <c r="G990" t="s">
        <v>1199</v>
      </c>
      <c r="H990" t="s">
        <v>2702</v>
      </c>
      <c r="J990" t="s">
        <v>3148</v>
      </c>
      <c r="K990">
        <v>11233</v>
      </c>
      <c r="L990" t="s">
        <v>3185</v>
      </c>
      <c r="M990" t="s">
        <v>3189</v>
      </c>
      <c r="N990" t="s">
        <v>3186</v>
      </c>
      <c r="O990" t="s">
        <v>3191</v>
      </c>
      <c r="P990" t="s">
        <v>3257</v>
      </c>
      <c r="R990" t="s">
        <v>3642</v>
      </c>
      <c r="T990" t="s">
        <v>3660</v>
      </c>
      <c r="U990" t="s">
        <v>3184</v>
      </c>
      <c r="W990" t="s">
        <v>3670</v>
      </c>
      <c r="X990" t="s">
        <v>3681</v>
      </c>
      <c r="Y990">
        <v>1550</v>
      </c>
      <c r="Z990" t="s">
        <v>3691</v>
      </c>
      <c r="AA990" t="s">
        <v>3697</v>
      </c>
      <c r="AB990" t="s">
        <v>3712</v>
      </c>
      <c r="AC990" t="s">
        <v>4612</v>
      </c>
      <c r="AD990" t="s">
        <v>4866</v>
      </c>
      <c r="AE990" t="s">
        <v>5675</v>
      </c>
      <c r="AF990">
        <v>3</v>
      </c>
      <c r="AG990" t="s">
        <v>3263</v>
      </c>
      <c r="AH990" t="s">
        <v>5829</v>
      </c>
      <c r="AI990">
        <v>4</v>
      </c>
      <c r="AJ990">
        <v>4</v>
      </c>
      <c r="AK990">
        <v>0</v>
      </c>
      <c r="AL990">
        <v>121.17</v>
      </c>
      <c r="AO990" t="s">
        <v>5844</v>
      </c>
      <c r="AP990">
        <v>31200</v>
      </c>
      <c r="AV990">
        <v>0.25</v>
      </c>
      <c r="AW990" t="s">
        <v>275</v>
      </c>
      <c r="AX990" t="s">
        <v>158</v>
      </c>
    </row>
    <row r="991" spans="1:50">
      <c r="A991" s="1">
        <f>HYPERLINK("https://lsnyc.legalserver.org/matter/dynamic-profile/view/1896419","19-1896419")</f>
        <v>0</v>
      </c>
      <c r="B991" t="s">
        <v>98</v>
      </c>
      <c r="C991" t="s">
        <v>191</v>
      </c>
      <c r="D991" t="s">
        <v>409</v>
      </c>
      <c r="F991" t="s">
        <v>508</v>
      </c>
      <c r="G991" t="s">
        <v>1868</v>
      </c>
      <c r="H991" t="s">
        <v>1966</v>
      </c>
      <c r="I991" t="s">
        <v>3109</v>
      </c>
      <c r="J991" t="s">
        <v>3146</v>
      </c>
      <c r="K991">
        <v>10033</v>
      </c>
      <c r="L991" t="s">
        <v>3186</v>
      </c>
      <c r="N991" t="s">
        <v>3186</v>
      </c>
      <c r="P991" t="s">
        <v>3257</v>
      </c>
      <c r="T991" t="s">
        <v>3660</v>
      </c>
      <c r="W991" t="s">
        <v>3670</v>
      </c>
      <c r="Y991">
        <v>3300</v>
      </c>
      <c r="Z991" t="s">
        <v>3689</v>
      </c>
      <c r="AC991" t="s">
        <v>3799</v>
      </c>
      <c r="AE991" t="s">
        <v>4942</v>
      </c>
      <c r="AF991">
        <v>0</v>
      </c>
      <c r="AG991" t="s">
        <v>5813</v>
      </c>
      <c r="AI991">
        <v>1</v>
      </c>
      <c r="AJ991">
        <v>1</v>
      </c>
      <c r="AK991">
        <v>0</v>
      </c>
      <c r="AL991">
        <v>92.06999999999999</v>
      </c>
      <c r="AO991" t="s">
        <v>5843</v>
      </c>
      <c r="AP991">
        <v>11500</v>
      </c>
      <c r="AV991">
        <v>3.2</v>
      </c>
      <c r="AW991" t="s">
        <v>263</v>
      </c>
      <c r="AX991" t="s">
        <v>6035</v>
      </c>
    </row>
    <row r="992" spans="1:50">
      <c r="A992" s="1">
        <f>HYPERLINK("https://lsnyc.legalserver.org/matter/dynamic-profile/view/1897059","19-1897059")</f>
        <v>0</v>
      </c>
      <c r="B992" t="s">
        <v>158</v>
      </c>
      <c r="C992" t="s">
        <v>192</v>
      </c>
      <c r="D992" t="s">
        <v>410</v>
      </c>
      <c r="E992" t="s">
        <v>194</v>
      </c>
      <c r="F992" t="s">
        <v>1081</v>
      </c>
      <c r="G992" t="s">
        <v>1869</v>
      </c>
      <c r="H992" t="s">
        <v>2470</v>
      </c>
      <c r="I992" t="s">
        <v>2858</v>
      </c>
      <c r="J992" t="s">
        <v>3148</v>
      </c>
      <c r="K992">
        <v>11233</v>
      </c>
      <c r="L992" t="s">
        <v>3185</v>
      </c>
      <c r="M992" t="s">
        <v>3190</v>
      </c>
      <c r="N992" t="s">
        <v>3185</v>
      </c>
      <c r="O992" t="s">
        <v>3561</v>
      </c>
      <c r="P992" t="s">
        <v>3610</v>
      </c>
      <c r="Q992" t="s">
        <v>3636</v>
      </c>
      <c r="R992" t="s">
        <v>3643</v>
      </c>
      <c r="T992" t="s">
        <v>3660</v>
      </c>
      <c r="U992" t="s">
        <v>3184</v>
      </c>
      <c r="W992" t="s">
        <v>3670</v>
      </c>
      <c r="X992" t="s">
        <v>3681</v>
      </c>
      <c r="Y992">
        <v>1343.5</v>
      </c>
      <c r="Z992" t="s">
        <v>3691</v>
      </c>
      <c r="AA992" t="s">
        <v>3701</v>
      </c>
      <c r="AB992" t="s">
        <v>3712</v>
      </c>
      <c r="AC992" t="s">
        <v>4613</v>
      </c>
      <c r="AD992" t="s">
        <v>4867</v>
      </c>
      <c r="AE992" t="s">
        <v>5676</v>
      </c>
      <c r="AF992">
        <v>13</v>
      </c>
      <c r="AG992" t="s">
        <v>5813</v>
      </c>
      <c r="AH992" t="s">
        <v>5827</v>
      </c>
      <c r="AI992">
        <v>10</v>
      </c>
      <c r="AJ992">
        <v>1</v>
      </c>
      <c r="AK992">
        <v>2</v>
      </c>
      <c r="AL992">
        <v>47.59</v>
      </c>
      <c r="AO992" t="s">
        <v>5843</v>
      </c>
      <c r="AP992">
        <v>10152</v>
      </c>
      <c r="AQ992" t="s">
        <v>5927</v>
      </c>
      <c r="AV992">
        <v>0.25</v>
      </c>
      <c r="AW992" t="s">
        <v>194</v>
      </c>
      <c r="AX992" t="s">
        <v>158</v>
      </c>
    </row>
    <row r="993" spans="1:50">
      <c r="A993" s="1">
        <f>HYPERLINK("https://lsnyc.legalserver.org/matter/dynamic-profile/view/1896378","19-1896378")</f>
        <v>0</v>
      </c>
      <c r="B993" t="s">
        <v>98</v>
      </c>
      <c r="C993" t="s">
        <v>191</v>
      </c>
      <c r="D993" t="s">
        <v>409</v>
      </c>
      <c r="F993" t="s">
        <v>1082</v>
      </c>
      <c r="G993" t="s">
        <v>1203</v>
      </c>
      <c r="H993" t="s">
        <v>2703</v>
      </c>
      <c r="I993">
        <v>42</v>
      </c>
      <c r="J993" t="s">
        <v>3146</v>
      </c>
      <c r="K993">
        <v>10034</v>
      </c>
      <c r="L993" t="s">
        <v>3186</v>
      </c>
      <c r="N993" t="s">
        <v>3186</v>
      </c>
      <c r="P993" t="s">
        <v>3257</v>
      </c>
      <c r="T993" t="s">
        <v>3660</v>
      </c>
      <c r="W993" t="s">
        <v>3670</v>
      </c>
      <c r="Y993">
        <v>937</v>
      </c>
      <c r="Z993" t="s">
        <v>3689</v>
      </c>
      <c r="AC993" t="s">
        <v>4614</v>
      </c>
      <c r="AE993" t="s">
        <v>5677</v>
      </c>
      <c r="AF993">
        <v>0</v>
      </c>
      <c r="AI993">
        <v>45</v>
      </c>
      <c r="AJ993">
        <v>1</v>
      </c>
      <c r="AK993">
        <v>0</v>
      </c>
      <c r="AL993">
        <v>240.19</v>
      </c>
      <c r="AO993" t="s">
        <v>5843</v>
      </c>
      <c r="AP993">
        <v>30000</v>
      </c>
      <c r="AV993">
        <v>7.65</v>
      </c>
      <c r="AW993" t="s">
        <v>216</v>
      </c>
      <c r="AX993" t="s">
        <v>6035</v>
      </c>
    </row>
    <row r="994" spans="1:50">
      <c r="A994" s="1">
        <f>HYPERLINK("https://lsnyc.legalserver.org/matter/dynamic-profile/view/1896334","19-1896334")</f>
        <v>0</v>
      </c>
      <c r="B994" t="s">
        <v>98</v>
      </c>
      <c r="C994" t="s">
        <v>191</v>
      </c>
      <c r="D994" t="s">
        <v>411</v>
      </c>
      <c r="F994" t="s">
        <v>1083</v>
      </c>
      <c r="G994" t="s">
        <v>1870</v>
      </c>
      <c r="H994" t="s">
        <v>2704</v>
      </c>
      <c r="I994" t="s">
        <v>3066</v>
      </c>
      <c r="J994" t="s">
        <v>3146</v>
      </c>
      <c r="K994">
        <v>10034</v>
      </c>
      <c r="L994" t="s">
        <v>3186</v>
      </c>
      <c r="N994" t="s">
        <v>3186</v>
      </c>
      <c r="O994" t="s">
        <v>3562</v>
      </c>
      <c r="P994" t="s">
        <v>3610</v>
      </c>
      <c r="Q994" t="s">
        <v>3637</v>
      </c>
      <c r="T994" t="s">
        <v>3660</v>
      </c>
      <c r="U994" t="s">
        <v>3184</v>
      </c>
      <c r="W994" t="s">
        <v>3670</v>
      </c>
      <c r="Y994">
        <v>1250</v>
      </c>
      <c r="Z994" t="s">
        <v>3689</v>
      </c>
      <c r="AA994" t="s">
        <v>3697</v>
      </c>
      <c r="AC994" t="s">
        <v>4615</v>
      </c>
      <c r="AF994">
        <v>0</v>
      </c>
      <c r="AG994" t="s">
        <v>5813</v>
      </c>
      <c r="AH994" t="s">
        <v>3188</v>
      </c>
      <c r="AI994">
        <v>13</v>
      </c>
      <c r="AJ994">
        <v>1</v>
      </c>
      <c r="AK994">
        <v>0</v>
      </c>
      <c r="AL994">
        <v>0</v>
      </c>
      <c r="AO994" t="s">
        <v>5844</v>
      </c>
      <c r="AP994">
        <v>0</v>
      </c>
      <c r="AV994">
        <v>1</v>
      </c>
      <c r="AW994" t="s">
        <v>6001</v>
      </c>
      <c r="AX994" t="s">
        <v>6035</v>
      </c>
    </row>
    <row r="995" spans="1:50">
      <c r="A995" s="1">
        <f>HYPERLINK("https://lsnyc.legalserver.org/matter/dynamic-profile/view/1893564","19-1893564")</f>
        <v>0</v>
      </c>
      <c r="B995" t="s">
        <v>98</v>
      </c>
      <c r="C995" t="s">
        <v>191</v>
      </c>
      <c r="D995" t="s">
        <v>360</v>
      </c>
      <c r="F995" t="s">
        <v>691</v>
      </c>
      <c r="G995" t="s">
        <v>1048</v>
      </c>
      <c r="H995" t="s">
        <v>2705</v>
      </c>
      <c r="I995" t="s">
        <v>2881</v>
      </c>
      <c r="J995" t="s">
        <v>3146</v>
      </c>
      <c r="K995">
        <v>10034</v>
      </c>
      <c r="L995" t="s">
        <v>3186</v>
      </c>
      <c r="N995" t="s">
        <v>3186</v>
      </c>
      <c r="O995" t="s">
        <v>3563</v>
      </c>
      <c r="P995" t="s">
        <v>3610</v>
      </c>
      <c r="Q995" t="s">
        <v>3634</v>
      </c>
      <c r="T995" t="s">
        <v>3660</v>
      </c>
      <c r="W995" t="s">
        <v>3670</v>
      </c>
      <c r="Y995">
        <v>1250</v>
      </c>
      <c r="Z995" t="s">
        <v>3689</v>
      </c>
      <c r="AA995" t="s">
        <v>3696</v>
      </c>
      <c r="AC995" t="s">
        <v>4616</v>
      </c>
      <c r="AE995" t="s">
        <v>5678</v>
      </c>
      <c r="AF995">
        <v>33</v>
      </c>
      <c r="AG995" t="s">
        <v>5811</v>
      </c>
      <c r="AH995" t="s">
        <v>5827</v>
      </c>
      <c r="AI995">
        <v>15</v>
      </c>
      <c r="AJ995">
        <v>1</v>
      </c>
      <c r="AK995">
        <v>0</v>
      </c>
      <c r="AL995">
        <v>112.27</v>
      </c>
      <c r="AO995" t="s">
        <v>5843</v>
      </c>
      <c r="AP995">
        <v>14022</v>
      </c>
      <c r="AV995">
        <v>2.6</v>
      </c>
      <c r="AW995" t="s">
        <v>235</v>
      </c>
      <c r="AX995" t="s">
        <v>6014</v>
      </c>
    </row>
    <row r="996" spans="1:50">
      <c r="A996" s="1">
        <f>HYPERLINK("https://lsnyc.legalserver.org/matter/dynamic-profile/view/1867765","18-1867765")</f>
        <v>0</v>
      </c>
      <c r="B996" t="s">
        <v>180</v>
      </c>
      <c r="C996" t="s">
        <v>191</v>
      </c>
      <c r="D996" t="s">
        <v>412</v>
      </c>
      <c r="F996" t="s">
        <v>1084</v>
      </c>
      <c r="G996" t="s">
        <v>1529</v>
      </c>
      <c r="H996" t="s">
        <v>2706</v>
      </c>
      <c r="I996" t="s">
        <v>2819</v>
      </c>
      <c r="J996" t="s">
        <v>3146</v>
      </c>
      <c r="K996">
        <v>10030</v>
      </c>
      <c r="L996" t="s">
        <v>3186</v>
      </c>
      <c r="N996" t="s">
        <v>3186</v>
      </c>
      <c r="T996" t="s">
        <v>3660</v>
      </c>
      <c r="W996" t="s">
        <v>3670</v>
      </c>
      <c r="Y996">
        <v>0</v>
      </c>
      <c r="Z996" t="s">
        <v>3689</v>
      </c>
      <c r="AC996" t="s">
        <v>4617</v>
      </c>
      <c r="AE996" t="s">
        <v>5679</v>
      </c>
      <c r="AF996">
        <v>0</v>
      </c>
      <c r="AI996">
        <v>0</v>
      </c>
      <c r="AJ996">
        <v>1</v>
      </c>
      <c r="AK996">
        <v>1</v>
      </c>
      <c r="AL996">
        <v>118.47</v>
      </c>
      <c r="AO996" t="s">
        <v>5843</v>
      </c>
      <c r="AP996">
        <v>19500</v>
      </c>
      <c r="AV996">
        <v>1.2</v>
      </c>
      <c r="AW996" t="s">
        <v>6002</v>
      </c>
      <c r="AX996" t="s">
        <v>6035</v>
      </c>
    </row>
    <row r="997" spans="1:50">
      <c r="A997" s="1">
        <f>HYPERLINK("https://lsnyc.legalserver.org/matter/dynamic-profile/view/1900422","19-1900422")</f>
        <v>0</v>
      </c>
      <c r="B997" t="s">
        <v>177</v>
      </c>
      <c r="C997" t="s">
        <v>191</v>
      </c>
      <c r="D997" t="s">
        <v>413</v>
      </c>
      <c r="F997" t="s">
        <v>922</v>
      </c>
      <c r="G997" t="s">
        <v>1871</v>
      </c>
      <c r="H997" t="s">
        <v>2707</v>
      </c>
      <c r="J997" t="s">
        <v>3146</v>
      </c>
      <c r="K997">
        <v>10031</v>
      </c>
      <c r="L997" t="s">
        <v>3186</v>
      </c>
      <c r="N997" t="s">
        <v>3186</v>
      </c>
      <c r="P997" t="s">
        <v>3610</v>
      </c>
      <c r="Q997" t="s">
        <v>3638</v>
      </c>
      <c r="T997" t="s">
        <v>3660</v>
      </c>
      <c r="W997" t="s">
        <v>3670</v>
      </c>
      <c r="Y997">
        <v>0</v>
      </c>
      <c r="Z997" t="s">
        <v>3689</v>
      </c>
      <c r="AC997" t="s">
        <v>4618</v>
      </c>
      <c r="AE997" t="s">
        <v>5680</v>
      </c>
      <c r="AF997">
        <v>0</v>
      </c>
      <c r="AI997">
        <v>0</v>
      </c>
      <c r="AJ997">
        <v>1</v>
      </c>
      <c r="AK997">
        <v>0</v>
      </c>
      <c r="AL997">
        <v>181.68</v>
      </c>
      <c r="AO997" t="s">
        <v>5843</v>
      </c>
      <c r="AP997">
        <v>22692</v>
      </c>
      <c r="AV997">
        <v>8.050000000000001</v>
      </c>
      <c r="AW997" t="s">
        <v>213</v>
      </c>
      <c r="AX997" t="s">
        <v>6062</v>
      </c>
    </row>
    <row r="998" spans="1:50">
      <c r="A998" s="1">
        <f>HYPERLINK("https://lsnyc.legalserver.org/matter/dynamic-profile/view/1906737","19-1906737")</f>
        <v>0</v>
      </c>
      <c r="B998" t="s">
        <v>84</v>
      </c>
      <c r="C998" t="s">
        <v>192</v>
      </c>
      <c r="D998" t="s">
        <v>290</v>
      </c>
      <c r="E998" t="s">
        <v>226</v>
      </c>
      <c r="F998" t="s">
        <v>1085</v>
      </c>
      <c r="G998" t="s">
        <v>1327</v>
      </c>
      <c r="H998" t="s">
        <v>2708</v>
      </c>
      <c r="J998" t="s">
        <v>3147</v>
      </c>
      <c r="K998">
        <v>10452</v>
      </c>
      <c r="L998" t="s">
        <v>3185</v>
      </c>
      <c r="M998" t="s">
        <v>3189</v>
      </c>
      <c r="N998" t="s">
        <v>3186</v>
      </c>
      <c r="O998" t="s">
        <v>3564</v>
      </c>
      <c r="P998" t="s">
        <v>3610</v>
      </c>
      <c r="Q998" t="s">
        <v>3634</v>
      </c>
      <c r="R998" t="s">
        <v>3642</v>
      </c>
      <c r="S998" t="s">
        <v>226</v>
      </c>
      <c r="T998" t="s">
        <v>3660</v>
      </c>
      <c r="U998" t="s">
        <v>3184</v>
      </c>
      <c r="W998" t="s">
        <v>3670</v>
      </c>
      <c r="X998" t="s">
        <v>3681</v>
      </c>
      <c r="Y998">
        <v>705.35</v>
      </c>
      <c r="Z998" t="s">
        <v>3690</v>
      </c>
      <c r="AA998" t="s">
        <v>3696</v>
      </c>
      <c r="AB998" t="s">
        <v>3712</v>
      </c>
      <c r="AC998" t="s">
        <v>4619</v>
      </c>
      <c r="AF998">
        <v>55</v>
      </c>
      <c r="AG998" t="s">
        <v>5813</v>
      </c>
      <c r="AI998">
        <v>28</v>
      </c>
      <c r="AJ998">
        <v>1</v>
      </c>
      <c r="AK998">
        <v>0</v>
      </c>
      <c r="AL998">
        <v>0</v>
      </c>
      <c r="AO998" t="s">
        <v>5843</v>
      </c>
      <c r="AP998">
        <v>0</v>
      </c>
      <c r="AV998">
        <v>1</v>
      </c>
      <c r="AW998" t="s">
        <v>270</v>
      </c>
      <c r="AX998" t="s">
        <v>84</v>
      </c>
    </row>
    <row r="999" spans="1:50">
      <c r="A999" s="1">
        <f>HYPERLINK("https://lsnyc.legalserver.org/matter/dynamic-profile/view/1907085","19-1907085")</f>
        <v>0</v>
      </c>
      <c r="B999" t="s">
        <v>84</v>
      </c>
      <c r="C999" t="s">
        <v>192</v>
      </c>
      <c r="D999" t="s">
        <v>281</v>
      </c>
      <c r="E999" t="s">
        <v>231</v>
      </c>
      <c r="F999" t="s">
        <v>1086</v>
      </c>
      <c r="G999" t="s">
        <v>1872</v>
      </c>
      <c r="H999" t="s">
        <v>2709</v>
      </c>
      <c r="J999" t="s">
        <v>3147</v>
      </c>
      <c r="K999">
        <v>10453</v>
      </c>
      <c r="L999" t="s">
        <v>3185</v>
      </c>
      <c r="M999" t="s">
        <v>3189</v>
      </c>
      <c r="N999" t="s">
        <v>3186</v>
      </c>
      <c r="P999" t="s">
        <v>3257</v>
      </c>
      <c r="Q999" t="s">
        <v>3634</v>
      </c>
      <c r="R999" t="s">
        <v>3642</v>
      </c>
      <c r="T999" t="s">
        <v>3660</v>
      </c>
      <c r="U999" t="s">
        <v>3184</v>
      </c>
      <c r="W999" t="s">
        <v>3670</v>
      </c>
      <c r="Y999">
        <v>1129</v>
      </c>
      <c r="Z999" t="s">
        <v>3690</v>
      </c>
      <c r="AA999" t="s">
        <v>3700</v>
      </c>
      <c r="AB999" t="s">
        <v>3712</v>
      </c>
      <c r="AC999" t="s">
        <v>4620</v>
      </c>
      <c r="AF999">
        <v>69</v>
      </c>
      <c r="AG999" t="s">
        <v>3263</v>
      </c>
      <c r="AH999" t="s">
        <v>3188</v>
      </c>
      <c r="AI999">
        <v>37</v>
      </c>
      <c r="AJ999">
        <v>2</v>
      </c>
      <c r="AK999">
        <v>2</v>
      </c>
      <c r="AL999">
        <v>40.92</v>
      </c>
      <c r="AO999" t="s">
        <v>5843</v>
      </c>
      <c r="AP999">
        <v>10536</v>
      </c>
      <c r="AV999">
        <v>1</v>
      </c>
      <c r="AW999" t="s">
        <v>231</v>
      </c>
      <c r="AX999" t="s">
        <v>78</v>
      </c>
    </row>
    <row r="1000" spans="1:50">
      <c r="A1000" s="1">
        <f>HYPERLINK("https://lsnyc.legalserver.org/matter/dynamic-profile/view/1906452","19-1906452")</f>
        <v>0</v>
      </c>
      <c r="B1000" t="s">
        <v>84</v>
      </c>
      <c r="C1000" t="s">
        <v>192</v>
      </c>
      <c r="D1000" t="s">
        <v>212</v>
      </c>
      <c r="E1000" t="s">
        <v>212</v>
      </c>
      <c r="F1000" t="s">
        <v>1087</v>
      </c>
      <c r="G1000" t="s">
        <v>1873</v>
      </c>
      <c r="H1000" t="s">
        <v>2710</v>
      </c>
      <c r="J1000" t="s">
        <v>3147</v>
      </c>
      <c r="K1000">
        <v>10451</v>
      </c>
      <c r="L1000" t="s">
        <v>3185</v>
      </c>
      <c r="N1000" t="s">
        <v>3186</v>
      </c>
      <c r="P1000" t="s">
        <v>3616</v>
      </c>
      <c r="Q1000" t="s">
        <v>3636</v>
      </c>
      <c r="R1000" t="s">
        <v>3642</v>
      </c>
      <c r="T1000" t="s">
        <v>3660</v>
      </c>
      <c r="W1000" t="s">
        <v>3670</v>
      </c>
      <c r="Y1000">
        <v>850</v>
      </c>
      <c r="Z1000" t="s">
        <v>3690</v>
      </c>
      <c r="AB1000" t="s">
        <v>3712</v>
      </c>
      <c r="AC1000" t="s">
        <v>4621</v>
      </c>
      <c r="AF1000">
        <v>101</v>
      </c>
      <c r="AG1000" t="s">
        <v>5813</v>
      </c>
      <c r="AI1000">
        <v>20</v>
      </c>
      <c r="AJ1000">
        <v>1</v>
      </c>
      <c r="AK1000">
        <v>0</v>
      </c>
      <c r="AL1000">
        <v>67.25</v>
      </c>
      <c r="AO1000" t="s">
        <v>5843</v>
      </c>
      <c r="AP1000">
        <v>8400</v>
      </c>
      <c r="AV1000">
        <v>3.75</v>
      </c>
      <c r="AW1000" t="s">
        <v>212</v>
      </c>
      <c r="AX1000" t="s">
        <v>68</v>
      </c>
    </row>
    <row r="1001" spans="1:50">
      <c r="A1001" s="1">
        <f>HYPERLINK("https://lsnyc.legalserver.org/matter/dynamic-profile/view/1905440","19-1905440")</f>
        <v>0</v>
      </c>
      <c r="B1001" t="s">
        <v>84</v>
      </c>
      <c r="C1001" t="s">
        <v>192</v>
      </c>
      <c r="D1001" t="s">
        <v>217</v>
      </c>
      <c r="E1001" t="s">
        <v>260</v>
      </c>
      <c r="F1001" t="s">
        <v>637</v>
      </c>
      <c r="G1001" t="s">
        <v>647</v>
      </c>
      <c r="H1001" t="s">
        <v>2130</v>
      </c>
      <c r="I1001" t="s">
        <v>2897</v>
      </c>
      <c r="J1001" t="s">
        <v>3147</v>
      </c>
      <c r="K1001">
        <v>10456</v>
      </c>
      <c r="L1001" t="s">
        <v>3185</v>
      </c>
      <c r="M1001" t="s">
        <v>3189</v>
      </c>
      <c r="N1001" t="s">
        <v>3186</v>
      </c>
      <c r="Q1001" t="s">
        <v>3634</v>
      </c>
      <c r="R1001" t="s">
        <v>3642</v>
      </c>
      <c r="T1001" t="s">
        <v>3660</v>
      </c>
      <c r="U1001" t="s">
        <v>3184</v>
      </c>
      <c r="W1001" t="s">
        <v>3670</v>
      </c>
      <c r="Y1001">
        <v>255</v>
      </c>
      <c r="Z1001" t="s">
        <v>3690</v>
      </c>
      <c r="AA1001" t="s">
        <v>3700</v>
      </c>
      <c r="AB1001" t="s">
        <v>3712</v>
      </c>
      <c r="AC1001" t="s">
        <v>3947</v>
      </c>
      <c r="AE1001" t="s">
        <v>5075</v>
      </c>
      <c r="AF1001">
        <v>65</v>
      </c>
      <c r="AG1001" t="s">
        <v>3263</v>
      </c>
      <c r="AH1001" t="s">
        <v>3188</v>
      </c>
      <c r="AI1001">
        <v>6</v>
      </c>
      <c r="AJ1001">
        <v>1</v>
      </c>
      <c r="AK1001">
        <v>0</v>
      </c>
      <c r="AL1001">
        <v>76.86</v>
      </c>
      <c r="AP1001">
        <v>9600</v>
      </c>
      <c r="AV1001">
        <v>1</v>
      </c>
      <c r="AW1001" t="s">
        <v>200</v>
      </c>
      <c r="AX1001" t="s">
        <v>6024</v>
      </c>
    </row>
    <row r="1002" spans="1:50">
      <c r="A1002" s="1">
        <f>HYPERLINK("https://lsnyc.legalserver.org/matter/dynamic-profile/view/1905416","19-1905416")</f>
        <v>0</v>
      </c>
      <c r="B1002" t="s">
        <v>84</v>
      </c>
      <c r="C1002" t="s">
        <v>192</v>
      </c>
      <c r="D1002" t="s">
        <v>217</v>
      </c>
      <c r="E1002" t="s">
        <v>203</v>
      </c>
      <c r="F1002" t="s">
        <v>581</v>
      </c>
      <c r="G1002" t="s">
        <v>1874</v>
      </c>
      <c r="H1002" t="s">
        <v>2711</v>
      </c>
      <c r="I1002" t="s">
        <v>3110</v>
      </c>
      <c r="J1002" t="s">
        <v>3147</v>
      </c>
      <c r="K1002">
        <v>10458</v>
      </c>
      <c r="L1002" t="s">
        <v>3185</v>
      </c>
      <c r="M1002" t="s">
        <v>3189</v>
      </c>
      <c r="N1002" t="s">
        <v>3186</v>
      </c>
      <c r="Q1002" t="s">
        <v>3634</v>
      </c>
      <c r="R1002" t="s">
        <v>3642</v>
      </c>
      <c r="T1002" t="s">
        <v>3660</v>
      </c>
      <c r="U1002" t="s">
        <v>3184</v>
      </c>
      <c r="W1002" t="s">
        <v>3670</v>
      </c>
      <c r="Y1002">
        <v>2000</v>
      </c>
      <c r="Z1002" t="s">
        <v>3690</v>
      </c>
      <c r="AA1002" t="s">
        <v>3700</v>
      </c>
      <c r="AB1002" t="s">
        <v>3712</v>
      </c>
      <c r="AC1002" t="s">
        <v>4336</v>
      </c>
      <c r="AE1002" t="s">
        <v>5681</v>
      </c>
      <c r="AF1002">
        <v>36</v>
      </c>
      <c r="AG1002" t="s">
        <v>5813</v>
      </c>
      <c r="AH1002" t="s">
        <v>3188</v>
      </c>
      <c r="AI1002">
        <v>1</v>
      </c>
      <c r="AJ1002">
        <v>1</v>
      </c>
      <c r="AK1002">
        <v>0</v>
      </c>
      <c r="AL1002">
        <v>112.09</v>
      </c>
      <c r="AP1002">
        <v>14000</v>
      </c>
      <c r="AV1002">
        <v>1</v>
      </c>
      <c r="AW1002" t="s">
        <v>202</v>
      </c>
      <c r="AX1002" t="s">
        <v>6024</v>
      </c>
    </row>
    <row r="1003" spans="1:50">
      <c r="A1003" s="1">
        <f>HYPERLINK("https://lsnyc.legalserver.org/matter/dynamic-profile/view/1903631","19-1903631")</f>
        <v>0</v>
      </c>
      <c r="B1003" t="s">
        <v>177</v>
      </c>
      <c r="C1003" t="s">
        <v>191</v>
      </c>
      <c r="D1003" t="s">
        <v>271</v>
      </c>
      <c r="F1003" t="s">
        <v>1088</v>
      </c>
      <c r="G1003" t="s">
        <v>1875</v>
      </c>
      <c r="H1003" t="s">
        <v>2712</v>
      </c>
      <c r="I1003" t="s">
        <v>3111</v>
      </c>
      <c r="J1003" t="s">
        <v>3146</v>
      </c>
      <c r="K1003">
        <v>10021</v>
      </c>
      <c r="L1003" t="s">
        <v>3186</v>
      </c>
      <c r="N1003" t="s">
        <v>3186</v>
      </c>
      <c r="O1003">
        <v>53659</v>
      </c>
      <c r="P1003" t="s">
        <v>3610</v>
      </c>
      <c r="T1003" t="s">
        <v>3660</v>
      </c>
      <c r="W1003" t="s">
        <v>3670</v>
      </c>
      <c r="Y1003">
        <v>830.13</v>
      </c>
      <c r="Z1003" t="s">
        <v>3689</v>
      </c>
      <c r="AC1003" t="s">
        <v>4622</v>
      </c>
      <c r="AE1003" t="s">
        <v>5682</v>
      </c>
      <c r="AF1003">
        <v>0</v>
      </c>
      <c r="AI1003">
        <v>43</v>
      </c>
      <c r="AJ1003">
        <v>1</v>
      </c>
      <c r="AK1003">
        <v>0</v>
      </c>
      <c r="AL1003">
        <v>158.33</v>
      </c>
      <c r="AO1003" t="s">
        <v>5843</v>
      </c>
      <c r="AP1003">
        <v>19776</v>
      </c>
      <c r="AV1003">
        <v>0.8</v>
      </c>
      <c r="AW1003" t="s">
        <v>199</v>
      </c>
      <c r="AX1003" t="s">
        <v>6035</v>
      </c>
    </row>
    <row r="1004" spans="1:50">
      <c r="A1004" s="1">
        <f>HYPERLINK("https://lsnyc.legalserver.org/matter/dynamic-profile/view/1905408","19-1905408")</f>
        <v>0</v>
      </c>
      <c r="B1004" t="s">
        <v>84</v>
      </c>
      <c r="C1004" t="s">
        <v>192</v>
      </c>
      <c r="D1004" t="s">
        <v>217</v>
      </c>
      <c r="E1004" t="s">
        <v>260</v>
      </c>
      <c r="F1004" t="s">
        <v>445</v>
      </c>
      <c r="G1004" t="s">
        <v>1327</v>
      </c>
      <c r="H1004" t="s">
        <v>2713</v>
      </c>
      <c r="I1004" t="s">
        <v>2925</v>
      </c>
      <c r="J1004" t="s">
        <v>3147</v>
      </c>
      <c r="K1004">
        <v>10468</v>
      </c>
      <c r="L1004" t="s">
        <v>3185</v>
      </c>
      <c r="M1004" t="s">
        <v>3189</v>
      </c>
      <c r="N1004" t="s">
        <v>3186</v>
      </c>
      <c r="Q1004" t="s">
        <v>3634</v>
      </c>
      <c r="R1004" t="s">
        <v>3642</v>
      </c>
      <c r="T1004" t="s">
        <v>3660</v>
      </c>
      <c r="U1004" t="s">
        <v>3184</v>
      </c>
      <c r="W1004" t="s">
        <v>3670</v>
      </c>
      <c r="Y1004">
        <v>795.78</v>
      </c>
      <c r="Z1004" t="s">
        <v>3690</v>
      </c>
      <c r="AA1004" t="s">
        <v>3700</v>
      </c>
      <c r="AB1004" t="s">
        <v>3712</v>
      </c>
      <c r="AC1004" t="s">
        <v>4623</v>
      </c>
      <c r="AE1004" t="s">
        <v>5683</v>
      </c>
      <c r="AF1004">
        <v>83</v>
      </c>
      <c r="AG1004" t="s">
        <v>5813</v>
      </c>
      <c r="AH1004" t="s">
        <v>3188</v>
      </c>
      <c r="AI1004">
        <v>33</v>
      </c>
      <c r="AJ1004">
        <v>2</v>
      </c>
      <c r="AK1004">
        <v>0</v>
      </c>
      <c r="AL1004">
        <v>236.55</v>
      </c>
      <c r="AO1004" t="s">
        <v>5843</v>
      </c>
      <c r="AP1004">
        <v>40000</v>
      </c>
      <c r="AV1004">
        <v>1</v>
      </c>
      <c r="AW1004" t="s">
        <v>200</v>
      </c>
      <c r="AX1004" t="s">
        <v>6024</v>
      </c>
    </row>
    <row r="1005" spans="1:50">
      <c r="A1005" s="1">
        <f>HYPERLINK("https://lsnyc.legalserver.org/matter/dynamic-profile/view/1907064","19-1907064")</f>
        <v>0</v>
      </c>
      <c r="B1005" t="s">
        <v>84</v>
      </c>
      <c r="C1005" t="s">
        <v>192</v>
      </c>
      <c r="D1005" t="s">
        <v>281</v>
      </c>
      <c r="E1005" t="s">
        <v>231</v>
      </c>
      <c r="F1005" t="s">
        <v>1089</v>
      </c>
      <c r="G1005" t="s">
        <v>1876</v>
      </c>
      <c r="H1005" t="s">
        <v>2714</v>
      </c>
      <c r="J1005" t="s">
        <v>3147</v>
      </c>
      <c r="K1005">
        <v>10472</v>
      </c>
      <c r="L1005" t="s">
        <v>3185</v>
      </c>
      <c r="M1005" t="s">
        <v>3189</v>
      </c>
      <c r="N1005" t="s">
        <v>3186</v>
      </c>
      <c r="P1005" t="s">
        <v>3257</v>
      </c>
      <c r="Q1005" t="s">
        <v>3634</v>
      </c>
      <c r="R1005" t="s">
        <v>3642</v>
      </c>
      <c r="T1005" t="s">
        <v>3660</v>
      </c>
      <c r="U1005" t="s">
        <v>3184</v>
      </c>
      <c r="W1005" t="s">
        <v>3670</v>
      </c>
      <c r="Y1005">
        <v>702</v>
      </c>
      <c r="Z1005" t="s">
        <v>3690</v>
      </c>
      <c r="AA1005" t="s">
        <v>3700</v>
      </c>
      <c r="AB1005" t="s">
        <v>3712</v>
      </c>
      <c r="AC1005" t="s">
        <v>4624</v>
      </c>
      <c r="AE1005" t="s">
        <v>5684</v>
      </c>
      <c r="AF1005">
        <v>4</v>
      </c>
      <c r="AG1005" t="s">
        <v>5814</v>
      </c>
      <c r="AH1005" t="s">
        <v>5827</v>
      </c>
      <c r="AI1005">
        <v>16</v>
      </c>
      <c r="AJ1005">
        <v>1</v>
      </c>
      <c r="AK1005">
        <v>0</v>
      </c>
      <c r="AL1005">
        <v>248.2</v>
      </c>
      <c r="AO1005" t="s">
        <v>5843</v>
      </c>
      <c r="AP1005">
        <v>31000</v>
      </c>
      <c r="AV1005">
        <v>1</v>
      </c>
      <c r="AW1005" t="s">
        <v>231</v>
      </c>
      <c r="AX1005" t="s">
        <v>78</v>
      </c>
    </row>
    <row r="1006" spans="1:50">
      <c r="A1006" s="1">
        <f>HYPERLINK("https://lsnyc.legalserver.org/matter/dynamic-profile/view/1907100","19-1907100")</f>
        <v>0</v>
      </c>
      <c r="B1006" t="s">
        <v>84</v>
      </c>
      <c r="C1006" t="s">
        <v>192</v>
      </c>
      <c r="D1006" t="s">
        <v>281</v>
      </c>
      <c r="E1006" t="s">
        <v>231</v>
      </c>
      <c r="F1006" t="s">
        <v>1090</v>
      </c>
      <c r="G1006" t="s">
        <v>1877</v>
      </c>
      <c r="H1006" t="s">
        <v>2057</v>
      </c>
      <c r="I1006">
        <v>803</v>
      </c>
      <c r="J1006" t="s">
        <v>3147</v>
      </c>
      <c r="K1006">
        <v>10457</v>
      </c>
      <c r="L1006" t="s">
        <v>3185</v>
      </c>
      <c r="M1006" t="s">
        <v>3189</v>
      </c>
      <c r="N1006" t="s">
        <v>3186</v>
      </c>
      <c r="Q1006" t="s">
        <v>3634</v>
      </c>
      <c r="R1006" t="s">
        <v>3642</v>
      </c>
      <c r="T1006" t="s">
        <v>3660</v>
      </c>
      <c r="U1006" t="s">
        <v>3184</v>
      </c>
      <c r="W1006" t="s">
        <v>3670</v>
      </c>
      <c r="Y1006">
        <v>1000</v>
      </c>
      <c r="Z1006" t="s">
        <v>3690</v>
      </c>
      <c r="AA1006" t="s">
        <v>3700</v>
      </c>
      <c r="AB1006" t="s">
        <v>3712</v>
      </c>
      <c r="AC1006" t="s">
        <v>4625</v>
      </c>
      <c r="AE1006" t="s">
        <v>5685</v>
      </c>
      <c r="AF1006">
        <v>99</v>
      </c>
      <c r="AG1006" t="s">
        <v>5813</v>
      </c>
      <c r="AH1006" t="s">
        <v>3188</v>
      </c>
      <c r="AI1006">
        <v>13</v>
      </c>
      <c r="AJ1006">
        <v>1</v>
      </c>
      <c r="AK1006">
        <v>0</v>
      </c>
      <c r="AL1006">
        <v>416.33</v>
      </c>
      <c r="AO1006" t="s">
        <v>5843</v>
      </c>
      <c r="AP1006">
        <v>52000</v>
      </c>
      <c r="AV1006">
        <v>1</v>
      </c>
      <c r="AW1006" t="s">
        <v>262</v>
      </c>
      <c r="AX1006" t="s">
        <v>78</v>
      </c>
    </row>
    <row r="1007" spans="1:50">
      <c r="A1007" s="1">
        <f>HYPERLINK("https://lsnyc.legalserver.org/matter/dynamic-profile/view/1905412","19-1905412")</f>
        <v>0</v>
      </c>
      <c r="B1007" t="s">
        <v>84</v>
      </c>
      <c r="C1007" t="s">
        <v>192</v>
      </c>
      <c r="D1007" t="s">
        <v>217</v>
      </c>
      <c r="E1007" t="s">
        <v>203</v>
      </c>
      <c r="F1007" t="s">
        <v>1091</v>
      </c>
      <c r="G1007" t="s">
        <v>1206</v>
      </c>
      <c r="H1007" t="s">
        <v>2715</v>
      </c>
      <c r="I1007" t="s">
        <v>2881</v>
      </c>
      <c r="J1007" t="s">
        <v>3147</v>
      </c>
      <c r="K1007">
        <v>10457</v>
      </c>
      <c r="L1007" t="s">
        <v>3185</v>
      </c>
      <c r="M1007" t="s">
        <v>3189</v>
      </c>
      <c r="N1007" t="s">
        <v>3186</v>
      </c>
      <c r="P1007" t="s">
        <v>3616</v>
      </c>
      <c r="Q1007" t="s">
        <v>3634</v>
      </c>
      <c r="R1007" t="s">
        <v>3642</v>
      </c>
      <c r="T1007" t="s">
        <v>3660</v>
      </c>
      <c r="U1007" t="s">
        <v>3184</v>
      </c>
      <c r="W1007" t="s">
        <v>3670</v>
      </c>
      <c r="Y1007">
        <v>885.9299999999999</v>
      </c>
      <c r="Z1007" t="s">
        <v>3690</v>
      </c>
      <c r="AA1007" t="s">
        <v>3700</v>
      </c>
      <c r="AB1007" t="s">
        <v>3712</v>
      </c>
      <c r="AC1007" t="s">
        <v>4626</v>
      </c>
      <c r="AF1007">
        <v>73</v>
      </c>
      <c r="AG1007" t="s">
        <v>5813</v>
      </c>
      <c r="AH1007" t="s">
        <v>3188</v>
      </c>
      <c r="AI1007">
        <v>43</v>
      </c>
      <c r="AJ1007">
        <v>1</v>
      </c>
      <c r="AK1007">
        <v>0</v>
      </c>
      <c r="AL1007">
        <v>480.38</v>
      </c>
      <c r="AO1007" t="s">
        <v>5843</v>
      </c>
      <c r="AP1007">
        <v>60000</v>
      </c>
      <c r="AV1007">
        <v>1.25</v>
      </c>
      <c r="AW1007" t="s">
        <v>203</v>
      </c>
      <c r="AX1007" t="s">
        <v>6024</v>
      </c>
    </row>
    <row r="1008" spans="1:50">
      <c r="A1008" s="1">
        <f>HYPERLINK("https://lsnyc.legalserver.org/matter/dynamic-profile/view/1905438","19-1905438")</f>
        <v>0</v>
      </c>
      <c r="B1008" t="s">
        <v>84</v>
      </c>
      <c r="C1008" t="s">
        <v>192</v>
      </c>
      <c r="D1008" t="s">
        <v>217</v>
      </c>
      <c r="E1008" t="s">
        <v>260</v>
      </c>
      <c r="F1008" t="s">
        <v>1092</v>
      </c>
      <c r="G1008" t="s">
        <v>1878</v>
      </c>
      <c r="H1008" t="s">
        <v>2530</v>
      </c>
      <c r="I1008" t="s">
        <v>2838</v>
      </c>
      <c r="J1008" t="s">
        <v>3147</v>
      </c>
      <c r="K1008">
        <v>10452</v>
      </c>
      <c r="L1008" t="s">
        <v>3185</v>
      </c>
      <c r="M1008" t="s">
        <v>3189</v>
      </c>
      <c r="N1008" t="s">
        <v>3186</v>
      </c>
      <c r="O1008" t="s">
        <v>3218</v>
      </c>
      <c r="P1008" t="s">
        <v>3257</v>
      </c>
      <c r="Q1008" t="s">
        <v>3636</v>
      </c>
      <c r="R1008" t="s">
        <v>3643</v>
      </c>
      <c r="S1008" t="s">
        <v>229</v>
      </c>
      <c r="T1008" t="s">
        <v>3660</v>
      </c>
      <c r="U1008" t="s">
        <v>3184</v>
      </c>
      <c r="W1008" t="s">
        <v>3670</v>
      </c>
      <c r="Y1008">
        <v>718.41</v>
      </c>
      <c r="Z1008" t="s">
        <v>3690</v>
      </c>
      <c r="AA1008" t="s">
        <v>3700</v>
      </c>
      <c r="AB1008" t="s">
        <v>3719</v>
      </c>
      <c r="AC1008" t="s">
        <v>4627</v>
      </c>
      <c r="AE1008" t="s">
        <v>5686</v>
      </c>
      <c r="AF1008">
        <v>61</v>
      </c>
      <c r="AG1008" t="s">
        <v>5813</v>
      </c>
      <c r="AH1008" t="s">
        <v>5826</v>
      </c>
      <c r="AI1008">
        <v>30</v>
      </c>
      <c r="AJ1008">
        <v>1</v>
      </c>
      <c r="AK1008">
        <v>0</v>
      </c>
      <c r="AL1008">
        <v>131.43</v>
      </c>
      <c r="AO1008" t="s">
        <v>5843</v>
      </c>
      <c r="AP1008">
        <v>16416</v>
      </c>
      <c r="AV1008">
        <v>1</v>
      </c>
      <c r="AW1008" t="s">
        <v>200</v>
      </c>
      <c r="AX1008" t="s">
        <v>6024</v>
      </c>
    </row>
    <row r="1009" spans="1:50">
      <c r="A1009" s="1">
        <f>HYPERLINK("https://lsnyc.legalserver.org/matter/dynamic-profile/view/1907109","19-1907109")</f>
        <v>0</v>
      </c>
      <c r="B1009" t="s">
        <v>84</v>
      </c>
      <c r="C1009" t="s">
        <v>192</v>
      </c>
      <c r="D1009" t="s">
        <v>281</v>
      </c>
      <c r="E1009" t="s">
        <v>231</v>
      </c>
      <c r="F1009" t="s">
        <v>1093</v>
      </c>
      <c r="G1009" t="s">
        <v>734</v>
      </c>
      <c r="H1009" t="s">
        <v>2716</v>
      </c>
      <c r="I1009" t="s">
        <v>3001</v>
      </c>
      <c r="J1009" t="s">
        <v>3147</v>
      </c>
      <c r="K1009">
        <v>10468</v>
      </c>
      <c r="L1009" t="s">
        <v>3185</v>
      </c>
      <c r="M1009" t="s">
        <v>3189</v>
      </c>
      <c r="N1009" t="s">
        <v>3186</v>
      </c>
      <c r="Q1009" t="s">
        <v>3636</v>
      </c>
      <c r="R1009" t="s">
        <v>3643</v>
      </c>
      <c r="T1009" t="s">
        <v>3660</v>
      </c>
      <c r="U1009" t="s">
        <v>3184</v>
      </c>
      <c r="W1009" t="s">
        <v>3670</v>
      </c>
      <c r="Y1009">
        <v>1750</v>
      </c>
      <c r="Z1009" t="s">
        <v>3690</v>
      </c>
      <c r="AA1009" t="s">
        <v>3700</v>
      </c>
      <c r="AB1009" t="s">
        <v>3713</v>
      </c>
      <c r="AC1009" t="s">
        <v>4628</v>
      </c>
      <c r="AE1009" t="s">
        <v>5687</v>
      </c>
      <c r="AF1009">
        <v>52</v>
      </c>
      <c r="AG1009" t="s">
        <v>5813</v>
      </c>
      <c r="AH1009" t="s">
        <v>3632</v>
      </c>
      <c r="AI1009">
        <v>0</v>
      </c>
      <c r="AJ1009">
        <v>1</v>
      </c>
      <c r="AK1009">
        <v>0</v>
      </c>
      <c r="AL1009">
        <v>17.59</v>
      </c>
      <c r="AO1009" t="s">
        <v>5843</v>
      </c>
      <c r="AP1009">
        <v>2197</v>
      </c>
      <c r="AV1009">
        <v>1</v>
      </c>
      <c r="AW1009" t="s">
        <v>262</v>
      </c>
      <c r="AX1009" t="s">
        <v>78</v>
      </c>
    </row>
    <row r="1010" spans="1:50">
      <c r="A1010" s="1">
        <f>HYPERLINK("https://lsnyc.legalserver.org/matter/dynamic-profile/view/1905259","19-1905259")</f>
        <v>0</v>
      </c>
      <c r="B1010" t="s">
        <v>84</v>
      </c>
      <c r="C1010" t="s">
        <v>192</v>
      </c>
      <c r="D1010" t="s">
        <v>254</v>
      </c>
      <c r="E1010" t="s">
        <v>208</v>
      </c>
      <c r="F1010" t="s">
        <v>1094</v>
      </c>
      <c r="G1010" t="s">
        <v>1879</v>
      </c>
      <c r="H1010" t="s">
        <v>2717</v>
      </c>
      <c r="I1010" t="s">
        <v>2814</v>
      </c>
      <c r="J1010" t="s">
        <v>3147</v>
      </c>
      <c r="K1010">
        <v>10452</v>
      </c>
      <c r="L1010" t="s">
        <v>3185</v>
      </c>
      <c r="M1010" t="s">
        <v>3189</v>
      </c>
      <c r="N1010" t="s">
        <v>3186</v>
      </c>
      <c r="P1010" t="s">
        <v>3609</v>
      </c>
      <c r="Q1010" t="s">
        <v>3636</v>
      </c>
      <c r="R1010" t="s">
        <v>3643</v>
      </c>
      <c r="T1010" t="s">
        <v>3660</v>
      </c>
      <c r="U1010" t="s">
        <v>3184</v>
      </c>
      <c r="W1010" t="s">
        <v>3670</v>
      </c>
      <c r="X1010" t="s">
        <v>3681</v>
      </c>
      <c r="Y1010">
        <v>1085</v>
      </c>
      <c r="Z1010" t="s">
        <v>3690</v>
      </c>
      <c r="AA1010" t="s">
        <v>3696</v>
      </c>
      <c r="AB1010" t="s">
        <v>3716</v>
      </c>
      <c r="AC1010" t="s">
        <v>3919</v>
      </c>
      <c r="AE1010" t="s">
        <v>5688</v>
      </c>
      <c r="AF1010">
        <v>39</v>
      </c>
      <c r="AG1010" t="s">
        <v>5813</v>
      </c>
      <c r="AH1010" t="s">
        <v>3188</v>
      </c>
      <c r="AI1010">
        <v>20</v>
      </c>
      <c r="AJ1010">
        <v>1</v>
      </c>
      <c r="AK1010">
        <v>0</v>
      </c>
      <c r="AL1010">
        <v>195.11</v>
      </c>
      <c r="AO1010" t="s">
        <v>5843</v>
      </c>
      <c r="AP1010">
        <v>24369</v>
      </c>
      <c r="AV1010">
        <v>1.25</v>
      </c>
      <c r="AW1010" t="s">
        <v>254</v>
      </c>
      <c r="AX1010" t="s">
        <v>166</v>
      </c>
    </row>
    <row r="1011" spans="1:50">
      <c r="A1011" s="1">
        <f>HYPERLINK("https://lsnyc.legalserver.org/matter/dynamic-profile/view/1905415","19-1905415")</f>
        <v>0</v>
      </c>
      <c r="B1011" t="s">
        <v>84</v>
      </c>
      <c r="C1011" t="s">
        <v>192</v>
      </c>
      <c r="D1011" t="s">
        <v>217</v>
      </c>
      <c r="E1011" t="s">
        <v>260</v>
      </c>
      <c r="F1011" t="s">
        <v>1095</v>
      </c>
      <c r="G1011" t="s">
        <v>1191</v>
      </c>
      <c r="H1011" t="s">
        <v>2718</v>
      </c>
      <c r="I1011" t="s">
        <v>2904</v>
      </c>
      <c r="J1011" t="s">
        <v>3147</v>
      </c>
      <c r="K1011">
        <v>10458</v>
      </c>
      <c r="L1011" t="s">
        <v>3185</v>
      </c>
      <c r="M1011" t="s">
        <v>3189</v>
      </c>
      <c r="N1011" t="s">
        <v>3186</v>
      </c>
      <c r="P1011" t="s">
        <v>3622</v>
      </c>
      <c r="Q1011" t="s">
        <v>3636</v>
      </c>
      <c r="R1011" t="s">
        <v>3643</v>
      </c>
      <c r="T1011" t="s">
        <v>3660</v>
      </c>
      <c r="U1011" t="s">
        <v>3184</v>
      </c>
      <c r="W1011" t="s">
        <v>3670</v>
      </c>
      <c r="Y1011">
        <v>814.0599999999999</v>
      </c>
      <c r="Z1011" t="s">
        <v>3690</v>
      </c>
      <c r="AA1011" t="s">
        <v>3700</v>
      </c>
      <c r="AB1011" t="s">
        <v>3713</v>
      </c>
      <c r="AC1011" t="s">
        <v>4629</v>
      </c>
      <c r="AE1011" t="s">
        <v>5689</v>
      </c>
      <c r="AF1011">
        <v>54</v>
      </c>
      <c r="AG1011" t="s">
        <v>5813</v>
      </c>
      <c r="AH1011" t="s">
        <v>3188</v>
      </c>
      <c r="AI1011">
        <v>40</v>
      </c>
      <c r="AJ1011">
        <v>1</v>
      </c>
      <c r="AK1011">
        <v>0</v>
      </c>
      <c r="AL1011">
        <v>360.29</v>
      </c>
      <c r="AO1011" t="s">
        <v>5844</v>
      </c>
      <c r="AP1011">
        <v>45000</v>
      </c>
      <c r="AV1011">
        <v>2.5</v>
      </c>
      <c r="AW1011" t="s">
        <v>203</v>
      </c>
      <c r="AX1011" t="s">
        <v>6024</v>
      </c>
    </row>
    <row r="1012" spans="1:50">
      <c r="A1012" s="1">
        <f>HYPERLINK("https://lsnyc.legalserver.org/matter/dynamic-profile/view/1904758","19-1904758")</f>
        <v>0</v>
      </c>
      <c r="B1012" t="s">
        <v>84</v>
      </c>
      <c r="C1012" t="s">
        <v>191</v>
      </c>
      <c r="D1012" t="s">
        <v>214</v>
      </c>
      <c r="F1012" t="s">
        <v>464</v>
      </c>
      <c r="G1012" t="s">
        <v>1880</v>
      </c>
      <c r="H1012" t="s">
        <v>2719</v>
      </c>
      <c r="I1012" t="s">
        <v>2923</v>
      </c>
      <c r="J1012" t="s">
        <v>3147</v>
      </c>
      <c r="K1012">
        <v>10474</v>
      </c>
      <c r="L1012" t="s">
        <v>3185</v>
      </c>
      <c r="M1012" t="s">
        <v>3189</v>
      </c>
      <c r="N1012" t="s">
        <v>3186</v>
      </c>
      <c r="P1012" t="s">
        <v>3613</v>
      </c>
      <c r="Q1012" t="s">
        <v>3635</v>
      </c>
      <c r="S1012" t="s">
        <v>229</v>
      </c>
      <c r="T1012" t="s">
        <v>3660</v>
      </c>
      <c r="U1012" t="s">
        <v>3184</v>
      </c>
      <c r="W1012" t="s">
        <v>3670</v>
      </c>
      <c r="X1012" t="s">
        <v>3681</v>
      </c>
      <c r="Y1012">
        <v>912.41</v>
      </c>
      <c r="Z1012" t="s">
        <v>3690</v>
      </c>
      <c r="AA1012" t="s">
        <v>3696</v>
      </c>
      <c r="AC1012" t="s">
        <v>4630</v>
      </c>
      <c r="AF1012">
        <v>60</v>
      </c>
      <c r="AG1012" t="s">
        <v>5813</v>
      </c>
      <c r="AH1012" t="s">
        <v>3188</v>
      </c>
      <c r="AI1012">
        <v>15</v>
      </c>
      <c r="AJ1012">
        <v>3</v>
      </c>
      <c r="AK1012">
        <v>0</v>
      </c>
      <c r="AL1012">
        <v>73.14</v>
      </c>
      <c r="AO1012" t="s">
        <v>5844</v>
      </c>
      <c r="AP1012">
        <v>15600</v>
      </c>
      <c r="AV1012">
        <v>2.5</v>
      </c>
      <c r="AW1012" t="s">
        <v>249</v>
      </c>
      <c r="AX1012" t="s">
        <v>84</v>
      </c>
    </row>
    <row r="1013" spans="1:50">
      <c r="A1013" s="1">
        <f>HYPERLINK("https://lsnyc.legalserver.org/matter/dynamic-profile/view/1843143","17-1843143")</f>
        <v>0</v>
      </c>
      <c r="B1013" t="s">
        <v>181</v>
      </c>
      <c r="C1013" t="s">
        <v>191</v>
      </c>
      <c r="D1013" t="s">
        <v>414</v>
      </c>
      <c r="F1013" t="s">
        <v>1096</v>
      </c>
      <c r="G1013" t="s">
        <v>1526</v>
      </c>
      <c r="H1013" t="s">
        <v>2720</v>
      </c>
      <c r="I1013">
        <v>2</v>
      </c>
      <c r="J1013" t="s">
        <v>3146</v>
      </c>
      <c r="K1013">
        <v>10002</v>
      </c>
      <c r="L1013" t="s">
        <v>3186</v>
      </c>
      <c r="N1013" t="s">
        <v>3186</v>
      </c>
      <c r="P1013" t="s">
        <v>3257</v>
      </c>
      <c r="Q1013" t="s">
        <v>3638</v>
      </c>
      <c r="T1013" t="s">
        <v>3660</v>
      </c>
      <c r="V1013" t="s">
        <v>3669</v>
      </c>
      <c r="W1013" t="s">
        <v>3670</v>
      </c>
      <c r="Y1013">
        <v>0</v>
      </c>
      <c r="Z1013" t="s">
        <v>3689</v>
      </c>
      <c r="AC1013" t="s">
        <v>4631</v>
      </c>
      <c r="AE1013" t="s">
        <v>5690</v>
      </c>
      <c r="AF1013">
        <v>0</v>
      </c>
      <c r="AI1013">
        <v>0</v>
      </c>
      <c r="AJ1013">
        <v>2</v>
      </c>
      <c r="AK1013">
        <v>2</v>
      </c>
      <c r="AL1013">
        <v>78.05</v>
      </c>
      <c r="AP1013">
        <v>38400</v>
      </c>
      <c r="AV1013">
        <v>45.15</v>
      </c>
      <c r="AW1013" t="s">
        <v>434</v>
      </c>
      <c r="AX1013" t="s">
        <v>6062</v>
      </c>
    </row>
    <row r="1014" spans="1:50">
      <c r="A1014" s="1">
        <f>HYPERLINK("https://lsnyc.legalserver.org/matter/dynamic-profile/view/1910186","19-1910186")</f>
        <v>0</v>
      </c>
      <c r="B1014" t="s">
        <v>84</v>
      </c>
      <c r="C1014" t="s">
        <v>191</v>
      </c>
      <c r="D1014" t="s">
        <v>221</v>
      </c>
      <c r="F1014" t="s">
        <v>1097</v>
      </c>
      <c r="G1014" t="s">
        <v>1881</v>
      </c>
      <c r="H1014" t="s">
        <v>2721</v>
      </c>
      <c r="I1014" t="s">
        <v>2894</v>
      </c>
      <c r="J1014" t="s">
        <v>3147</v>
      </c>
      <c r="K1014">
        <v>10456</v>
      </c>
      <c r="L1014" t="s">
        <v>3185</v>
      </c>
      <c r="M1014" t="s">
        <v>3189</v>
      </c>
      <c r="N1014" t="s">
        <v>3186</v>
      </c>
      <c r="P1014" t="s">
        <v>3616</v>
      </c>
      <c r="Q1014" t="s">
        <v>3639</v>
      </c>
      <c r="T1014" t="s">
        <v>3660</v>
      </c>
      <c r="U1014" t="s">
        <v>3185</v>
      </c>
      <c r="W1014" t="s">
        <v>3670</v>
      </c>
      <c r="Y1014">
        <v>1150</v>
      </c>
      <c r="Z1014" t="s">
        <v>3690</v>
      </c>
      <c r="AA1014" t="s">
        <v>3700</v>
      </c>
      <c r="AC1014" t="s">
        <v>4632</v>
      </c>
      <c r="AE1014" t="s">
        <v>5691</v>
      </c>
      <c r="AF1014">
        <v>30</v>
      </c>
      <c r="AG1014" t="s">
        <v>3263</v>
      </c>
      <c r="AH1014" t="s">
        <v>3188</v>
      </c>
      <c r="AI1014">
        <v>23</v>
      </c>
      <c r="AJ1014">
        <v>5</v>
      </c>
      <c r="AK1014">
        <v>1</v>
      </c>
      <c r="AL1014">
        <v>0</v>
      </c>
      <c r="AO1014" t="s">
        <v>5843</v>
      </c>
      <c r="AP1014">
        <v>0</v>
      </c>
      <c r="AV1014">
        <v>0</v>
      </c>
      <c r="AX1014" t="s">
        <v>6024</v>
      </c>
    </row>
    <row r="1015" spans="1:50">
      <c r="A1015" s="1">
        <f>HYPERLINK("https://lsnyc.legalserver.org/matter/dynamic-profile/view/1910201","19-1910201")</f>
        <v>0</v>
      </c>
      <c r="B1015" t="s">
        <v>84</v>
      </c>
      <c r="C1015" t="s">
        <v>191</v>
      </c>
      <c r="D1015" t="s">
        <v>221</v>
      </c>
      <c r="F1015" t="s">
        <v>1098</v>
      </c>
      <c r="G1015" t="s">
        <v>1882</v>
      </c>
      <c r="H1015" t="s">
        <v>2721</v>
      </c>
      <c r="I1015" t="s">
        <v>2908</v>
      </c>
      <c r="J1015" t="s">
        <v>3147</v>
      </c>
      <c r="K1015">
        <v>10456</v>
      </c>
      <c r="L1015" t="s">
        <v>3185</v>
      </c>
      <c r="M1015" t="s">
        <v>3189</v>
      </c>
      <c r="N1015" t="s">
        <v>3186</v>
      </c>
      <c r="P1015" t="s">
        <v>3616</v>
      </c>
      <c r="Q1015" t="s">
        <v>3639</v>
      </c>
      <c r="T1015" t="s">
        <v>3660</v>
      </c>
      <c r="U1015" t="s">
        <v>3185</v>
      </c>
      <c r="W1015" t="s">
        <v>3670</v>
      </c>
      <c r="Y1015">
        <v>0</v>
      </c>
      <c r="Z1015" t="s">
        <v>3690</v>
      </c>
      <c r="AA1015" t="s">
        <v>3700</v>
      </c>
      <c r="AC1015" t="s">
        <v>4633</v>
      </c>
      <c r="AE1015" t="s">
        <v>5692</v>
      </c>
      <c r="AF1015">
        <v>30</v>
      </c>
      <c r="AG1015" t="s">
        <v>3263</v>
      </c>
      <c r="AH1015" t="s">
        <v>3188</v>
      </c>
      <c r="AI1015">
        <v>8</v>
      </c>
      <c r="AJ1015">
        <v>2</v>
      </c>
      <c r="AK1015">
        <v>3</v>
      </c>
      <c r="AL1015">
        <v>0</v>
      </c>
      <c r="AO1015" t="s">
        <v>5843</v>
      </c>
      <c r="AP1015">
        <v>0</v>
      </c>
      <c r="AV1015">
        <v>0</v>
      </c>
      <c r="AX1015" t="s">
        <v>6024</v>
      </c>
    </row>
    <row r="1016" spans="1:50">
      <c r="A1016" s="1">
        <f>HYPERLINK("https://lsnyc.legalserver.org/matter/dynamic-profile/view/1910183","19-1910183")</f>
        <v>0</v>
      </c>
      <c r="B1016" t="s">
        <v>84</v>
      </c>
      <c r="C1016" t="s">
        <v>191</v>
      </c>
      <c r="D1016" t="s">
        <v>221</v>
      </c>
      <c r="F1016" t="s">
        <v>1097</v>
      </c>
      <c r="G1016" t="s">
        <v>1881</v>
      </c>
      <c r="H1016" t="s">
        <v>2721</v>
      </c>
      <c r="I1016" t="s">
        <v>2894</v>
      </c>
      <c r="J1016" t="s">
        <v>3147</v>
      </c>
      <c r="K1016">
        <v>10456</v>
      </c>
      <c r="L1016" t="s">
        <v>3185</v>
      </c>
      <c r="M1016" t="s">
        <v>3189</v>
      </c>
      <c r="N1016" t="s">
        <v>3186</v>
      </c>
      <c r="P1016" t="s">
        <v>3612</v>
      </c>
      <c r="Q1016" t="s">
        <v>3638</v>
      </c>
      <c r="T1016" t="s">
        <v>3660</v>
      </c>
      <c r="U1016" t="s">
        <v>3185</v>
      </c>
      <c r="W1016" t="s">
        <v>3670</v>
      </c>
      <c r="Y1016">
        <v>1150</v>
      </c>
      <c r="Z1016" t="s">
        <v>3690</v>
      </c>
      <c r="AA1016" t="s">
        <v>3700</v>
      </c>
      <c r="AC1016" t="s">
        <v>4632</v>
      </c>
      <c r="AE1016" t="s">
        <v>5691</v>
      </c>
      <c r="AF1016">
        <v>30</v>
      </c>
      <c r="AG1016" t="s">
        <v>5813</v>
      </c>
      <c r="AH1016" t="s">
        <v>3188</v>
      </c>
      <c r="AI1016">
        <v>23</v>
      </c>
      <c r="AJ1016">
        <v>5</v>
      </c>
      <c r="AK1016">
        <v>1</v>
      </c>
      <c r="AL1016">
        <v>0</v>
      </c>
      <c r="AO1016" t="s">
        <v>5843</v>
      </c>
      <c r="AP1016">
        <v>0</v>
      </c>
      <c r="AV1016">
        <v>0</v>
      </c>
      <c r="AX1016" t="s">
        <v>6024</v>
      </c>
    </row>
    <row r="1017" spans="1:50">
      <c r="A1017" s="1">
        <f>HYPERLINK("https://lsnyc.legalserver.org/matter/dynamic-profile/view/1910197","19-1910197")</f>
        <v>0</v>
      </c>
      <c r="B1017" t="s">
        <v>84</v>
      </c>
      <c r="C1017" t="s">
        <v>191</v>
      </c>
      <c r="D1017" t="s">
        <v>221</v>
      </c>
      <c r="F1017" t="s">
        <v>1098</v>
      </c>
      <c r="G1017" t="s">
        <v>1882</v>
      </c>
      <c r="H1017" t="s">
        <v>2721</v>
      </c>
      <c r="I1017" t="s">
        <v>2908</v>
      </c>
      <c r="J1017" t="s">
        <v>3147</v>
      </c>
      <c r="K1017">
        <v>10456</v>
      </c>
      <c r="L1017" t="s">
        <v>3185</v>
      </c>
      <c r="M1017" t="s">
        <v>3188</v>
      </c>
      <c r="N1017" t="s">
        <v>3186</v>
      </c>
      <c r="P1017" t="s">
        <v>3612</v>
      </c>
      <c r="Q1017" t="s">
        <v>3638</v>
      </c>
      <c r="T1017" t="s">
        <v>3660</v>
      </c>
      <c r="U1017" t="s">
        <v>3185</v>
      </c>
      <c r="W1017" t="s">
        <v>3670</v>
      </c>
      <c r="Y1017">
        <v>0</v>
      </c>
      <c r="Z1017" t="s">
        <v>3690</v>
      </c>
      <c r="AA1017" t="s">
        <v>3700</v>
      </c>
      <c r="AC1017" t="s">
        <v>4633</v>
      </c>
      <c r="AE1017" t="s">
        <v>5692</v>
      </c>
      <c r="AF1017">
        <v>30</v>
      </c>
      <c r="AG1017" t="s">
        <v>3263</v>
      </c>
      <c r="AH1017" t="s">
        <v>3188</v>
      </c>
      <c r="AI1017">
        <v>8</v>
      </c>
      <c r="AJ1017">
        <v>2</v>
      </c>
      <c r="AK1017">
        <v>3</v>
      </c>
      <c r="AL1017">
        <v>0</v>
      </c>
      <c r="AO1017" t="s">
        <v>5843</v>
      </c>
      <c r="AP1017">
        <v>0</v>
      </c>
      <c r="AV1017">
        <v>0</v>
      </c>
      <c r="AX1017" t="s">
        <v>6024</v>
      </c>
    </row>
    <row r="1018" spans="1:50">
      <c r="A1018" s="1">
        <f>HYPERLINK("https://lsnyc.legalserver.org/matter/dynamic-profile/view/1850074","17-1850074")</f>
        <v>0</v>
      </c>
      <c r="B1018" t="s">
        <v>181</v>
      </c>
      <c r="C1018" t="s">
        <v>191</v>
      </c>
      <c r="D1018" t="s">
        <v>415</v>
      </c>
      <c r="H1018" t="s">
        <v>2720</v>
      </c>
      <c r="J1018" t="s">
        <v>3146</v>
      </c>
      <c r="K1018">
        <v>10002</v>
      </c>
      <c r="L1018" t="s">
        <v>3186</v>
      </c>
      <c r="N1018" t="s">
        <v>3186</v>
      </c>
      <c r="T1018" t="s">
        <v>3660</v>
      </c>
      <c r="W1018" t="s">
        <v>3670</v>
      </c>
      <c r="Y1018">
        <v>0</v>
      </c>
      <c r="Z1018" t="s">
        <v>3689</v>
      </c>
      <c r="AF1018">
        <v>0</v>
      </c>
      <c r="AI1018">
        <v>0</v>
      </c>
      <c r="AJ1018">
        <v>0</v>
      </c>
      <c r="AK1018">
        <v>0</v>
      </c>
      <c r="AL1018">
        <v>0</v>
      </c>
      <c r="AP1018">
        <v>5000</v>
      </c>
      <c r="AV1018">
        <v>93.95</v>
      </c>
      <c r="AW1018" t="s">
        <v>196</v>
      </c>
      <c r="AX1018" t="s">
        <v>6041</v>
      </c>
    </row>
    <row r="1019" spans="1:50">
      <c r="A1019" s="1">
        <f>HYPERLINK("https://lsnyc.legalserver.org/matter/dynamic-profile/view/1850587","17-1850587")</f>
        <v>0</v>
      </c>
      <c r="B1019" t="s">
        <v>181</v>
      </c>
      <c r="C1019" t="s">
        <v>191</v>
      </c>
      <c r="D1019" t="s">
        <v>416</v>
      </c>
      <c r="H1019" t="s">
        <v>2722</v>
      </c>
      <c r="J1019" t="s">
        <v>3146</v>
      </c>
      <c r="K1019">
        <v>10002</v>
      </c>
      <c r="L1019" t="s">
        <v>3186</v>
      </c>
      <c r="N1019" t="s">
        <v>3186</v>
      </c>
      <c r="T1019" t="s">
        <v>3660</v>
      </c>
      <c r="W1019" t="s">
        <v>3670</v>
      </c>
      <c r="Y1019">
        <v>0</v>
      </c>
      <c r="Z1019" t="s">
        <v>3689</v>
      </c>
      <c r="AF1019">
        <v>0</v>
      </c>
      <c r="AI1019">
        <v>0</v>
      </c>
      <c r="AJ1019">
        <v>0</v>
      </c>
      <c r="AK1019">
        <v>0</v>
      </c>
      <c r="AL1019">
        <v>0</v>
      </c>
      <c r="AP1019">
        <v>66360</v>
      </c>
      <c r="AV1019">
        <v>200.55</v>
      </c>
      <c r="AW1019" t="s">
        <v>291</v>
      </c>
      <c r="AX1019" t="s">
        <v>6041</v>
      </c>
    </row>
    <row r="1020" spans="1:50">
      <c r="A1020" s="1">
        <f>HYPERLINK("https://lsnyc.legalserver.org/matter/dynamic-profile/view/1910170","19-1910170")</f>
        <v>0</v>
      </c>
      <c r="B1020" t="s">
        <v>84</v>
      </c>
      <c r="C1020" t="s">
        <v>191</v>
      </c>
      <c r="D1020" t="s">
        <v>221</v>
      </c>
      <c r="F1020" t="s">
        <v>1099</v>
      </c>
      <c r="G1020" t="s">
        <v>1412</v>
      </c>
      <c r="H1020" t="s">
        <v>2721</v>
      </c>
      <c r="I1020" t="s">
        <v>2896</v>
      </c>
      <c r="J1020" t="s">
        <v>3147</v>
      </c>
      <c r="K1020">
        <v>10456</v>
      </c>
      <c r="L1020" t="s">
        <v>3185</v>
      </c>
      <c r="M1020" t="s">
        <v>3189</v>
      </c>
      <c r="N1020" t="s">
        <v>3186</v>
      </c>
      <c r="P1020" t="s">
        <v>3616</v>
      </c>
      <c r="Q1020" t="s">
        <v>3639</v>
      </c>
      <c r="T1020" t="s">
        <v>3660</v>
      </c>
      <c r="U1020" t="s">
        <v>3185</v>
      </c>
      <c r="W1020" t="s">
        <v>3670</v>
      </c>
      <c r="Y1020">
        <v>1050</v>
      </c>
      <c r="Z1020" t="s">
        <v>3690</v>
      </c>
      <c r="AA1020" t="s">
        <v>3700</v>
      </c>
      <c r="AC1020" t="s">
        <v>4634</v>
      </c>
      <c r="AE1020" t="s">
        <v>5693</v>
      </c>
      <c r="AF1020">
        <v>30</v>
      </c>
      <c r="AG1020" t="s">
        <v>5813</v>
      </c>
      <c r="AH1020" t="s">
        <v>3188</v>
      </c>
      <c r="AI1020">
        <v>8</v>
      </c>
      <c r="AJ1020">
        <v>1</v>
      </c>
      <c r="AK1020">
        <v>3</v>
      </c>
      <c r="AL1020">
        <v>41.94</v>
      </c>
      <c r="AO1020" t="s">
        <v>3632</v>
      </c>
      <c r="AP1020">
        <v>10800</v>
      </c>
      <c r="AV1020">
        <v>0</v>
      </c>
      <c r="AX1020" t="s">
        <v>6024</v>
      </c>
    </row>
    <row r="1021" spans="1:50">
      <c r="A1021" s="1">
        <f>HYPERLINK("https://lsnyc.legalserver.org/matter/dynamic-profile/view/1910167","19-1910167")</f>
        <v>0</v>
      </c>
      <c r="B1021" t="s">
        <v>84</v>
      </c>
      <c r="C1021" t="s">
        <v>191</v>
      </c>
      <c r="D1021" t="s">
        <v>221</v>
      </c>
      <c r="F1021" t="s">
        <v>1099</v>
      </c>
      <c r="G1021" t="s">
        <v>1412</v>
      </c>
      <c r="H1021" t="s">
        <v>2721</v>
      </c>
      <c r="I1021" t="s">
        <v>2896</v>
      </c>
      <c r="J1021" t="s">
        <v>3147</v>
      </c>
      <c r="K1021">
        <v>10456</v>
      </c>
      <c r="L1021" t="s">
        <v>3185</v>
      </c>
      <c r="M1021" t="s">
        <v>3189</v>
      </c>
      <c r="N1021" t="s">
        <v>3186</v>
      </c>
      <c r="P1021" t="s">
        <v>3612</v>
      </c>
      <c r="Q1021" t="s">
        <v>3638</v>
      </c>
      <c r="T1021" t="s">
        <v>3660</v>
      </c>
      <c r="U1021" t="s">
        <v>3185</v>
      </c>
      <c r="W1021" t="s">
        <v>3670</v>
      </c>
      <c r="Y1021">
        <v>1050</v>
      </c>
      <c r="Z1021" t="s">
        <v>3690</v>
      </c>
      <c r="AA1021" t="s">
        <v>3700</v>
      </c>
      <c r="AC1021" t="s">
        <v>4634</v>
      </c>
      <c r="AE1021" t="s">
        <v>5693</v>
      </c>
      <c r="AF1021">
        <v>30</v>
      </c>
      <c r="AG1021" t="s">
        <v>5813</v>
      </c>
      <c r="AH1021" t="s">
        <v>3188</v>
      </c>
      <c r="AI1021">
        <v>8</v>
      </c>
      <c r="AJ1021">
        <v>1</v>
      </c>
      <c r="AK1021">
        <v>3</v>
      </c>
      <c r="AL1021">
        <v>41.94</v>
      </c>
      <c r="AO1021" t="s">
        <v>3632</v>
      </c>
      <c r="AP1021">
        <v>10800</v>
      </c>
      <c r="AV1021">
        <v>0</v>
      </c>
      <c r="AX1021" t="s">
        <v>6024</v>
      </c>
    </row>
    <row r="1022" spans="1:50">
      <c r="A1022" s="1">
        <f>HYPERLINK("https://lsnyc.legalserver.org/matter/dynamic-profile/view/1871476","18-1871476")</f>
        <v>0</v>
      </c>
      <c r="B1022" t="s">
        <v>182</v>
      </c>
      <c r="C1022" t="s">
        <v>191</v>
      </c>
      <c r="D1022" t="s">
        <v>417</v>
      </c>
      <c r="F1022" t="s">
        <v>620</v>
      </c>
      <c r="G1022" t="s">
        <v>1633</v>
      </c>
      <c r="H1022" t="s">
        <v>2723</v>
      </c>
      <c r="I1022">
        <v>10037</v>
      </c>
      <c r="J1022" t="s">
        <v>3146</v>
      </c>
      <c r="K1022">
        <v>10037</v>
      </c>
      <c r="L1022" t="s">
        <v>3186</v>
      </c>
      <c r="N1022" t="s">
        <v>3186</v>
      </c>
      <c r="Q1022" t="s">
        <v>3638</v>
      </c>
      <c r="T1022" t="s">
        <v>3660</v>
      </c>
      <c r="W1022" t="s">
        <v>3670</v>
      </c>
      <c r="Y1022">
        <v>0</v>
      </c>
      <c r="Z1022" t="s">
        <v>3689</v>
      </c>
      <c r="AC1022" t="s">
        <v>4635</v>
      </c>
      <c r="AE1022" t="s">
        <v>5694</v>
      </c>
      <c r="AF1022">
        <v>0</v>
      </c>
      <c r="AI1022">
        <v>0</v>
      </c>
      <c r="AJ1022">
        <v>3</v>
      </c>
      <c r="AK1022">
        <v>0</v>
      </c>
      <c r="AL1022">
        <v>48.66</v>
      </c>
      <c r="AO1022" t="s">
        <v>5843</v>
      </c>
      <c r="AP1022">
        <v>9936</v>
      </c>
      <c r="AV1022">
        <v>27.95</v>
      </c>
      <c r="AW1022" t="s">
        <v>253</v>
      </c>
      <c r="AX1022" t="s">
        <v>182</v>
      </c>
    </row>
    <row r="1023" spans="1:50">
      <c r="A1023" s="1">
        <f>HYPERLINK("https://lsnyc.legalserver.org/matter/dynamic-profile/view/1892749","19-1892749")</f>
        <v>0</v>
      </c>
      <c r="B1023" t="s">
        <v>182</v>
      </c>
      <c r="C1023" t="s">
        <v>191</v>
      </c>
      <c r="D1023" t="s">
        <v>418</v>
      </c>
      <c r="F1023" t="s">
        <v>1100</v>
      </c>
      <c r="G1023" t="s">
        <v>1883</v>
      </c>
      <c r="H1023" t="s">
        <v>2724</v>
      </c>
      <c r="I1023">
        <v>6</v>
      </c>
      <c r="J1023" t="s">
        <v>3146</v>
      </c>
      <c r="K1023">
        <v>10031</v>
      </c>
      <c r="L1023" t="s">
        <v>3186</v>
      </c>
      <c r="N1023" t="s">
        <v>3186</v>
      </c>
      <c r="Q1023" t="s">
        <v>3638</v>
      </c>
      <c r="T1023" t="s">
        <v>3660</v>
      </c>
      <c r="U1023" t="s">
        <v>3185</v>
      </c>
      <c r="W1023" t="s">
        <v>3670</v>
      </c>
      <c r="X1023" t="s">
        <v>3681</v>
      </c>
      <c r="Y1023">
        <v>1400</v>
      </c>
      <c r="Z1023" t="s">
        <v>3689</v>
      </c>
      <c r="AC1023" t="s">
        <v>4636</v>
      </c>
      <c r="AE1023" t="s">
        <v>5695</v>
      </c>
      <c r="AF1023">
        <v>0</v>
      </c>
      <c r="AH1023" t="s">
        <v>5827</v>
      </c>
      <c r="AI1023">
        <v>15</v>
      </c>
      <c r="AJ1023">
        <v>3</v>
      </c>
      <c r="AK1023">
        <v>2</v>
      </c>
      <c r="AL1023">
        <v>111.13</v>
      </c>
      <c r="AP1023">
        <v>33528</v>
      </c>
      <c r="AV1023">
        <v>3.3</v>
      </c>
      <c r="AW1023" t="s">
        <v>6001</v>
      </c>
      <c r="AX1023" t="s">
        <v>6063</v>
      </c>
    </row>
    <row r="1024" spans="1:50">
      <c r="A1024" s="1">
        <f>HYPERLINK("https://lsnyc.legalserver.org/matter/dynamic-profile/view/1860080","18-1860080")</f>
        <v>0</v>
      </c>
      <c r="B1024" t="s">
        <v>182</v>
      </c>
      <c r="C1024" t="s">
        <v>191</v>
      </c>
      <c r="D1024" t="s">
        <v>419</v>
      </c>
      <c r="F1024" t="s">
        <v>1101</v>
      </c>
      <c r="G1024" t="s">
        <v>1456</v>
      </c>
      <c r="H1024" t="s">
        <v>2725</v>
      </c>
      <c r="I1024" t="s">
        <v>2926</v>
      </c>
      <c r="J1024" t="s">
        <v>3146</v>
      </c>
      <c r="K1024">
        <v>10034</v>
      </c>
      <c r="L1024" t="s">
        <v>3186</v>
      </c>
      <c r="N1024" t="s">
        <v>3186</v>
      </c>
      <c r="P1024" t="s">
        <v>3257</v>
      </c>
      <c r="Q1024" t="s">
        <v>3637</v>
      </c>
      <c r="T1024" t="s">
        <v>3660</v>
      </c>
      <c r="U1024" t="s">
        <v>3184</v>
      </c>
      <c r="W1024" t="s">
        <v>3673</v>
      </c>
      <c r="Y1024">
        <v>560</v>
      </c>
      <c r="Z1024" t="s">
        <v>3689</v>
      </c>
      <c r="AC1024" t="s">
        <v>3997</v>
      </c>
      <c r="AE1024" t="s">
        <v>5696</v>
      </c>
      <c r="AF1024">
        <v>25</v>
      </c>
      <c r="AG1024" t="s">
        <v>3263</v>
      </c>
      <c r="AH1024" t="s">
        <v>3188</v>
      </c>
      <c r="AI1024">
        <v>3</v>
      </c>
      <c r="AJ1024">
        <v>1</v>
      </c>
      <c r="AK1024">
        <v>0</v>
      </c>
      <c r="AL1024">
        <v>149.25</v>
      </c>
      <c r="AO1024" t="s">
        <v>5843</v>
      </c>
      <c r="AP1024">
        <v>18000</v>
      </c>
      <c r="AV1024">
        <v>0.5</v>
      </c>
      <c r="AW1024" t="s">
        <v>419</v>
      </c>
      <c r="AX1024" t="s">
        <v>6015</v>
      </c>
    </row>
    <row r="1025" spans="1:50">
      <c r="A1025" s="1">
        <f>HYPERLINK("https://lsnyc.legalserver.org/matter/dynamic-profile/view/1859889","18-1859889")</f>
        <v>0</v>
      </c>
      <c r="B1025" t="s">
        <v>182</v>
      </c>
      <c r="C1025" t="s">
        <v>191</v>
      </c>
      <c r="D1025" t="s">
        <v>420</v>
      </c>
      <c r="F1025" t="s">
        <v>1102</v>
      </c>
      <c r="G1025" t="s">
        <v>1884</v>
      </c>
      <c r="H1025" t="s">
        <v>2726</v>
      </c>
      <c r="I1025" t="s">
        <v>2903</v>
      </c>
      <c r="J1025" t="s">
        <v>3146</v>
      </c>
      <c r="K1025">
        <v>10034</v>
      </c>
      <c r="L1025" t="s">
        <v>3186</v>
      </c>
      <c r="N1025" t="s">
        <v>3186</v>
      </c>
      <c r="P1025" t="s">
        <v>3613</v>
      </c>
      <c r="T1025" t="s">
        <v>3660</v>
      </c>
      <c r="U1025" t="s">
        <v>3185</v>
      </c>
      <c r="W1025" t="s">
        <v>3673</v>
      </c>
      <c r="Y1025">
        <v>720</v>
      </c>
      <c r="Z1025" t="s">
        <v>3689</v>
      </c>
      <c r="AA1025" t="s">
        <v>3701</v>
      </c>
      <c r="AC1025" t="s">
        <v>4637</v>
      </c>
      <c r="AE1025" t="s">
        <v>5697</v>
      </c>
      <c r="AF1025">
        <v>25</v>
      </c>
      <c r="AH1025" t="s">
        <v>3188</v>
      </c>
      <c r="AI1025">
        <v>20</v>
      </c>
      <c r="AJ1025">
        <v>1</v>
      </c>
      <c r="AK1025">
        <v>0</v>
      </c>
      <c r="AL1025">
        <v>0</v>
      </c>
      <c r="AO1025" t="s">
        <v>5843</v>
      </c>
      <c r="AP1025">
        <v>0</v>
      </c>
      <c r="AV1025">
        <v>0.5</v>
      </c>
      <c r="AW1025" t="s">
        <v>420</v>
      </c>
      <c r="AX1025" t="s">
        <v>6015</v>
      </c>
    </row>
    <row r="1026" spans="1:50">
      <c r="A1026" s="1">
        <f>HYPERLINK("https://lsnyc.legalserver.org/matter/dynamic-profile/view/1910194","19-1910194")</f>
        <v>0</v>
      </c>
      <c r="B1026" t="s">
        <v>84</v>
      </c>
      <c r="C1026" t="s">
        <v>191</v>
      </c>
      <c r="D1026" t="s">
        <v>221</v>
      </c>
      <c r="F1026" t="s">
        <v>1103</v>
      </c>
      <c r="G1026" t="s">
        <v>1885</v>
      </c>
      <c r="H1026" t="s">
        <v>2721</v>
      </c>
      <c r="I1026" t="s">
        <v>2902</v>
      </c>
      <c r="J1026" t="s">
        <v>3147</v>
      </c>
      <c r="K1026">
        <v>10456</v>
      </c>
      <c r="L1026" t="s">
        <v>3185</v>
      </c>
      <c r="M1026" t="s">
        <v>3189</v>
      </c>
      <c r="N1026" t="s">
        <v>3186</v>
      </c>
      <c r="P1026" t="s">
        <v>3616</v>
      </c>
      <c r="Q1026" t="s">
        <v>3639</v>
      </c>
      <c r="T1026" t="s">
        <v>3660</v>
      </c>
      <c r="U1026" t="s">
        <v>3185</v>
      </c>
      <c r="W1026" t="s">
        <v>3670</v>
      </c>
      <c r="Y1026">
        <v>911.42</v>
      </c>
      <c r="Z1026" t="s">
        <v>3690</v>
      </c>
      <c r="AA1026" t="s">
        <v>3700</v>
      </c>
      <c r="AC1026" t="s">
        <v>4638</v>
      </c>
      <c r="AE1026" t="s">
        <v>5698</v>
      </c>
      <c r="AF1026">
        <v>30</v>
      </c>
      <c r="AG1026" t="s">
        <v>3263</v>
      </c>
      <c r="AH1026" t="s">
        <v>3188</v>
      </c>
      <c r="AI1026">
        <v>19</v>
      </c>
      <c r="AJ1026">
        <v>1</v>
      </c>
      <c r="AK1026">
        <v>1</v>
      </c>
      <c r="AL1026">
        <v>82.79000000000001</v>
      </c>
      <c r="AO1026" t="s">
        <v>5843</v>
      </c>
      <c r="AP1026">
        <v>14000</v>
      </c>
      <c r="AV1026">
        <v>0</v>
      </c>
      <c r="AX1026" t="s">
        <v>6024</v>
      </c>
    </row>
    <row r="1027" spans="1:50">
      <c r="A1027" s="1">
        <f>HYPERLINK("https://lsnyc.legalserver.org/matter/dynamic-profile/view/1910193","19-1910193")</f>
        <v>0</v>
      </c>
      <c r="B1027" t="s">
        <v>84</v>
      </c>
      <c r="C1027" t="s">
        <v>191</v>
      </c>
      <c r="D1027" t="s">
        <v>221</v>
      </c>
      <c r="F1027" t="s">
        <v>1103</v>
      </c>
      <c r="G1027" t="s">
        <v>1885</v>
      </c>
      <c r="H1027" t="s">
        <v>2721</v>
      </c>
      <c r="I1027" t="s">
        <v>2902</v>
      </c>
      <c r="J1027" t="s">
        <v>3147</v>
      </c>
      <c r="K1027">
        <v>10456</v>
      </c>
      <c r="L1027" t="s">
        <v>3185</v>
      </c>
      <c r="M1027" t="s">
        <v>3189</v>
      </c>
      <c r="N1027" t="s">
        <v>3186</v>
      </c>
      <c r="P1027" t="s">
        <v>3612</v>
      </c>
      <c r="Q1027" t="s">
        <v>3638</v>
      </c>
      <c r="T1027" t="s">
        <v>3660</v>
      </c>
      <c r="U1027" t="s">
        <v>3185</v>
      </c>
      <c r="W1027" t="s">
        <v>3670</v>
      </c>
      <c r="Y1027">
        <v>911.42</v>
      </c>
      <c r="Z1027" t="s">
        <v>3690</v>
      </c>
      <c r="AA1027" t="s">
        <v>3700</v>
      </c>
      <c r="AC1027" t="s">
        <v>4638</v>
      </c>
      <c r="AE1027" t="s">
        <v>5698</v>
      </c>
      <c r="AF1027">
        <v>30</v>
      </c>
      <c r="AG1027" t="s">
        <v>3263</v>
      </c>
      <c r="AH1027" t="s">
        <v>3188</v>
      </c>
      <c r="AI1027">
        <v>19</v>
      </c>
      <c r="AJ1027">
        <v>1</v>
      </c>
      <c r="AK1027">
        <v>1</v>
      </c>
      <c r="AL1027">
        <v>82.79000000000001</v>
      </c>
      <c r="AO1027" t="s">
        <v>5843</v>
      </c>
      <c r="AP1027">
        <v>14000</v>
      </c>
      <c r="AV1027">
        <v>0</v>
      </c>
      <c r="AX1027" t="s">
        <v>6024</v>
      </c>
    </row>
    <row r="1028" spans="1:50">
      <c r="A1028" s="1">
        <f>HYPERLINK("https://lsnyc.legalserver.org/matter/dynamic-profile/view/1909031","19-1909031")</f>
        <v>0</v>
      </c>
      <c r="B1028" t="s">
        <v>84</v>
      </c>
      <c r="C1028" t="s">
        <v>191</v>
      </c>
      <c r="D1028" t="s">
        <v>207</v>
      </c>
      <c r="F1028" t="s">
        <v>1104</v>
      </c>
      <c r="G1028" t="s">
        <v>1886</v>
      </c>
      <c r="H1028" t="s">
        <v>2727</v>
      </c>
      <c r="I1028" t="s">
        <v>2828</v>
      </c>
      <c r="J1028" t="s">
        <v>3147</v>
      </c>
      <c r="K1028">
        <v>10452</v>
      </c>
      <c r="L1028" t="s">
        <v>3185</v>
      </c>
      <c r="N1028" t="s">
        <v>3186</v>
      </c>
      <c r="P1028" t="s">
        <v>3612</v>
      </c>
      <c r="Q1028" t="s">
        <v>3638</v>
      </c>
      <c r="T1028" t="s">
        <v>3660</v>
      </c>
      <c r="U1028" t="s">
        <v>3184</v>
      </c>
      <c r="W1028" t="s">
        <v>3670</v>
      </c>
      <c r="X1028" t="s">
        <v>3681</v>
      </c>
      <c r="Y1028">
        <v>1024.89</v>
      </c>
      <c r="Z1028" t="s">
        <v>3690</v>
      </c>
      <c r="AA1028" t="s">
        <v>3696</v>
      </c>
      <c r="AC1028" t="s">
        <v>4639</v>
      </c>
      <c r="AE1028" t="s">
        <v>4764</v>
      </c>
      <c r="AF1028">
        <v>41</v>
      </c>
      <c r="AG1028" t="s">
        <v>5813</v>
      </c>
      <c r="AH1028" t="s">
        <v>3188</v>
      </c>
      <c r="AI1028">
        <v>12</v>
      </c>
      <c r="AJ1028">
        <v>1</v>
      </c>
      <c r="AK1028">
        <v>0</v>
      </c>
      <c r="AL1028">
        <v>92.91</v>
      </c>
      <c r="AO1028" t="s">
        <v>5844</v>
      </c>
      <c r="AP1028">
        <v>11604</v>
      </c>
      <c r="AV1028">
        <v>0</v>
      </c>
      <c r="AX1028" t="s">
        <v>84</v>
      </c>
    </row>
    <row r="1029" spans="1:50">
      <c r="A1029" s="1">
        <f>HYPERLINK("https://lsnyc.legalserver.org/matter/dynamic-profile/view/1909432","19-1909432")</f>
        <v>0</v>
      </c>
      <c r="B1029" t="s">
        <v>170</v>
      </c>
      <c r="C1029" t="s">
        <v>191</v>
      </c>
      <c r="D1029" t="s">
        <v>196</v>
      </c>
      <c r="F1029" t="s">
        <v>1105</v>
      </c>
      <c r="G1029" t="s">
        <v>1887</v>
      </c>
      <c r="H1029" t="s">
        <v>2357</v>
      </c>
      <c r="I1029" t="s">
        <v>2887</v>
      </c>
      <c r="J1029" t="s">
        <v>3146</v>
      </c>
      <c r="K1029">
        <v>10040</v>
      </c>
      <c r="L1029" t="s">
        <v>3186</v>
      </c>
      <c r="N1029" t="s">
        <v>3186</v>
      </c>
      <c r="P1029" t="s">
        <v>3612</v>
      </c>
      <c r="Q1029" t="s">
        <v>3638</v>
      </c>
      <c r="T1029" t="s">
        <v>3660</v>
      </c>
      <c r="U1029" t="s">
        <v>3185</v>
      </c>
      <c r="W1029" t="s">
        <v>3670</v>
      </c>
      <c r="Y1029">
        <v>1200</v>
      </c>
      <c r="Z1029" t="s">
        <v>3689</v>
      </c>
      <c r="AA1029" t="s">
        <v>3697</v>
      </c>
      <c r="AC1029" t="s">
        <v>4640</v>
      </c>
      <c r="AE1029" t="s">
        <v>5699</v>
      </c>
      <c r="AF1029">
        <v>77</v>
      </c>
      <c r="AG1029" t="s">
        <v>5814</v>
      </c>
      <c r="AH1029" t="s">
        <v>3188</v>
      </c>
      <c r="AI1029">
        <v>8</v>
      </c>
      <c r="AJ1029">
        <v>1</v>
      </c>
      <c r="AK1029">
        <v>0</v>
      </c>
      <c r="AL1029">
        <v>205.6</v>
      </c>
      <c r="AO1029" t="s">
        <v>5843</v>
      </c>
      <c r="AP1029">
        <v>25680</v>
      </c>
      <c r="AV1029">
        <v>0.1</v>
      </c>
      <c r="AW1029" t="s">
        <v>252</v>
      </c>
      <c r="AX1029" t="s">
        <v>108</v>
      </c>
    </row>
    <row r="1030" spans="1:50">
      <c r="A1030" s="1">
        <f>HYPERLINK("https://lsnyc.legalserver.org/matter/dynamic-profile/view/1910181","19-1910181")</f>
        <v>0</v>
      </c>
      <c r="B1030" t="s">
        <v>84</v>
      </c>
      <c r="C1030" t="s">
        <v>191</v>
      </c>
      <c r="D1030" t="s">
        <v>221</v>
      </c>
      <c r="F1030" t="s">
        <v>1106</v>
      </c>
      <c r="G1030" t="s">
        <v>1888</v>
      </c>
      <c r="H1030" t="s">
        <v>2721</v>
      </c>
      <c r="I1030" t="s">
        <v>2819</v>
      </c>
      <c r="J1030" t="s">
        <v>3147</v>
      </c>
      <c r="K1030">
        <v>10456</v>
      </c>
      <c r="L1030" t="s">
        <v>3185</v>
      </c>
      <c r="M1030" t="s">
        <v>3189</v>
      </c>
      <c r="N1030" t="s">
        <v>3186</v>
      </c>
      <c r="P1030" t="s">
        <v>3616</v>
      </c>
      <c r="Q1030" t="s">
        <v>3639</v>
      </c>
      <c r="T1030" t="s">
        <v>3660</v>
      </c>
      <c r="U1030" t="s">
        <v>3185</v>
      </c>
      <c r="W1030" t="s">
        <v>3670</v>
      </c>
      <c r="Y1030">
        <v>1451.25</v>
      </c>
      <c r="Z1030" t="s">
        <v>3690</v>
      </c>
      <c r="AA1030" t="s">
        <v>3700</v>
      </c>
      <c r="AC1030" t="s">
        <v>4641</v>
      </c>
      <c r="AF1030">
        <v>30</v>
      </c>
      <c r="AG1030" t="s">
        <v>3263</v>
      </c>
      <c r="AH1030" t="s">
        <v>3188</v>
      </c>
      <c r="AI1030">
        <v>19</v>
      </c>
      <c r="AJ1030">
        <v>3</v>
      </c>
      <c r="AK1030">
        <v>1</v>
      </c>
      <c r="AL1030">
        <v>108.52</v>
      </c>
      <c r="AO1030" t="s">
        <v>5843</v>
      </c>
      <c r="AP1030">
        <v>27944</v>
      </c>
      <c r="AV1030">
        <v>0</v>
      </c>
      <c r="AX1030" t="s">
        <v>6024</v>
      </c>
    </row>
    <row r="1031" spans="1:50">
      <c r="A1031" s="1">
        <f>HYPERLINK("https://lsnyc.legalserver.org/matter/dynamic-profile/view/1910176","19-1910176")</f>
        <v>0</v>
      </c>
      <c r="B1031" t="s">
        <v>84</v>
      </c>
      <c r="C1031" t="s">
        <v>191</v>
      </c>
      <c r="D1031" t="s">
        <v>221</v>
      </c>
      <c r="F1031" t="s">
        <v>1106</v>
      </c>
      <c r="G1031" t="s">
        <v>1888</v>
      </c>
      <c r="H1031" t="s">
        <v>2721</v>
      </c>
      <c r="I1031" t="s">
        <v>2819</v>
      </c>
      <c r="J1031" t="s">
        <v>3147</v>
      </c>
      <c r="K1031">
        <v>10456</v>
      </c>
      <c r="L1031" t="s">
        <v>3185</v>
      </c>
      <c r="M1031" t="s">
        <v>3189</v>
      </c>
      <c r="N1031" t="s">
        <v>3186</v>
      </c>
      <c r="P1031" t="s">
        <v>3612</v>
      </c>
      <c r="Q1031" t="s">
        <v>3638</v>
      </c>
      <c r="T1031" t="s">
        <v>3660</v>
      </c>
      <c r="U1031" t="s">
        <v>3185</v>
      </c>
      <c r="W1031" t="s">
        <v>3670</v>
      </c>
      <c r="Y1031">
        <v>1451.25</v>
      </c>
      <c r="Z1031" t="s">
        <v>3690</v>
      </c>
      <c r="AA1031" t="s">
        <v>3700</v>
      </c>
      <c r="AC1031" t="s">
        <v>4641</v>
      </c>
      <c r="AF1031">
        <v>30</v>
      </c>
      <c r="AG1031" t="s">
        <v>3263</v>
      </c>
      <c r="AH1031" t="s">
        <v>3188</v>
      </c>
      <c r="AI1031">
        <v>19</v>
      </c>
      <c r="AJ1031">
        <v>3</v>
      </c>
      <c r="AK1031">
        <v>1</v>
      </c>
      <c r="AL1031">
        <v>108.52</v>
      </c>
      <c r="AO1031" t="s">
        <v>5843</v>
      </c>
      <c r="AP1031">
        <v>27944</v>
      </c>
      <c r="AV1031">
        <v>0</v>
      </c>
      <c r="AX1031" t="s">
        <v>6024</v>
      </c>
    </row>
    <row r="1032" spans="1:50">
      <c r="A1032" s="1">
        <f>HYPERLINK("https://lsnyc.legalserver.org/matter/dynamic-profile/view/1909118","19-1909118")</f>
        <v>0</v>
      </c>
      <c r="B1032" t="s">
        <v>84</v>
      </c>
      <c r="C1032" t="s">
        <v>191</v>
      </c>
      <c r="D1032" t="s">
        <v>228</v>
      </c>
      <c r="F1032" t="s">
        <v>870</v>
      </c>
      <c r="G1032" t="s">
        <v>1637</v>
      </c>
      <c r="H1032" t="s">
        <v>2406</v>
      </c>
      <c r="I1032" t="s">
        <v>2860</v>
      </c>
      <c r="J1032" t="s">
        <v>3147</v>
      </c>
      <c r="K1032">
        <v>10456</v>
      </c>
      <c r="L1032" t="s">
        <v>3185</v>
      </c>
      <c r="M1032" t="s">
        <v>3189</v>
      </c>
      <c r="N1032" t="s">
        <v>3186</v>
      </c>
      <c r="P1032" t="s">
        <v>3612</v>
      </c>
      <c r="Q1032" t="s">
        <v>3638</v>
      </c>
      <c r="T1032" t="s">
        <v>3660</v>
      </c>
      <c r="U1032" t="s">
        <v>3185</v>
      </c>
      <c r="W1032" t="s">
        <v>3670</v>
      </c>
      <c r="Y1032">
        <v>1511.88</v>
      </c>
      <c r="Z1032" t="s">
        <v>3690</v>
      </c>
      <c r="AA1032" t="s">
        <v>3700</v>
      </c>
      <c r="AC1032" t="s">
        <v>4278</v>
      </c>
      <c r="AE1032" t="s">
        <v>5383</v>
      </c>
      <c r="AF1032">
        <v>30</v>
      </c>
      <c r="AG1032" t="s">
        <v>5813</v>
      </c>
      <c r="AH1032" t="s">
        <v>3188</v>
      </c>
      <c r="AI1032">
        <v>5</v>
      </c>
      <c r="AJ1032">
        <v>1</v>
      </c>
      <c r="AK1032">
        <v>1</v>
      </c>
      <c r="AL1032">
        <v>138.38</v>
      </c>
      <c r="AO1032" t="s">
        <v>5843</v>
      </c>
      <c r="AP1032">
        <v>23400</v>
      </c>
      <c r="AV1032">
        <v>9.550000000000001</v>
      </c>
      <c r="AW1032" t="s">
        <v>199</v>
      </c>
      <c r="AX1032" t="s">
        <v>6024</v>
      </c>
    </row>
    <row r="1033" spans="1:50">
      <c r="A1033" s="1">
        <f>HYPERLINK("https://lsnyc.legalserver.org/matter/dynamic-profile/view/1842740","17-1842740")</f>
        <v>0</v>
      </c>
      <c r="B1033" t="s">
        <v>183</v>
      </c>
      <c r="C1033" t="s">
        <v>191</v>
      </c>
      <c r="D1033" t="s">
        <v>421</v>
      </c>
      <c r="F1033" t="s">
        <v>1107</v>
      </c>
      <c r="G1033" t="s">
        <v>1889</v>
      </c>
      <c r="H1033" t="s">
        <v>2722</v>
      </c>
      <c r="I1033" t="s">
        <v>3112</v>
      </c>
      <c r="J1033" t="s">
        <v>3146</v>
      </c>
      <c r="K1033">
        <v>10002</v>
      </c>
      <c r="L1033" t="s">
        <v>3184</v>
      </c>
      <c r="N1033" t="s">
        <v>3186</v>
      </c>
      <c r="Q1033" t="s">
        <v>3638</v>
      </c>
      <c r="T1033" t="s">
        <v>3660</v>
      </c>
      <c r="V1033" t="s">
        <v>3669</v>
      </c>
      <c r="W1033" t="s">
        <v>3670</v>
      </c>
      <c r="Y1033">
        <v>0</v>
      </c>
      <c r="Z1033" t="s">
        <v>3689</v>
      </c>
      <c r="AC1033" t="s">
        <v>4642</v>
      </c>
      <c r="AE1033" t="s">
        <v>5700</v>
      </c>
      <c r="AF1033">
        <v>0</v>
      </c>
      <c r="AI1033">
        <v>0</v>
      </c>
      <c r="AJ1033">
        <v>8</v>
      </c>
      <c r="AK1033">
        <v>0</v>
      </c>
      <c r="AL1033">
        <v>173.18</v>
      </c>
      <c r="AO1033" t="s">
        <v>5856</v>
      </c>
      <c r="AP1033">
        <v>137920</v>
      </c>
      <c r="AV1033">
        <v>132.75</v>
      </c>
      <c r="AW1033" t="s">
        <v>198</v>
      </c>
      <c r="AX1033" t="s">
        <v>6062</v>
      </c>
    </row>
    <row r="1034" spans="1:50">
      <c r="A1034" s="1">
        <f>HYPERLINK("https://lsnyc.legalserver.org/matter/dynamic-profile/view/1910191","19-1910191")</f>
        <v>0</v>
      </c>
      <c r="B1034" t="s">
        <v>84</v>
      </c>
      <c r="C1034" t="s">
        <v>191</v>
      </c>
      <c r="D1034" t="s">
        <v>221</v>
      </c>
      <c r="F1034" t="s">
        <v>1108</v>
      </c>
      <c r="G1034" t="s">
        <v>1890</v>
      </c>
      <c r="H1034" t="s">
        <v>2721</v>
      </c>
      <c r="I1034" t="s">
        <v>2888</v>
      </c>
      <c r="J1034" t="s">
        <v>3147</v>
      </c>
      <c r="K1034">
        <v>10456</v>
      </c>
      <c r="L1034" t="s">
        <v>3185</v>
      </c>
      <c r="M1034" t="s">
        <v>3189</v>
      </c>
      <c r="N1034" t="s">
        <v>3186</v>
      </c>
      <c r="P1034" t="s">
        <v>3616</v>
      </c>
      <c r="Q1034" t="s">
        <v>3639</v>
      </c>
      <c r="T1034" t="s">
        <v>3660</v>
      </c>
      <c r="U1034" t="s">
        <v>3185</v>
      </c>
      <c r="W1034" t="s">
        <v>3670</v>
      </c>
      <c r="Y1034">
        <v>0</v>
      </c>
      <c r="Z1034" t="s">
        <v>3690</v>
      </c>
      <c r="AA1034" t="s">
        <v>3700</v>
      </c>
      <c r="AC1034" t="s">
        <v>4643</v>
      </c>
      <c r="AE1034" t="s">
        <v>5701</v>
      </c>
      <c r="AF1034">
        <v>30</v>
      </c>
      <c r="AG1034" t="s">
        <v>3263</v>
      </c>
      <c r="AH1034" t="s">
        <v>3188</v>
      </c>
      <c r="AI1034">
        <v>21</v>
      </c>
      <c r="AJ1034">
        <v>3</v>
      </c>
      <c r="AK1034">
        <v>1</v>
      </c>
      <c r="AL1034">
        <v>187.6</v>
      </c>
      <c r="AP1034">
        <v>48308</v>
      </c>
      <c r="AV1034">
        <v>0</v>
      </c>
      <c r="AX1034" t="s">
        <v>6024</v>
      </c>
    </row>
    <row r="1035" spans="1:50">
      <c r="A1035" s="1">
        <f>HYPERLINK("https://lsnyc.legalserver.org/matter/dynamic-profile/view/1910187","19-1910187")</f>
        <v>0</v>
      </c>
      <c r="B1035" t="s">
        <v>84</v>
      </c>
      <c r="C1035" t="s">
        <v>191</v>
      </c>
      <c r="D1035" t="s">
        <v>221</v>
      </c>
      <c r="F1035" t="s">
        <v>1108</v>
      </c>
      <c r="G1035" t="s">
        <v>1890</v>
      </c>
      <c r="H1035" t="s">
        <v>2721</v>
      </c>
      <c r="I1035" t="s">
        <v>2888</v>
      </c>
      <c r="J1035" t="s">
        <v>3147</v>
      </c>
      <c r="K1035">
        <v>10456</v>
      </c>
      <c r="L1035" t="s">
        <v>3185</v>
      </c>
      <c r="M1035" t="s">
        <v>3189</v>
      </c>
      <c r="N1035" t="s">
        <v>3186</v>
      </c>
      <c r="P1035" t="s">
        <v>3612</v>
      </c>
      <c r="Q1035" t="s">
        <v>3638</v>
      </c>
      <c r="T1035" t="s">
        <v>3660</v>
      </c>
      <c r="U1035" t="s">
        <v>3185</v>
      </c>
      <c r="W1035" t="s">
        <v>3670</v>
      </c>
      <c r="Y1035">
        <v>0</v>
      </c>
      <c r="Z1035" t="s">
        <v>3690</v>
      </c>
      <c r="AA1035" t="s">
        <v>3700</v>
      </c>
      <c r="AC1035" t="s">
        <v>4643</v>
      </c>
      <c r="AE1035" t="s">
        <v>5701</v>
      </c>
      <c r="AF1035">
        <v>30</v>
      </c>
      <c r="AG1035" t="s">
        <v>3263</v>
      </c>
      <c r="AH1035" t="s">
        <v>3188</v>
      </c>
      <c r="AI1035">
        <v>21</v>
      </c>
      <c r="AJ1035">
        <v>3</v>
      </c>
      <c r="AK1035">
        <v>1</v>
      </c>
      <c r="AL1035">
        <v>187.6</v>
      </c>
      <c r="AP1035">
        <v>48308</v>
      </c>
      <c r="AV1035">
        <v>0</v>
      </c>
      <c r="AX1035" t="s">
        <v>6024</v>
      </c>
    </row>
    <row r="1036" spans="1:50">
      <c r="A1036" s="1">
        <f>HYPERLINK("https://lsnyc.legalserver.org/matter/dynamic-profile/view/1907775","19-1907775")</f>
        <v>0</v>
      </c>
      <c r="B1036" t="s">
        <v>53</v>
      </c>
      <c r="C1036" t="s">
        <v>192</v>
      </c>
      <c r="D1036" t="s">
        <v>225</v>
      </c>
      <c r="E1036" t="s">
        <v>196</v>
      </c>
      <c r="F1036" t="s">
        <v>533</v>
      </c>
      <c r="G1036" t="s">
        <v>1578</v>
      </c>
      <c r="H1036" t="s">
        <v>2337</v>
      </c>
      <c r="I1036" t="s">
        <v>2834</v>
      </c>
      <c r="J1036" t="s">
        <v>3146</v>
      </c>
      <c r="K1036">
        <v>10034</v>
      </c>
      <c r="L1036" t="s">
        <v>3184</v>
      </c>
      <c r="N1036" t="s">
        <v>3186</v>
      </c>
      <c r="Q1036" t="s">
        <v>3641</v>
      </c>
      <c r="R1036" t="s">
        <v>3642</v>
      </c>
      <c r="T1036" t="s">
        <v>3660</v>
      </c>
      <c r="U1036" t="s">
        <v>3184</v>
      </c>
      <c r="W1036" t="s">
        <v>3676</v>
      </c>
      <c r="Y1036">
        <v>1200</v>
      </c>
      <c r="Z1036" t="s">
        <v>3689</v>
      </c>
      <c r="AB1036" t="s">
        <v>3723</v>
      </c>
      <c r="AC1036" t="s">
        <v>4198</v>
      </c>
      <c r="AE1036" t="s">
        <v>5312</v>
      </c>
      <c r="AF1036">
        <v>0</v>
      </c>
      <c r="AG1036" t="s">
        <v>3263</v>
      </c>
      <c r="AI1036">
        <v>33</v>
      </c>
      <c r="AJ1036">
        <v>1</v>
      </c>
      <c r="AK1036">
        <v>0</v>
      </c>
      <c r="AL1036">
        <v>163.33</v>
      </c>
      <c r="AO1036" t="s">
        <v>5844</v>
      </c>
      <c r="AP1036">
        <v>20400</v>
      </c>
      <c r="AV1036">
        <v>0.8</v>
      </c>
      <c r="AW1036" t="s">
        <v>225</v>
      </c>
      <c r="AX1036" t="s">
        <v>6009</v>
      </c>
    </row>
    <row r="1037" spans="1:50">
      <c r="A1037" s="1">
        <f>HYPERLINK("https://lsnyc.legalserver.org/matter/dynamic-profile/view/1907616","19-1907616")</f>
        <v>0</v>
      </c>
      <c r="B1037" t="s">
        <v>84</v>
      </c>
      <c r="C1037" t="s">
        <v>191</v>
      </c>
      <c r="D1037" t="s">
        <v>206</v>
      </c>
      <c r="F1037" t="s">
        <v>986</v>
      </c>
      <c r="G1037" t="s">
        <v>1186</v>
      </c>
      <c r="H1037" t="s">
        <v>2071</v>
      </c>
      <c r="I1037" t="s">
        <v>2980</v>
      </c>
      <c r="J1037" t="s">
        <v>3147</v>
      </c>
      <c r="K1037">
        <v>10474</v>
      </c>
      <c r="L1037" t="s">
        <v>3185</v>
      </c>
      <c r="M1037" t="s">
        <v>3189</v>
      </c>
      <c r="N1037" t="s">
        <v>3186</v>
      </c>
      <c r="P1037" t="s">
        <v>3616</v>
      </c>
      <c r="Q1037" t="s">
        <v>3639</v>
      </c>
      <c r="T1037" t="s">
        <v>3660</v>
      </c>
      <c r="U1037" t="s">
        <v>3185</v>
      </c>
      <c r="W1037" t="s">
        <v>3670</v>
      </c>
      <c r="Y1037">
        <v>1650</v>
      </c>
      <c r="Z1037" t="s">
        <v>3690</v>
      </c>
      <c r="AA1037" t="s">
        <v>3700</v>
      </c>
      <c r="AC1037" t="s">
        <v>4451</v>
      </c>
      <c r="AE1037" t="s">
        <v>5537</v>
      </c>
      <c r="AF1037">
        <v>40</v>
      </c>
      <c r="AG1037" t="s">
        <v>5813</v>
      </c>
      <c r="AH1037" t="s">
        <v>3188</v>
      </c>
      <c r="AI1037">
        <v>3</v>
      </c>
      <c r="AJ1037">
        <v>1</v>
      </c>
      <c r="AK1037">
        <v>2</v>
      </c>
      <c r="AL1037">
        <v>199.66</v>
      </c>
      <c r="AO1037" t="s">
        <v>5843</v>
      </c>
      <c r="AP1037">
        <v>42588</v>
      </c>
      <c r="AV1037">
        <v>0</v>
      </c>
      <c r="AX1037" t="s">
        <v>75</v>
      </c>
    </row>
    <row r="1038" spans="1:50">
      <c r="A1038" s="1">
        <f>HYPERLINK("https://lsnyc.legalserver.org/matter/dynamic-profile/view/1905411","19-1905411")</f>
        <v>0</v>
      </c>
      <c r="B1038" t="s">
        <v>84</v>
      </c>
      <c r="C1038" t="s">
        <v>191</v>
      </c>
      <c r="D1038" t="s">
        <v>217</v>
      </c>
      <c r="F1038" t="s">
        <v>452</v>
      </c>
      <c r="G1038" t="s">
        <v>1891</v>
      </c>
      <c r="H1038" t="s">
        <v>2728</v>
      </c>
      <c r="I1038" t="s">
        <v>2816</v>
      </c>
      <c r="J1038" t="s">
        <v>3147</v>
      </c>
      <c r="K1038">
        <v>10457</v>
      </c>
      <c r="L1038" t="s">
        <v>3185</v>
      </c>
      <c r="M1038" t="s">
        <v>3189</v>
      </c>
      <c r="N1038" t="s">
        <v>3186</v>
      </c>
      <c r="Q1038" t="s">
        <v>3636</v>
      </c>
      <c r="T1038" t="s">
        <v>3660</v>
      </c>
      <c r="U1038" t="s">
        <v>3184</v>
      </c>
      <c r="W1038" t="s">
        <v>3670</v>
      </c>
      <c r="Y1038">
        <v>924.22</v>
      </c>
      <c r="Z1038" t="s">
        <v>3690</v>
      </c>
      <c r="AA1038" t="s">
        <v>3700</v>
      </c>
      <c r="AB1038" t="s">
        <v>3712</v>
      </c>
      <c r="AC1038" t="s">
        <v>4644</v>
      </c>
      <c r="AF1038">
        <v>10</v>
      </c>
      <c r="AG1038" t="s">
        <v>3263</v>
      </c>
      <c r="AH1038" t="s">
        <v>3188</v>
      </c>
      <c r="AI1038">
        <v>28</v>
      </c>
      <c r="AJ1038">
        <v>2</v>
      </c>
      <c r="AK1038">
        <v>0</v>
      </c>
      <c r="AL1038">
        <v>212.89</v>
      </c>
      <c r="AO1038" t="s">
        <v>5844</v>
      </c>
      <c r="AP1038">
        <v>36000</v>
      </c>
      <c r="AV1038">
        <v>3</v>
      </c>
      <c r="AW1038" t="s">
        <v>280</v>
      </c>
      <c r="AX1038" t="s">
        <v>6024</v>
      </c>
    </row>
    <row r="1039" spans="1:50">
      <c r="A1039" s="1">
        <f>HYPERLINK("https://lsnyc.legalserver.org/matter/dynamic-profile/view/1889641","19-1889641")</f>
        <v>0</v>
      </c>
      <c r="B1039" t="s">
        <v>66</v>
      </c>
      <c r="C1039" t="s">
        <v>191</v>
      </c>
      <c r="D1039" t="s">
        <v>422</v>
      </c>
      <c r="F1039" t="s">
        <v>1109</v>
      </c>
      <c r="G1039" t="s">
        <v>1499</v>
      </c>
      <c r="H1039" t="s">
        <v>2729</v>
      </c>
      <c r="I1039" t="s">
        <v>2819</v>
      </c>
      <c r="J1039" t="s">
        <v>3183</v>
      </c>
      <c r="K1039">
        <v>10030</v>
      </c>
      <c r="L1039" t="s">
        <v>3184</v>
      </c>
      <c r="N1039" t="s">
        <v>3184</v>
      </c>
      <c r="P1039" t="s">
        <v>3257</v>
      </c>
      <c r="Q1039" t="s">
        <v>3637</v>
      </c>
      <c r="T1039" t="s">
        <v>3660</v>
      </c>
      <c r="W1039" t="s">
        <v>3670</v>
      </c>
      <c r="Y1039">
        <v>697.34</v>
      </c>
      <c r="Z1039" t="s">
        <v>3689</v>
      </c>
      <c r="AA1039" t="s">
        <v>3696</v>
      </c>
      <c r="AC1039" t="s">
        <v>4645</v>
      </c>
      <c r="AE1039" t="s">
        <v>5702</v>
      </c>
      <c r="AF1039">
        <v>0</v>
      </c>
      <c r="AG1039" t="s">
        <v>5813</v>
      </c>
      <c r="AH1039" t="s">
        <v>3188</v>
      </c>
      <c r="AI1039">
        <v>20</v>
      </c>
      <c r="AJ1039">
        <v>1</v>
      </c>
      <c r="AK1039">
        <v>4</v>
      </c>
      <c r="AL1039">
        <v>56.99</v>
      </c>
      <c r="AO1039" t="s">
        <v>5843</v>
      </c>
      <c r="AP1039">
        <v>17193.42</v>
      </c>
      <c r="AT1039" t="s">
        <v>5946</v>
      </c>
      <c r="AU1039" t="s">
        <v>5972</v>
      </c>
      <c r="AV1039">
        <v>4.9</v>
      </c>
      <c r="AW1039" t="s">
        <v>205</v>
      </c>
      <c r="AX1039" t="s">
        <v>6041</v>
      </c>
    </row>
    <row r="1040" spans="1:50">
      <c r="A1040" s="1">
        <f>HYPERLINK("https://lsnyc.legalserver.org/matter/dynamic-profile/view/1906062","19-1906062")</f>
        <v>0</v>
      </c>
      <c r="B1040" t="s">
        <v>84</v>
      </c>
      <c r="C1040" t="s">
        <v>191</v>
      </c>
      <c r="D1040" t="s">
        <v>208</v>
      </c>
      <c r="F1040" t="s">
        <v>560</v>
      </c>
      <c r="G1040" t="s">
        <v>1301</v>
      </c>
      <c r="H1040" t="s">
        <v>2071</v>
      </c>
      <c r="I1040" t="s">
        <v>2895</v>
      </c>
      <c r="J1040" t="s">
        <v>3147</v>
      </c>
      <c r="K1040">
        <v>10474</v>
      </c>
      <c r="L1040" t="s">
        <v>3185</v>
      </c>
      <c r="N1040" t="s">
        <v>3186</v>
      </c>
      <c r="O1040" t="s">
        <v>3565</v>
      </c>
      <c r="P1040" t="s">
        <v>3612</v>
      </c>
      <c r="Q1040" t="s">
        <v>3638</v>
      </c>
      <c r="T1040" t="s">
        <v>3660</v>
      </c>
      <c r="U1040" t="s">
        <v>3185</v>
      </c>
      <c r="W1040" t="s">
        <v>3670</v>
      </c>
      <c r="Y1040">
        <v>1425</v>
      </c>
      <c r="Z1040" t="s">
        <v>3690</v>
      </c>
      <c r="AA1040" t="s">
        <v>3700</v>
      </c>
      <c r="AC1040" t="s">
        <v>3857</v>
      </c>
      <c r="AE1040" t="s">
        <v>4997</v>
      </c>
      <c r="AF1040">
        <v>47</v>
      </c>
      <c r="AG1040" t="s">
        <v>5813</v>
      </c>
      <c r="AH1040" t="s">
        <v>3188</v>
      </c>
      <c r="AI1040">
        <v>4</v>
      </c>
      <c r="AJ1040">
        <v>2</v>
      </c>
      <c r="AK1040">
        <v>0</v>
      </c>
      <c r="AL1040">
        <v>292.13</v>
      </c>
      <c r="AO1040" t="s">
        <v>5843</v>
      </c>
      <c r="AP1040">
        <v>49400</v>
      </c>
      <c r="AV1040">
        <v>63.95</v>
      </c>
      <c r="AW1040" t="s">
        <v>199</v>
      </c>
      <c r="AX1040" t="s">
        <v>78</v>
      </c>
    </row>
    <row r="1041" spans="1:50">
      <c r="A1041" s="1">
        <f>HYPERLINK("https://lsnyc.legalserver.org/matter/dynamic-profile/view/0830558","17-0830558")</f>
        <v>0</v>
      </c>
      <c r="B1041" t="s">
        <v>67</v>
      </c>
      <c r="C1041" t="s">
        <v>191</v>
      </c>
      <c r="D1041" t="s">
        <v>423</v>
      </c>
      <c r="F1041" t="s">
        <v>723</v>
      </c>
      <c r="G1041" t="s">
        <v>1892</v>
      </c>
      <c r="H1041" t="s">
        <v>2730</v>
      </c>
      <c r="I1041">
        <v>36</v>
      </c>
      <c r="J1041" t="s">
        <v>3146</v>
      </c>
      <c r="K1041">
        <v>10034</v>
      </c>
      <c r="L1041" t="s">
        <v>3184</v>
      </c>
      <c r="M1041" t="s">
        <v>3189</v>
      </c>
      <c r="N1041" t="s">
        <v>3185</v>
      </c>
      <c r="P1041" t="s">
        <v>3612</v>
      </c>
      <c r="Q1041" t="s">
        <v>3636</v>
      </c>
      <c r="T1041" t="s">
        <v>3660</v>
      </c>
      <c r="U1041" t="s">
        <v>3184</v>
      </c>
      <c r="W1041" t="s">
        <v>3670</v>
      </c>
      <c r="Y1041">
        <v>1300</v>
      </c>
      <c r="Z1041" t="s">
        <v>3689</v>
      </c>
      <c r="AA1041" t="s">
        <v>3696</v>
      </c>
      <c r="AC1041" t="s">
        <v>3880</v>
      </c>
      <c r="AE1041" t="s">
        <v>5703</v>
      </c>
      <c r="AF1041">
        <v>30</v>
      </c>
      <c r="AG1041" t="s">
        <v>5813</v>
      </c>
      <c r="AH1041" t="s">
        <v>5827</v>
      </c>
      <c r="AI1041">
        <v>41</v>
      </c>
      <c r="AJ1041">
        <v>2</v>
      </c>
      <c r="AK1041">
        <v>0</v>
      </c>
      <c r="AL1041">
        <v>56.08</v>
      </c>
      <c r="AO1041" t="s">
        <v>5844</v>
      </c>
      <c r="AP1041">
        <v>9108</v>
      </c>
      <c r="AV1041">
        <v>1.9</v>
      </c>
      <c r="AW1041" t="s">
        <v>6003</v>
      </c>
      <c r="AX1041" t="s">
        <v>6007</v>
      </c>
    </row>
    <row r="1042" spans="1:50">
      <c r="A1042" s="1">
        <f>HYPERLINK("https://lsnyc.legalserver.org/matter/dynamic-profile/view/1907861","19-1907861")</f>
        <v>0</v>
      </c>
      <c r="B1042" t="s">
        <v>84</v>
      </c>
      <c r="C1042" t="s">
        <v>191</v>
      </c>
      <c r="D1042" t="s">
        <v>225</v>
      </c>
      <c r="F1042" t="s">
        <v>568</v>
      </c>
      <c r="G1042" t="s">
        <v>1310</v>
      </c>
      <c r="H1042" t="s">
        <v>2071</v>
      </c>
      <c r="I1042" t="s">
        <v>2901</v>
      </c>
      <c r="J1042" t="s">
        <v>3147</v>
      </c>
      <c r="K1042">
        <v>10474</v>
      </c>
      <c r="L1042" t="s">
        <v>3185</v>
      </c>
      <c r="M1042" t="s">
        <v>3189</v>
      </c>
      <c r="N1042" t="s">
        <v>3186</v>
      </c>
      <c r="P1042" t="s">
        <v>3612</v>
      </c>
      <c r="Q1042" t="s">
        <v>3638</v>
      </c>
      <c r="T1042" t="s">
        <v>3660</v>
      </c>
      <c r="U1042" t="s">
        <v>3185</v>
      </c>
      <c r="W1042" t="s">
        <v>3670</v>
      </c>
      <c r="Y1042">
        <v>1450</v>
      </c>
      <c r="Z1042" t="s">
        <v>3690</v>
      </c>
      <c r="AA1042" t="s">
        <v>3700</v>
      </c>
      <c r="AC1042" t="s">
        <v>3868</v>
      </c>
      <c r="AE1042" t="s">
        <v>5006</v>
      </c>
      <c r="AF1042">
        <v>40</v>
      </c>
      <c r="AG1042" t="s">
        <v>5813</v>
      </c>
      <c r="AH1042" t="s">
        <v>3188</v>
      </c>
      <c r="AI1042">
        <v>2</v>
      </c>
      <c r="AJ1042">
        <v>1</v>
      </c>
      <c r="AK1042">
        <v>0</v>
      </c>
      <c r="AL1042">
        <v>316.41</v>
      </c>
      <c r="AO1042" t="s">
        <v>5843</v>
      </c>
      <c r="AP1042">
        <v>39520</v>
      </c>
      <c r="AV1042">
        <v>0</v>
      </c>
      <c r="AX1042" t="s">
        <v>75</v>
      </c>
    </row>
    <row r="1043" spans="1:50">
      <c r="A1043" s="1">
        <f>HYPERLINK("https://lsnyc.legalserver.org/matter/dynamic-profile/view/1862262","18-1862262")</f>
        <v>0</v>
      </c>
      <c r="B1043" t="s">
        <v>184</v>
      </c>
      <c r="C1043" t="s">
        <v>191</v>
      </c>
      <c r="D1043" t="s">
        <v>424</v>
      </c>
      <c r="F1043" t="s">
        <v>814</v>
      </c>
      <c r="G1043" t="s">
        <v>1893</v>
      </c>
      <c r="H1043" t="s">
        <v>2731</v>
      </c>
      <c r="I1043" t="s">
        <v>2814</v>
      </c>
      <c r="J1043" t="s">
        <v>3146</v>
      </c>
      <c r="K1043">
        <v>10030</v>
      </c>
      <c r="L1043" t="s">
        <v>3184</v>
      </c>
      <c r="N1043" t="s">
        <v>3186</v>
      </c>
      <c r="O1043" t="s">
        <v>3566</v>
      </c>
      <c r="P1043" t="s">
        <v>3610</v>
      </c>
      <c r="Q1043" t="s">
        <v>3634</v>
      </c>
      <c r="T1043" t="s">
        <v>3660</v>
      </c>
      <c r="W1043" t="s">
        <v>3670</v>
      </c>
      <c r="Y1043">
        <v>249</v>
      </c>
      <c r="Z1043" t="s">
        <v>3689</v>
      </c>
      <c r="AC1043" t="s">
        <v>4646</v>
      </c>
      <c r="AE1043" t="s">
        <v>5704</v>
      </c>
      <c r="AF1043">
        <v>0</v>
      </c>
      <c r="AH1043" t="s">
        <v>5830</v>
      </c>
      <c r="AI1043">
        <v>7</v>
      </c>
      <c r="AJ1043">
        <v>2</v>
      </c>
      <c r="AK1043">
        <v>2</v>
      </c>
      <c r="AL1043">
        <v>34.16</v>
      </c>
      <c r="AP1043">
        <v>8574.6</v>
      </c>
      <c r="AV1043">
        <v>0.2</v>
      </c>
      <c r="AW1043" t="s">
        <v>6004</v>
      </c>
      <c r="AX1043" t="s">
        <v>6064</v>
      </c>
    </row>
    <row r="1044" spans="1:50">
      <c r="A1044" s="1">
        <f>HYPERLINK("https://lsnyc.legalserver.org/matter/dynamic-profile/view/1891156","19-1891156")</f>
        <v>0</v>
      </c>
      <c r="B1044" t="s">
        <v>118</v>
      </c>
      <c r="C1044" t="s">
        <v>191</v>
      </c>
      <c r="D1044" t="s">
        <v>401</v>
      </c>
      <c r="F1044" t="s">
        <v>1110</v>
      </c>
      <c r="G1044" t="s">
        <v>1894</v>
      </c>
      <c r="H1044" t="s">
        <v>2732</v>
      </c>
      <c r="I1044">
        <v>5</v>
      </c>
      <c r="J1044" t="s">
        <v>3146</v>
      </c>
      <c r="K1044">
        <v>10013</v>
      </c>
      <c r="L1044" t="s">
        <v>3184</v>
      </c>
      <c r="N1044" t="s">
        <v>3185</v>
      </c>
      <c r="P1044" t="s">
        <v>3257</v>
      </c>
      <c r="Q1044" t="s">
        <v>3637</v>
      </c>
      <c r="T1044" t="s">
        <v>3660</v>
      </c>
      <c r="U1044" t="s">
        <v>3184</v>
      </c>
      <c r="W1044" t="s">
        <v>3670</v>
      </c>
      <c r="Y1044">
        <v>0</v>
      </c>
      <c r="Z1044" t="s">
        <v>3689</v>
      </c>
      <c r="AA1044" t="s">
        <v>3704</v>
      </c>
      <c r="AC1044" t="s">
        <v>4647</v>
      </c>
      <c r="AF1044">
        <v>0</v>
      </c>
      <c r="AG1044" t="s">
        <v>3263</v>
      </c>
      <c r="AH1044" t="s">
        <v>3188</v>
      </c>
      <c r="AI1044">
        <v>3</v>
      </c>
      <c r="AJ1044">
        <v>1</v>
      </c>
      <c r="AK1044">
        <v>0</v>
      </c>
      <c r="AL1044">
        <v>249.8</v>
      </c>
      <c r="AO1044" t="s">
        <v>5855</v>
      </c>
      <c r="AP1044">
        <v>31200</v>
      </c>
      <c r="AV1044">
        <v>0</v>
      </c>
      <c r="AX1044" t="s">
        <v>6041</v>
      </c>
    </row>
    <row r="1045" spans="1:50">
      <c r="A1045" s="1">
        <f>HYPERLINK("https://lsnyc.legalserver.org/matter/dynamic-profile/view/1907089","19-1907089")</f>
        <v>0</v>
      </c>
      <c r="B1045" t="s">
        <v>84</v>
      </c>
      <c r="C1045" t="s">
        <v>191</v>
      </c>
      <c r="D1045" t="s">
        <v>282</v>
      </c>
      <c r="F1045" t="s">
        <v>562</v>
      </c>
      <c r="G1045" t="s">
        <v>1191</v>
      </c>
      <c r="H1045" t="s">
        <v>2071</v>
      </c>
      <c r="I1045" t="s">
        <v>2858</v>
      </c>
      <c r="J1045" t="s">
        <v>3147</v>
      </c>
      <c r="K1045">
        <v>10474</v>
      </c>
      <c r="L1045" t="s">
        <v>3185</v>
      </c>
      <c r="M1045" t="s">
        <v>3189</v>
      </c>
      <c r="N1045" t="s">
        <v>3186</v>
      </c>
      <c r="T1045" t="s">
        <v>3660</v>
      </c>
      <c r="U1045" t="s">
        <v>3185</v>
      </c>
      <c r="W1045" t="s">
        <v>3670</v>
      </c>
      <c r="Y1045">
        <v>309.6</v>
      </c>
      <c r="Z1045" t="s">
        <v>3690</v>
      </c>
      <c r="AA1045" t="s">
        <v>3700</v>
      </c>
      <c r="AC1045" t="s">
        <v>3860</v>
      </c>
      <c r="AE1045" t="s">
        <v>4999</v>
      </c>
      <c r="AF1045">
        <v>45</v>
      </c>
      <c r="AG1045" t="s">
        <v>3263</v>
      </c>
      <c r="AH1045" t="s">
        <v>3188</v>
      </c>
      <c r="AI1045">
        <v>12</v>
      </c>
      <c r="AJ1045">
        <v>1</v>
      </c>
      <c r="AK1045">
        <v>0</v>
      </c>
      <c r="AL1045">
        <v>36.41</v>
      </c>
      <c r="AO1045" t="s">
        <v>5843</v>
      </c>
      <c r="AP1045">
        <v>4548</v>
      </c>
      <c r="AV1045">
        <v>0</v>
      </c>
      <c r="AX1045" t="s">
        <v>83</v>
      </c>
    </row>
    <row r="1046" spans="1:50">
      <c r="A1046" s="1">
        <f>HYPERLINK("https://lsnyc.legalserver.org/matter/dynamic-profile/view/1907093","19-1907093")</f>
        <v>0</v>
      </c>
      <c r="B1046" t="s">
        <v>84</v>
      </c>
      <c r="C1046" t="s">
        <v>191</v>
      </c>
      <c r="D1046" t="s">
        <v>282</v>
      </c>
      <c r="F1046" t="s">
        <v>452</v>
      </c>
      <c r="G1046" t="s">
        <v>1306</v>
      </c>
      <c r="H1046" t="s">
        <v>2071</v>
      </c>
      <c r="I1046" t="s">
        <v>2887</v>
      </c>
      <c r="J1046" t="s">
        <v>3147</v>
      </c>
      <c r="K1046">
        <v>10474</v>
      </c>
      <c r="L1046" t="s">
        <v>3185</v>
      </c>
      <c r="M1046" t="s">
        <v>3189</v>
      </c>
      <c r="N1046" t="s">
        <v>3186</v>
      </c>
      <c r="T1046" t="s">
        <v>3660</v>
      </c>
      <c r="U1046" t="s">
        <v>3185</v>
      </c>
      <c r="W1046" t="s">
        <v>3670</v>
      </c>
      <c r="Y1046">
        <v>576</v>
      </c>
      <c r="Z1046" t="s">
        <v>3690</v>
      </c>
      <c r="AA1046" t="s">
        <v>3700</v>
      </c>
      <c r="AC1046" t="s">
        <v>3863</v>
      </c>
      <c r="AD1046" t="s">
        <v>4868</v>
      </c>
      <c r="AF1046">
        <v>45</v>
      </c>
      <c r="AG1046" t="s">
        <v>5813</v>
      </c>
      <c r="AH1046" t="s">
        <v>5827</v>
      </c>
      <c r="AI1046">
        <v>48</v>
      </c>
      <c r="AJ1046">
        <v>1</v>
      </c>
      <c r="AK1046">
        <v>0</v>
      </c>
      <c r="AL1046">
        <v>73.98</v>
      </c>
      <c r="AO1046" t="s">
        <v>5844</v>
      </c>
      <c r="AP1046">
        <v>9240</v>
      </c>
      <c r="AV1046">
        <v>0</v>
      </c>
      <c r="AX1046" t="s">
        <v>83</v>
      </c>
    </row>
    <row r="1047" spans="1:50">
      <c r="A1047" s="1">
        <f>HYPERLINK("https://lsnyc.legalserver.org/matter/dynamic-profile/view/1907098","19-1907098")</f>
        <v>0</v>
      </c>
      <c r="B1047" t="s">
        <v>84</v>
      </c>
      <c r="C1047" t="s">
        <v>191</v>
      </c>
      <c r="D1047" t="s">
        <v>254</v>
      </c>
      <c r="F1047" t="s">
        <v>565</v>
      </c>
      <c r="G1047" t="s">
        <v>1307</v>
      </c>
      <c r="H1047" t="s">
        <v>2071</v>
      </c>
      <c r="I1047" t="s">
        <v>2827</v>
      </c>
      <c r="J1047" t="s">
        <v>3147</v>
      </c>
      <c r="K1047">
        <v>10474</v>
      </c>
      <c r="L1047" t="s">
        <v>3185</v>
      </c>
      <c r="M1047" t="s">
        <v>3189</v>
      </c>
      <c r="N1047" t="s">
        <v>3186</v>
      </c>
      <c r="T1047" t="s">
        <v>3660</v>
      </c>
      <c r="U1047" t="s">
        <v>3185</v>
      </c>
      <c r="W1047" t="s">
        <v>3670</v>
      </c>
      <c r="Y1047">
        <v>215</v>
      </c>
      <c r="Z1047" t="s">
        <v>3690</v>
      </c>
      <c r="AA1047" t="s">
        <v>3700</v>
      </c>
      <c r="AC1047" t="s">
        <v>3864</v>
      </c>
      <c r="AE1047" t="s">
        <v>5002</v>
      </c>
      <c r="AF1047">
        <v>45</v>
      </c>
      <c r="AG1047" t="s">
        <v>5813</v>
      </c>
      <c r="AH1047" t="s">
        <v>5827</v>
      </c>
      <c r="AI1047">
        <v>20</v>
      </c>
      <c r="AJ1047">
        <v>1</v>
      </c>
      <c r="AK1047">
        <v>0</v>
      </c>
      <c r="AL1047">
        <v>93.67</v>
      </c>
      <c r="AO1047" t="s">
        <v>5843</v>
      </c>
      <c r="AP1047">
        <v>11700</v>
      </c>
      <c r="AV1047">
        <v>0</v>
      </c>
      <c r="AX1047" t="s">
        <v>83</v>
      </c>
    </row>
    <row r="1048" spans="1:50">
      <c r="A1048" s="1">
        <f>HYPERLINK("https://lsnyc.legalserver.org/matter/dynamic-profile/view/1909124","19-1909124")</f>
        <v>0</v>
      </c>
      <c r="B1048" t="s">
        <v>84</v>
      </c>
      <c r="C1048" t="s">
        <v>191</v>
      </c>
      <c r="D1048" t="s">
        <v>228</v>
      </c>
      <c r="F1048" t="s">
        <v>870</v>
      </c>
      <c r="G1048" t="s">
        <v>1637</v>
      </c>
      <c r="H1048" t="s">
        <v>2406</v>
      </c>
      <c r="I1048" t="s">
        <v>2860</v>
      </c>
      <c r="J1048" t="s">
        <v>3147</v>
      </c>
      <c r="K1048">
        <v>10456</v>
      </c>
      <c r="L1048" t="s">
        <v>3185</v>
      </c>
      <c r="M1048" t="s">
        <v>3189</v>
      </c>
      <c r="N1048" t="s">
        <v>3186</v>
      </c>
      <c r="P1048" t="s">
        <v>3616</v>
      </c>
      <c r="T1048" t="s">
        <v>3660</v>
      </c>
      <c r="U1048" t="s">
        <v>3185</v>
      </c>
      <c r="W1048" t="s">
        <v>3670</v>
      </c>
      <c r="Y1048">
        <v>1511.88</v>
      </c>
      <c r="Z1048" t="s">
        <v>3690</v>
      </c>
      <c r="AA1048" t="s">
        <v>3700</v>
      </c>
      <c r="AC1048" t="s">
        <v>4278</v>
      </c>
      <c r="AE1048" t="s">
        <v>5383</v>
      </c>
      <c r="AF1048">
        <v>30</v>
      </c>
      <c r="AG1048" t="s">
        <v>5813</v>
      </c>
      <c r="AH1048" t="s">
        <v>3188</v>
      </c>
      <c r="AI1048">
        <v>5</v>
      </c>
      <c r="AJ1048">
        <v>1</v>
      </c>
      <c r="AK1048">
        <v>1</v>
      </c>
      <c r="AL1048">
        <v>138.38</v>
      </c>
      <c r="AO1048" t="s">
        <v>5843</v>
      </c>
      <c r="AP1048">
        <v>23400</v>
      </c>
      <c r="AV1048">
        <v>1</v>
      </c>
      <c r="AW1048" t="s">
        <v>275</v>
      </c>
      <c r="AX1048" t="s">
        <v>6024</v>
      </c>
    </row>
    <row r="1049" spans="1:50">
      <c r="A1049" s="1">
        <f>HYPERLINK("https://lsnyc.legalserver.org/matter/dynamic-profile/view/1907095","19-1907095")</f>
        <v>0</v>
      </c>
      <c r="B1049" t="s">
        <v>84</v>
      </c>
      <c r="C1049" t="s">
        <v>191</v>
      </c>
      <c r="D1049" t="s">
        <v>203</v>
      </c>
      <c r="F1049" t="s">
        <v>504</v>
      </c>
      <c r="G1049" t="s">
        <v>1309</v>
      </c>
      <c r="H1049" t="s">
        <v>2071</v>
      </c>
      <c r="I1049" t="s">
        <v>2899</v>
      </c>
      <c r="J1049" t="s">
        <v>3147</v>
      </c>
      <c r="K1049">
        <v>10474</v>
      </c>
      <c r="L1049" t="s">
        <v>3185</v>
      </c>
      <c r="M1049" t="s">
        <v>3189</v>
      </c>
      <c r="N1049" t="s">
        <v>3186</v>
      </c>
      <c r="T1049" t="s">
        <v>3660</v>
      </c>
      <c r="U1049" t="s">
        <v>3185</v>
      </c>
      <c r="W1049" t="s">
        <v>3670</v>
      </c>
      <c r="Y1049">
        <v>1750</v>
      </c>
      <c r="Z1049" t="s">
        <v>3690</v>
      </c>
      <c r="AA1049" t="s">
        <v>3700</v>
      </c>
      <c r="AC1049" t="s">
        <v>3866</v>
      </c>
      <c r="AE1049" t="s">
        <v>5004</v>
      </c>
      <c r="AF1049">
        <v>45</v>
      </c>
      <c r="AG1049" t="s">
        <v>5813</v>
      </c>
      <c r="AH1049" t="s">
        <v>3188</v>
      </c>
      <c r="AI1049">
        <v>5</v>
      </c>
      <c r="AJ1049">
        <v>4</v>
      </c>
      <c r="AK1049">
        <v>1</v>
      </c>
      <c r="AL1049">
        <v>189.59</v>
      </c>
      <c r="AO1049" t="s">
        <v>5844</v>
      </c>
      <c r="AP1049">
        <v>57200</v>
      </c>
      <c r="AV1049">
        <v>0</v>
      </c>
      <c r="AX1049" t="s">
        <v>83</v>
      </c>
    </row>
    <row r="1050" spans="1:50">
      <c r="A1050" s="1">
        <f>HYPERLINK("https://lsnyc.legalserver.org/matter/dynamic-profile/view/1909155","19-1909155")</f>
        <v>0</v>
      </c>
      <c r="B1050" t="s">
        <v>84</v>
      </c>
      <c r="C1050" t="s">
        <v>191</v>
      </c>
      <c r="D1050" t="s">
        <v>228</v>
      </c>
      <c r="F1050" t="s">
        <v>555</v>
      </c>
      <c r="G1050" t="s">
        <v>1380</v>
      </c>
      <c r="H1050" t="s">
        <v>2406</v>
      </c>
      <c r="I1050" t="s">
        <v>2829</v>
      </c>
      <c r="J1050" t="s">
        <v>3147</v>
      </c>
      <c r="K1050">
        <v>10456</v>
      </c>
      <c r="L1050" t="s">
        <v>3185</v>
      </c>
      <c r="M1050" t="s">
        <v>3189</v>
      </c>
      <c r="N1050" t="s">
        <v>3186</v>
      </c>
      <c r="P1050" t="s">
        <v>3616</v>
      </c>
      <c r="T1050" t="s">
        <v>3660</v>
      </c>
      <c r="U1050" t="s">
        <v>3185</v>
      </c>
      <c r="W1050" t="s">
        <v>3670</v>
      </c>
      <c r="Y1050">
        <v>998</v>
      </c>
      <c r="Z1050" t="s">
        <v>3690</v>
      </c>
      <c r="AA1050" t="s">
        <v>3700</v>
      </c>
      <c r="AC1050" t="s">
        <v>4648</v>
      </c>
      <c r="AE1050" t="s">
        <v>5705</v>
      </c>
      <c r="AF1050">
        <v>30</v>
      </c>
      <c r="AG1050" t="s">
        <v>5813</v>
      </c>
      <c r="AH1050" t="s">
        <v>3188</v>
      </c>
      <c r="AI1050">
        <v>32</v>
      </c>
      <c r="AJ1050">
        <v>2</v>
      </c>
      <c r="AK1050">
        <v>0</v>
      </c>
      <c r="AL1050">
        <v>473.09</v>
      </c>
      <c r="AO1050" t="s">
        <v>5843</v>
      </c>
      <c r="AP1050">
        <v>80000</v>
      </c>
      <c r="AV1050">
        <v>0</v>
      </c>
      <c r="AX1050" t="s">
        <v>6024</v>
      </c>
    </row>
    <row r="1051" spans="1:50">
      <c r="A1051" s="1">
        <f>HYPERLINK("https://lsnyc.legalserver.org/matter/dynamic-profile/view/1909152","19-1909152")</f>
        <v>0</v>
      </c>
      <c r="B1051" t="s">
        <v>84</v>
      </c>
      <c r="C1051" t="s">
        <v>191</v>
      </c>
      <c r="D1051" t="s">
        <v>228</v>
      </c>
      <c r="F1051" t="s">
        <v>555</v>
      </c>
      <c r="G1051" t="s">
        <v>1380</v>
      </c>
      <c r="H1051" t="s">
        <v>2406</v>
      </c>
      <c r="I1051" t="s">
        <v>2829</v>
      </c>
      <c r="J1051" t="s">
        <v>3147</v>
      </c>
      <c r="K1051">
        <v>10456</v>
      </c>
      <c r="L1051" t="s">
        <v>3185</v>
      </c>
      <c r="M1051" t="s">
        <v>3189</v>
      </c>
      <c r="N1051" t="s">
        <v>3186</v>
      </c>
      <c r="P1051" t="s">
        <v>3612</v>
      </c>
      <c r="T1051" t="s">
        <v>3660</v>
      </c>
      <c r="U1051" t="s">
        <v>3185</v>
      </c>
      <c r="W1051" t="s">
        <v>3670</v>
      </c>
      <c r="Y1051">
        <v>998</v>
      </c>
      <c r="Z1051" t="s">
        <v>3690</v>
      </c>
      <c r="AA1051" t="s">
        <v>3700</v>
      </c>
      <c r="AC1051" t="s">
        <v>4648</v>
      </c>
      <c r="AE1051" t="s">
        <v>5705</v>
      </c>
      <c r="AF1051">
        <v>30</v>
      </c>
      <c r="AG1051" t="s">
        <v>5813</v>
      </c>
      <c r="AH1051" t="s">
        <v>3188</v>
      </c>
      <c r="AI1051">
        <v>32</v>
      </c>
      <c r="AJ1051">
        <v>2</v>
      </c>
      <c r="AK1051">
        <v>0</v>
      </c>
      <c r="AL1051">
        <v>473.09</v>
      </c>
      <c r="AO1051" t="s">
        <v>5843</v>
      </c>
      <c r="AP1051">
        <v>80000</v>
      </c>
      <c r="AV1051">
        <v>0</v>
      </c>
      <c r="AX1051" t="s">
        <v>6024</v>
      </c>
    </row>
    <row r="1052" spans="1:50">
      <c r="A1052" s="1">
        <f>HYPERLINK("https://lsnyc.legalserver.org/matter/dynamic-profile/view/1909140","19-1909140")</f>
        <v>0</v>
      </c>
      <c r="B1052" t="s">
        <v>84</v>
      </c>
      <c r="C1052" t="s">
        <v>191</v>
      </c>
      <c r="D1052" t="s">
        <v>228</v>
      </c>
      <c r="F1052" t="s">
        <v>666</v>
      </c>
      <c r="G1052" t="s">
        <v>1529</v>
      </c>
      <c r="H1052" t="s">
        <v>2406</v>
      </c>
      <c r="I1052" t="s">
        <v>2904</v>
      </c>
      <c r="J1052" t="s">
        <v>3147</v>
      </c>
      <c r="K1052">
        <v>10456</v>
      </c>
      <c r="L1052" t="s">
        <v>3185</v>
      </c>
      <c r="M1052" t="s">
        <v>3189</v>
      </c>
      <c r="N1052" t="s">
        <v>3186</v>
      </c>
      <c r="P1052" t="s">
        <v>3616</v>
      </c>
      <c r="T1052" t="s">
        <v>3660</v>
      </c>
      <c r="U1052" t="s">
        <v>3185</v>
      </c>
      <c r="W1052" t="s">
        <v>3670</v>
      </c>
      <c r="Y1052">
        <v>30</v>
      </c>
      <c r="Z1052" t="s">
        <v>3690</v>
      </c>
      <c r="AA1052" t="s">
        <v>3700</v>
      </c>
      <c r="AC1052" t="s">
        <v>4649</v>
      </c>
      <c r="AE1052" t="s">
        <v>5706</v>
      </c>
      <c r="AF1052">
        <v>30</v>
      </c>
      <c r="AG1052" t="s">
        <v>5813</v>
      </c>
      <c r="AH1052" t="s">
        <v>3188</v>
      </c>
      <c r="AI1052">
        <v>26</v>
      </c>
      <c r="AJ1052">
        <v>1</v>
      </c>
      <c r="AK1052">
        <v>0</v>
      </c>
      <c r="AL1052">
        <v>480.38</v>
      </c>
      <c r="AO1052" t="s">
        <v>5843</v>
      </c>
      <c r="AP1052">
        <v>60000</v>
      </c>
      <c r="AV1052">
        <v>0</v>
      </c>
      <c r="AX1052" t="s">
        <v>6024</v>
      </c>
    </row>
    <row r="1053" spans="1:50">
      <c r="A1053" s="1">
        <f>HYPERLINK("https://lsnyc.legalserver.org/matter/dynamic-profile/view/1909139","19-1909139")</f>
        <v>0</v>
      </c>
      <c r="B1053" t="s">
        <v>84</v>
      </c>
      <c r="C1053" t="s">
        <v>191</v>
      </c>
      <c r="D1053" t="s">
        <v>228</v>
      </c>
      <c r="F1053" t="s">
        <v>666</v>
      </c>
      <c r="G1053" t="s">
        <v>1529</v>
      </c>
      <c r="H1053" t="s">
        <v>2406</v>
      </c>
      <c r="I1053" t="s">
        <v>2904</v>
      </c>
      <c r="J1053" t="s">
        <v>3147</v>
      </c>
      <c r="K1053">
        <v>10456</v>
      </c>
      <c r="L1053" t="s">
        <v>3185</v>
      </c>
      <c r="M1053" t="s">
        <v>3189</v>
      </c>
      <c r="N1053" t="s">
        <v>3186</v>
      </c>
      <c r="P1053" t="s">
        <v>3612</v>
      </c>
      <c r="T1053" t="s">
        <v>3660</v>
      </c>
      <c r="U1053" t="s">
        <v>3185</v>
      </c>
      <c r="W1053" t="s">
        <v>3670</v>
      </c>
      <c r="Y1053">
        <v>1075</v>
      </c>
      <c r="Z1053" t="s">
        <v>3690</v>
      </c>
      <c r="AA1053" t="s">
        <v>3700</v>
      </c>
      <c r="AC1053" t="s">
        <v>4649</v>
      </c>
      <c r="AE1053" t="s">
        <v>5706</v>
      </c>
      <c r="AF1053">
        <v>30</v>
      </c>
      <c r="AG1053" t="s">
        <v>5813</v>
      </c>
      <c r="AH1053" t="s">
        <v>3188</v>
      </c>
      <c r="AI1053">
        <v>26</v>
      </c>
      <c r="AJ1053">
        <v>1</v>
      </c>
      <c r="AK1053">
        <v>0</v>
      </c>
      <c r="AL1053">
        <v>480.38</v>
      </c>
      <c r="AO1053" t="s">
        <v>5843</v>
      </c>
      <c r="AP1053">
        <v>60000</v>
      </c>
      <c r="AV1053">
        <v>0</v>
      </c>
      <c r="AX1053" t="s">
        <v>6024</v>
      </c>
    </row>
    <row r="1054" spans="1:50">
      <c r="A1054" s="1">
        <f>HYPERLINK("https://lsnyc.legalserver.org/matter/dynamic-profile/view/1843588","17-1843588")</f>
        <v>0</v>
      </c>
      <c r="B1054" t="s">
        <v>124</v>
      </c>
      <c r="C1054" t="s">
        <v>191</v>
      </c>
      <c r="D1054" t="s">
        <v>425</v>
      </c>
      <c r="F1054" t="s">
        <v>988</v>
      </c>
      <c r="G1054" t="s">
        <v>1365</v>
      </c>
      <c r="H1054" t="s">
        <v>2733</v>
      </c>
      <c r="I1054">
        <v>39</v>
      </c>
      <c r="J1054" t="s">
        <v>3146</v>
      </c>
      <c r="K1054">
        <v>10040</v>
      </c>
      <c r="L1054" t="s">
        <v>3184</v>
      </c>
      <c r="N1054" t="s">
        <v>3186</v>
      </c>
      <c r="P1054" t="s">
        <v>3612</v>
      </c>
      <c r="Q1054" t="s">
        <v>3638</v>
      </c>
      <c r="T1054" t="s">
        <v>3660</v>
      </c>
      <c r="U1054" t="s">
        <v>3185</v>
      </c>
      <c r="W1054" t="s">
        <v>3670</v>
      </c>
      <c r="Y1054">
        <v>1300</v>
      </c>
      <c r="Z1054" t="s">
        <v>3689</v>
      </c>
      <c r="AA1054" t="s">
        <v>3697</v>
      </c>
      <c r="AC1054" t="s">
        <v>4650</v>
      </c>
      <c r="AE1054" t="s">
        <v>5707</v>
      </c>
      <c r="AF1054">
        <v>44</v>
      </c>
      <c r="AG1054" t="s">
        <v>5813</v>
      </c>
      <c r="AH1054" t="s">
        <v>3188</v>
      </c>
      <c r="AI1054">
        <v>25</v>
      </c>
      <c r="AJ1054">
        <v>1</v>
      </c>
      <c r="AK1054">
        <v>0</v>
      </c>
      <c r="AL1054">
        <v>9.1</v>
      </c>
      <c r="AM1054" t="s">
        <v>5838</v>
      </c>
      <c r="AO1054" t="s">
        <v>5844</v>
      </c>
      <c r="AP1054">
        <v>1098</v>
      </c>
      <c r="AV1054">
        <v>0.21</v>
      </c>
      <c r="AW1054" t="s">
        <v>6005</v>
      </c>
      <c r="AX1054" t="s">
        <v>108</v>
      </c>
    </row>
    <row r="1055" spans="1:50">
      <c r="A1055" s="1">
        <f>HYPERLINK("https://lsnyc.legalserver.org/matter/dynamic-profile/view/0793777","15-0793777")</f>
        <v>0</v>
      </c>
      <c r="B1055" t="s">
        <v>124</v>
      </c>
      <c r="C1055" t="s">
        <v>191</v>
      </c>
      <c r="D1055" t="s">
        <v>426</v>
      </c>
      <c r="F1055" t="s">
        <v>1111</v>
      </c>
      <c r="G1055" t="s">
        <v>1191</v>
      </c>
      <c r="H1055" t="s">
        <v>2734</v>
      </c>
      <c r="I1055" t="s">
        <v>3112</v>
      </c>
      <c r="J1055" t="s">
        <v>3146</v>
      </c>
      <c r="K1055">
        <v>10034</v>
      </c>
      <c r="L1055" t="s">
        <v>3184</v>
      </c>
      <c r="N1055" t="s">
        <v>3186</v>
      </c>
      <c r="P1055" t="s">
        <v>3257</v>
      </c>
      <c r="Q1055" t="s">
        <v>3634</v>
      </c>
      <c r="T1055" t="s">
        <v>3660</v>
      </c>
      <c r="U1055" t="s">
        <v>3184</v>
      </c>
      <c r="W1055" t="s">
        <v>3670</v>
      </c>
      <c r="Y1055">
        <v>692</v>
      </c>
      <c r="Z1055" t="s">
        <v>3689</v>
      </c>
      <c r="AA1055" t="s">
        <v>3697</v>
      </c>
      <c r="AC1055" t="s">
        <v>4651</v>
      </c>
      <c r="AE1055" t="s">
        <v>5708</v>
      </c>
      <c r="AF1055">
        <v>46</v>
      </c>
      <c r="AG1055" t="s">
        <v>5813</v>
      </c>
      <c r="AI1055">
        <v>9</v>
      </c>
      <c r="AJ1055">
        <v>1</v>
      </c>
      <c r="AK1055">
        <v>0</v>
      </c>
      <c r="AL1055">
        <v>81.56</v>
      </c>
      <c r="AO1055" t="s">
        <v>5844</v>
      </c>
      <c r="AP1055">
        <v>9600</v>
      </c>
      <c r="AV1055">
        <v>0.75</v>
      </c>
      <c r="AW1055" t="s">
        <v>426</v>
      </c>
      <c r="AX1055" t="s">
        <v>129</v>
      </c>
    </row>
    <row r="1056" spans="1:50">
      <c r="A1056" s="1">
        <f>HYPERLINK("https://lsnyc.legalserver.org/matter/dynamic-profile/view/1843620","17-1843620")</f>
        <v>0</v>
      </c>
      <c r="B1056" t="s">
        <v>70</v>
      </c>
      <c r="C1056" t="s">
        <v>191</v>
      </c>
      <c r="D1056" t="s">
        <v>425</v>
      </c>
      <c r="F1056" t="s">
        <v>925</v>
      </c>
      <c r="G1056" t="s">
        <v>1895</v>
      </c>
      <c r="H1056" t="s">
        <v>2733</v>
      </c>
      <c r="I1056" t="s">
        <v>2858</v>
      </c>
      <c r="J1056" t="s">
        <v>3146</v>
      </c>
      <c r="K1056">
        <v>10040</v>
      </c>
      <c r="L1056" t="s">
        <v>3184</v>
      </c>
      <c r="N1056" t="s">
        <v>3185</v>
      </c>
      <c r="P1056" t="s">
        <v>3612</v>
      </c>
      <c r="Q1056" t="s">
        <v>3639</v>
      </c>
      <c r="T1056" t="s">
        <v>3660</v>
      </c>
      <c r="U1056" t="s">
        <v>3185</v>
      </c>
      <c r="W1056" t="s">
        <v>3670</v>
      </c>
      <c r="Y1056">
        <v>825</v>
      </c>
      <c r="Z1056" t="s">
        <v>3689</v>
      </c>
      <c r="AA1056" t="s">
        <v>3697</v>
      </c>
      <c r="AC1056" t="s">
        <v>4652</v>
      </c>
      <c r="AF1056">
        <v>44</v>
      </c>
      <c r="AG1056" t="s">
        <v>5813</v>
      </c>
      <c r="AH1056" t="s">
        <v>3188</v>
      </c>
      <c r="AI1056">
        <v>20</v>
      </c>
      <c r="AJ1056">
        <v>2</v>
      </c>
      <c r="AK1056">
        <v>1</v>
      </c>
      <c r="AL1056">
        <v>89.13</v>
      </c>
      <c r="AM1056" t="s">
        <v>5838</v>
      </c>
      <c r="AO1056" t="s">
        <v>5844</v>
      </c>
      <c r="AP1056">
        <v>18200</v>
      </c>
      <c r="AV1056">
        <v>0.11</v>
      </c>
      <c r="AW1056" t="s">
        <v>6005</v>
      </c>
      <c r="AX1056" t="s">
        <v>108</v>
      </c>
    </row>
    <row r="1057" spans="1:50">
      <c r="A1057" s="1">
        <f>HYPERLINK("https://lsnyc.legalserver.org/matter/dynamic-profile/view/1906715","19-1906715")</f>
        <v>0</v>
      </c>
      <c r="B1057" t="s">
        <v>152</v>
      </c>
      <c r="C1057" t="s">
        <v>191</v>
      </c>
      <c r="D1057" t="s">
        <v>290</v>
      </c>
      <c r="F1057" t="s">
        <v>722</v>
      </c>
      <c r="G1057" t="s">
        <v>1198</v>
      </c>
      <c r="H1057" t="s">
        <v>2735</v>
      </c>
      <c r="I1057">
        <v>64</v>
      </c>
      <c r="J1057" t="s">
        <v>3146</v>
      </c>
      <c r="K1057">
        <v>10031</v>
      </c>
      <c r="L1057" t="s">
        <v>3184</v>
      </c>
      <c r="N1057" t="s">
        <v>3186</v>
      </c>
      <c r="Q1057" t="s">
        <v>3635</v>
      </c>
      <c r="T1057" t="s">
        <v>3660</v>
      </c>
      <c r="U1057" t="s">
        <v>3184</v>
      </c>
      <c r="W1057" t="s">
        <v>3670</v>
      </c>
      <c r="Y1057">
        <v>0</v>
      </c>
      <c r="Z1057" t="s">
        <v>3689</v>
      </c>
      <c r="AC1057" t="s">
        <v>4653</v>
      </c>
      <c r="AF1057">
        <v>0</v>
      </c>
      <c r="AG1057" t="s">
        <v>5813</v>
      </c>
      <c r="AH1057" t="s">
        <v>3188</v>
      </c>
      <c r="AI1057">
        <v>0</v>
      </c>
      <c r="AJ1057">
        <v>5</v>
      </c>
      <c r="AK1057">
        <v>1</v>
      </c>
      <c r="AL1057">
        <v>52.62</v>
      </c>
      <c r="AP1057">
        <v>18200</v>
      </c>
      <c r="AV1057">
        <v>6.9</v>
      </c>
      <c r="AW1057" t="s">
        <v>227</v>
      </c>
      <c r="AX1057" t="s">
        <v>108</v>
      </c>
    </row>
    <row r="1058" spans="1:50">
      <c r="A1058" s="1">
        <f>HYPERLINK("https://lsnyc.legalserver.org/matter/dynamic-profile/view/1906250","19-1906250")</f>
        <v>0</v>
      </c>
      <c r="B1058" t="s">
        <v>185</v>
      </c>
      <c r="C1058" t="s">
        <v>191</v>
      </c>
      <c r="D1058" t="s">
        <v>219</v>
      </c>
      <c r="F1058" t="s">
        <v>453</v>
      </c>
      <c r="G1058" t="s">
        <v>1896</v>
      </c>
      <c r="H1058" t="s">
        <v>2736</v>
      </c>
      <c r="I1058" t="s">
        <v>2852</v>
      </c>
      <c r="J1058" t="s">
        <v>3150</v>
      </c>
      <c r="K1058">
        <v>11101</v>
      </c>
      <c r="L1058" t="s">
        <v>3185</v>
      </c>
      <c r="M1058" t="s">
        <v>3189</v>
      </c>
      <c r="N1058" t="s">
        <v>3186</v>
      </c>
      <c r="O1058" t="s">
        <v>3567</v>
      </c>
      <c r="P1058" t="s">
        <v>3610</v>
      </c>
      <c r="Q1058" t="s">
        <v>3637</v>
      </c>
      <c r="T1058" t="s">
        <v>3660</v>
      </c>
      <c r="U1058" t="s">
        <v>3185</v>
      </c>
      <c r="W1058" t="s">
        <v>3670</v>
      </c>
      <c r="Y1058">
        <v>997</v>
      </c>
      <c r="Z1058" t="s">
        <v>3688</v>
      </c>
      <c r="AA1058" t="s">
        <v>3698</v>
      </c>
      <c r="AC1058" t="s">
        <v>4654</v>
      </c>
      <c r="AD1058" t="s">
        <v>4869</v>
      </c>
      <c r="AE1058" t="s">
        <v>5709</v>
      </c>
      <c r="AF1058">
        <v>60</v>
      </c>
      <c r="AG1058" t="s">
        <v>3263</v>
      </c>
      <c r="AH1058" t="s">
        <v>3188</v>
      </c>
      <c r="AI1058">
        <v>22</v>
      </c>
      <c r="AJ1058">
        <v>2</v>
      </c>
      <c r="AK1058">
        <v>0</v>
      </c>
      <c r="AL1058">
        <v>118.27</v>
      </c>
      <c r="AP1058">
        <v>20000</v>
      </c>
      <c r="AV1058">
        <v>3.93</v>
      </c>
      <c r="AW1058" t="s">
        <v>281</v>
      </c>
      <c r="AX1058" t="s">
        <v>6028</v>
      </c>
    </row>
    <row r="1059" spans="1:50">
      <c r="A1059" s="1">
        <f>HYPERLINK("https://lsnyc.legalserver.org/matter/dynamic-profile/view/1907060","19-1907060")</f>
        <v>0</v>
      </c>
      <c r="B1059" t="s">
        <v>126</v>
      </c>
      <c r="C1059" t="s">
        <v>191</v>
      </c>
      <c r="D1059" t="s">
        <v>281</v>
      </c>
      <c r="F1059" t="s">
        <v>1112</v>
      </c>
      <c r="G1059" t="s">
        <v>1897</v>
      </c>
      <c r="H1059" t="s">
        <v>2737</v>
      </c>
      <c r="I1059">
        <v>2</v>
      </c>
      <c r="J1059" t="s">
        <v>3168</v>
      </c>
      <c r="K1059">
        <v>11385</v>
      </c>
      <c r="L1059" t="s">
        <v>3186</v>
      </c>
      <c r="N1059" t="s">
        <v>3186</v>
      </c>
      <c r="O1059" t="s">
        <v>3200</v>
      </c>
      <c r="P1059" t="s">
        <v>3257</v>
      </c>
      <c r="Q1059" t="s">
        <v>3636</v>
      </c>
      <c r="T1059" t="s">
        <v>3660</v>
      </c>
      <c r="U1059" t="s">
        <v>3184</v>
      </c>
      <c r="W1059" t="s">
        <v>3670</v>
      </c>
      <c r="X1059" t="s">
        <v>3681</v>
      </c>
      <c r="Y1059">
        <v>1495</v>
      </c>
      <c r="Z1059" t="s">
        <v>3688</v>
      </c>
      <c r="AA1059" t="s">
        <v>3700</v>
      </c>
      <c r="AC1059" t="s">
        <v>4655</v>
      </c>
      <c r="AE1059" t="s">
        <v>5710</v>
      </c>
      <c r="AF1059">
        <v>6</v>
      </c>
      <c r="AG1059" t="s">
        <v>5813</v>
      </c>
      <c r="AH1059" t="s">
        <v>5827</v>
      </c>
      <c r="AI1059">
        <v>10</v>
      </c>
      <c r="AJ1059">
        <v>5</v>
      </c>
      <c r="AK1059">
        <v>0</v>
      </c>
      <c r="AL1059">
        <v>5.6</v>
      </c>
      <c r="AO1059" t="s">
        <v>5843</v>
      </c>
      <c r="AP1059">
        <v>1690</v>
      </c>
      <c r="AV1059">
        <v>3.35</v>
      </c>
      <c r="AW1059" t="s">
        <v>231</v>
      </c>
      <c r="AX1059" t="s">
        <v>56</v>
      </c>
    </row>
    <row r="1060" spans="1:50">
      <c r="A1060" s="1">
        <f>HYPERLINK("https://lsnyc.legalserver.org/matter/dynamic-profile/view/1886287","18-1886287")</f>
        <v>0</v>
      </c>
      <c r="B1060" t="s">
        <v>185</v>
      </c>
      <c r="C1060" t="s">
        <v>191</v>
      </c>
      <c r="D1060" t="s">
        <v>303</v>
      </c>
      <c r="F1060" t="s">
        <v>1113</v>
      </c>
      <c r="G1060" t="s">
        <v>1898</v>
      </c>
      <c r="H1060" t="s">
        <v>2738</v>
      </c>
      <c r="I1060">
        <v>1</v>
      </c>
      <c r="J1060" t="s">
        <v>3145</v>
      </c>
      <c r="K1060">
        <v>11692</v>
      </c>
      <c r="L1060" t="s">
        <v>3185</v>
      </c>
      <c r="N1060" t="s">
        <v>3185</v>
      </c>
      <c r="O1060" t="s">
        <v>3568</v>
      </c>
      <c r="P1060" t="s">
        <v>3613</v>
      </c>
      <c r="T1060" t="s">
        <v>3660</v>
      </c>
      <c r="U1060" t="s">
        <v>3184</v>
      </c>
      <c r="W1060" t="s">
        <v>3670</v>
      </c>
      <c r="Y1060">
        <v>0</v>
      </c>
      <c r="Z1060" t="s">
        <v>3688</v>
      </c>
      <c r="AA1060" t="s">
        <v>3698</v>
      </c>
      <c r="AC1060" t="s">
        <v>4656</v>
      </c>
      <c r="AE1060" t="s">
        <v>5711</v>
      </c>
      <c r="AF1060">
        <v>2</v>
      </c>
      <c r="AH1060" t="s">
        <v>3188</v>
      </c>
      <c r="AI1060">
        <v>8</v>
      </c>
      <c r="AJ1060">
        <v>4</v>
      </c>
      <c r="AK1060">
        <v>1</v>
      </c>
      <c r="AL1060">
        <v>135.96</v>
      </c>
      <c r="AO1060" t="s">
        <v>5843</v>
      </c>
      <c r="AP1060">
        <v>40000</v>
      </c>
      <c r="AV1060">
        <v>1.15</v>
      </c>
      <c r="AW1060" t="s">
        <v>217</v>
      </c>
      <c r="AX1060" t="s">
        <v>6016</v>
      </c>
    </row>
    <row r="1061" spans="1:50">
      <c r="A1061" s="1">
        <f>HYPERLINK("https://lsnyc.legalserver.org/matter/dynamic-profile/view/1903966","19-1903966")</f>
        <v>0</v>
      </c>
      <c r="B1061" t="s">
        <v>139</v>
      </c>
      <c r="C1061" t="s">
        <v>192</v>
      </c>
      <c r="D1061" t="s">
        <v>232</v>
      </c>
      <c r="E1061" t="s">
        <v>197</v>
      </c>
      <c r="F1061" t="s">
        <v>1113</v>
      </c>
      <c r="G1061" t="s">
        <v>1739</v>
      </c>
      <c r="H1061" t="s">
        <v>2739</v>
      </c>
      <c r="I1061" t="s">
        <v>3113</v>
      </c>
      <c r="J1061" t="s">
        <v>3148</v>
      </c>
      <c r="K1061">
        <v>11236</v>
      </c>
      <c r="L1061" t="s">
        <v>3185</v>
      </c>
      <c r="M1061" t="s">
        <v>3189</v>
      </c>
      <c r="N1061" t="s">
        <v>3186</v>
      </c>
      <c r="O1061" t="s">
        <v>3569</v>
      </c>
      <c r="P1061" t="s">
        <v>3619</v>
      </c>
      <c r="Q1061" t="s">
        <v>3634</v>
      </c>
      <c r="R1061" t="s">
        <v>3642</v>
      </c>
      <c r="S1061" t="s">
        <v>232</v>
      </c>
      <c r="T1061" t="s">
        <v>3660</v>
      </c>
      <c r="W1061" t="s">
        <v>3670</v>
      </c>
      <c r="Y1061">
        <v>720</v>
      </c>
      <c r="Z1061" t="s">
        <v>3691</v>
      </c>
      <c r="AA1061" t="s">
        <v>3632</v>
      </c>
      <c r="AB1061" t="s">
        <v>3712</v>
      </c>
      <c r="AC1061" t="s">
        <v>4657</v>
      </c>
      <c r="AE1061" t="s">
        <v>5712</v>
      </c>
      <c r="AF1061">
        <v>6</v>
      </c>
      <c r="AG1061" t="s">
        <v>5814</v>
      </c>
      <c r="AH1061" t="s">
        <v>3188</v>
      </c>
      <c r="AI1061">
        <v>9</v>
      </c>
      <c r="AJ1061">
        <v>2</v>
      </c>
      <c r="AK1061">
        <v>1</v>
      </c>
      <c r="AL1061">
        <v>121.89</v>
      </c>
      <c r="AO1061" t="s">
        <v>5843</v>
      </c>
      <c r="AP1061">
        <v>26000</v>
      </c>
      <c r="AV1061">
        <v>2.2</v>
      </c>
      <c r="AW1061" t="s">
        <v>265</v>
      </c>
      <c r="AX1061" t="s">
        <v>6014</v>
      </c>
    </row>
    <row r="1062" spans="1:50">
      <c r="A1062" s="1">
        <f>HYPERLINK("https://lsnyc.legalserver.org/matter/dynamic-profile/view/1904020","19-1904020")</f>
        <v>0</v>
      </c>
      <c r="B1062" t="s">
        <v>139</v>
      </c>
      <c r="C1062" t="s">
        <v>192</v>
      </c>
      <c r="D1062" t="s">
        <v>232</v>
      </c>
      <c r="E1062" t="s">
        <v>226</v>
      </c>
      <c r="F1062" t="s">
        <v>1114</v>
      </c>
      <c r="G1062" t="s">
        <v>1899</v>
      </c>
      <c r="H1062" t="s">
        <v>2740</v>
      </c>
      <c r="I1062" t="s">
        <v>2980</v>
      </c>
      <c r="J1062" t="s">
        <v>3148</v>
      </c>
      <c r="K1062">
        <v>11238</v>
      </c>
      <c r="L1062" t="s">
        <v>3185</v>
      </c>
      <c r="M1062" t="s">
        <v>3189</v>
      </c>
      <c r="N1062" t="s">
        <v>3186</v>
      </c>
      <c r="P1062" t="s">
        <v>3619</v>
      </c>
      <c r="Q1062" t="s">
        <v>3634</v>
      </c>
      <c r="R1062" t="s">
        <v>3642</v>
      </c>
      <c r="S1062" t="s">
        <v>226</v>
      </c>
      <c r="T1062" t="s">
        <v>3660</v>
      </c>
      <c r="U1062" t="s">
        <v>3184</v>
      </c>
      <c r="W1062" t="s">
        <v>3679</v>
      </c>
      <c r="Y1062">
        <v>0</v>
      </c>
      <c r="Z1062" t="s">
        <v>3691</v>
      </c>
      <c r="AB1062" t="s">
        <v>3722</v>
      </c>
      <c r="AC1062" t="s">
        <v>4658</v>
      </c>
      <c r="AF1062">
        <v>8</v>
      </c>
      <c r="AI1062">
        <v>0</v>
      </c>
      <c r="AJ1062">
        <v>1</v>
      </c>
      <c r="AK1062">
        <v>0</v>
      </c>
      <c r="AL1062">
        <v>392.31</v>
      </c>
      <c r="AO1062" t="s">
        <v>5843</v>
      </c>
      <c r="AP1062">
        <v>49000</v>
      </c>
      <c r="AV1062">
        <v>1.5</v>
      </c>
      <c r="AW1062" t="s">
        <v>226</v>
      </c>
      <c r="AX1062" t="s">
        <v>6015</v>
      </c>
    </row>
    <row r="1063" spans="1:50">
      <c r="A1063" s="1">
        <f>HYPERLINK("https://lsnyc.legalserver.org/matter/dynamic-profile/view/1841799","17-1841799")</f>
        <v>0</v>
      </c>
      <c r="B1063" t="s">
        <v>186</v>
      </c>
      <c r="C1063" t="s">
        <v>191</v>
      </c>
      <c r="D1063" t="s">
        <v>427</v>
      </c>
      <c r="F1063" t="s">
        <v>1115</v>
      </c>
      <c r="G1063" t="s">
        <v>1900</v>
      </c>
      <c r="H1063" t="s">
        <v>2741</v>
      </c>
      <c r="I1063" t="s">
        <v>2830</v>
      </c>
      <c r="J1063" t="s">
        <v>3168</v>
      </c>
      <c r="K1063">
        <v>11385</v>
      </c>
      <c r="L1063" t="s">
        <v>3186</v>
      </c>
      <c r="N1063" t="s">
        <v>3186</v>
      </c>
      <c r="T1063" t="s">
        <v>3660</v>
      </c>
      <c r="W1063" t="s">
        <v>3670</v>
      </c>
      <c r="Y1063">
        <v>0</v>
      </c>
      <c r="Z1063" t="s">
        <v>3688</v>
      </c>
      <c r="AC1063" t="s">
        <v>4659</v>
      </c>
      <c r="AE1063" t="s">
        <v>5713</v>
      </c>
      <c r="AF1063">
        <v>6</v>
      </c>
      <c r="AI1063">
        <v>33</v>
      </c>
      <c r="AJ1063">
        <v>1</v>
      </c>
      <c r="AK1063">
        <v>0</v>
      </c>
      <c r="AL1063">
        <v>83.88</v>
      </c>
      <c r="AO1063" t="s">
        <v>5843</v>
      </c>
      <c r="AP1063">
        <v>10116</v>
      </c>
      <c r="AV1063">
        <v>2</v>
      </c>
      <c r="AW1063" t="s">
        <v>427</v>
      </c>
      <c r="AX1063" t="s">
        <v>186</v>
      </c>
    </row>
    <row r="1064" spans="1:50">
      <c r="A1064" s="1">
        <f>HYPERLINK("https://lsnyc.legalserver.org/matter/dynamic-profile/view/1833880","17-1833880")</f>
        <v>0</v>
      </c>
      <c r="B1064" t="s">
        <v>185</v>
      </c>
      <c r="C1064" t="s">
        <v>191</v>
      </c>
      <c r="D1064" t="s">
        <v>428</v>
      </c>
      <c r="F1064" t="s">
        <v>949</v>
      </c>
      <c r="G1064" t="s">
        <v>1285</v>
      </c>
      <c r="H1064" t="s">
        <v>2742</v>
      </c>
      <c r="J1064" t="s">
        <v>3163</v>
      </c>
      <c r="K1064">
        <v>11413</v>
      </c>
      <c r="L1064" t="s">
        <v>3186</v>
      </c>
      <c r="N1064" t="s">
        <v>3186</v>
      </c>
      <c r="O1064" t="s">
        <v>3570</v>
      </c>
      <c r="P1064" t="s">
        <v>3620</v>
      </c>
      <c r="Q1064" t="s">
        <v>3639</v>
      </c>
      <c r="T1064" t="s">
        <v>3660</v>
      </c>
      <c r="W1064" t="s">
        <v>3671</v>
      </c>
      <c r="Y1064">
        <v>1658</v>
      </c>
      <c r="Z1064" t="s">
        <v>3688</v>
      </c>
      <c r="AC1064" t="s">
        <v>4660</v>
      </c>
      <c r="AE1064" t="s">
        <v>5714</v>
      </c>
      <c r="AF1064">
        <v>0</v>
      </c>
      <c r="AH1064" t="s">
        <v>5827</v>
      </c>
      <c r="AI1064">
        <v>0</v>
      </c>
      <c r="AJ1064">
        <v>1</v>
      </c>
      <c r="AK1064">
        <v>1</v>
      </c>
      <c r="AL1064">
        <v>117.73</v>
      </c>
      <c r="AP1064">
        <v>19120</v>
      </c>
      <c r="AV1064">
        <v>11.1</v>
      </c>
      <c r="AW1064" t="s">
        <v>217</v>
      </c>
      <c r="AX1064" t="s">
        <v>6065</v>
      </c>
    </row>
    <row r="1065" spans="1:50">
      <c r="A1065" s="1">
        <f>HYPERLINK("https://lsnyc.legalserver.org/matter/dynamic-profile/view/1909552","19-1909552")</f>
        <v>0</v>
      </c>
      <c r="B1065" t="s">
        <v>116</v>
      </c>
      <c r="C1065" t="s">
        <v>191</v>
      </c>
      <c r="D1065" t="s">
        <v>197</v>
      </c>
      <c r="F1065" t="s">
        <v>1116</v>
      </c>
      <c r="G1065" t="s">
        <v>1901</v>
      </c>
      <c r="H1065" t="s">
        <v>2743</v>
      </c>
      <c r="I1065" t="s">
        <v>3114</v>
      </c>
      <c r="J1065" t="s">
        <v>3151</v>
      </c>
      <c r="K1065">
        <v>11420</v>
      </c>
      <c r="L1065" t="s">
        <v>3186</v>
      </c>
      <c r="N1065" t="s">
        <v>3186</v>
      </c>
      <c r="O1065" t="s">
        <v>3571</v>
      </c>
      <c r="P1065" t="s">
        <v>3612</v>
      </c>
      <c r="Q1065" t="s">
        <v>3634</v>
      </c>
      <c r="T1065" t="s">
        <v>3660</v>
      </c>
      <c r="U1065" t="s">
        <v>3184</v>
      </c>
      <c r="W1065" t="s">
        <v>3670</v>
      </c>
      <c r="Y1065">
        <v>1080</v>
      </c>
      <c r="Z1065" t="s">
        <v>3688</v>
      </c>
      <c r="AC1065" t="s">
        <v>4661</v>
      </c>
      <c r="AE1065" t="s">
        <v>5715</v>
      </c>
      <c r="AF1065">
        <v>3</v>
      </c>
      <c r="AI1065">
        <v>0</v>
      </c>
      <c r="AJ1065">
        <v>2</v>
      </c>
      <c r="AK1065">
        <v>0</v>
      </c>
      <c r="AL1065">
        <v>153.76</v>
      </c>
      <c r="AO1065" t="s">
        <v>5843</v>
      </c>
      <c r="AP1065">
        <v>26000</v>
      </c>
      <c r="AV1065">
        <v>1.5</v>
      </c>
      <c r="AW1065" t="s">
        <v>197</v>
      </c>
      <c r="AX1065" t="s">
        <v>116</v>
      </c>
    </row>
    <row r="1066" spans="1:50">
      <c r="A1066" s="1">
        <f>HYPERLINK("https://lsnyc.legalserver.org/matter/dynamic-profile/view/1908348","19-1908348")</f>
        <v>0</v>
      </c>
      <c r="B1066" t="s">
        <v>69</v>
      </c>
      <c r="C1066" t="s">
        <v>191</v>
      </c>
      <c r="D1066" t="s">
        <v>244</v>
      </c>
      <c r="F1066" t="s">
        <v>1117</v>
      </c>
      <c r="G1066" t="s">
        <v>1902</v>
      </c>
      <c r="H1066" t="s">
        <v>2744</v>
      </c>
      <c r="I1066" t="s">
        <v>3115</v>
      </c>
      <c r="J1066" t="s">
        <v>3159</v>
      </c>
      <c r="K1066">
        <v>10301</v>
      </c>
      <c r="L1066" t="s">
        <v>3186</v>
      </c>
      <c r="N1066" t="s">
        <v>3186</v>
      </c>
      <c r="P1066" t="s">
        <v>3613</v>
      </c>
      <c r="Q1066" t="s">
        <v>3637</v>
      </c>
      <c r="S1066" t="s">
        <v>262</v>
      </c>
      <c r="T1066" t="s">
        <v>3661</v>
      </c>
      <c r="U1066" t="s">
        <v>3184</v>
      </c>
      <c r="W1066" t="s">
        <v>3670</v>
      </c>
      <c r="X1066" t="s">
        <v>3681</v>
      </c>
      <c r="Y1066">
        <v>1348</v>
      </c>
      <c r="Z1066" t="s">
        <v>3692</v>
      </c>
      <c r="AC1066" t="s">
        <v>4662</v>
      </c>
      <c r="AE1066" t="s">
        <v>5716</v>
      </c>
      <c r="AF1066">
        <v>4</v>
      </c>
      <c r="AH1066" t="s">
        <v>5828</v>
      </c>
      <c r="AI1066">
        <v>4</v>
      </c>
      <c r="AJ1066">
        <v>1</v>
      </c>
      <c r="AK1066">
        <v>2</v>
      </c>
      <c r="AL1066">
        <v>50.86</v>
      </c>
      <c r="AM1066" t="s">
        <v>5835</v>
      </c>
      <c r="AN1066" t="s">
        <v>5840</v>
      </c>
      <c r="AO1066" t="s">
        <v>5843</v>
      </c>
      <c r="AP1066">
        <v>10848</v>
      </c>
      <c r="AV1066">
        <v>2.8</v>
      </c>
      <c r="AW1066" t="s">
        <v>231</v>
      </c>
      <c r="AX1066" t="s">
        <v>69</v>
      </c>
    </row>
    <row r="1067" spans="1:50">
      <c r="A1067" s="1">
        <f>HYPERLINK("https://lsnyc.legalserver.org/matter/dynamic-profile/view/1902841","19-1902841")</f>
        <v>0</v>
      </c>
      <c r="B1067" t="s">
        <v>88</v>
      </c>
      <c r="C1067" t="s">
        <v>191</v>
      </c>
      <c r="D1067" t="s">
        <v>429</v>
      </c>
      <c r="F1067" t="s">
        <v>1118</v>
      </c>
      <c r="G1067" t="s">
        <v>1857</v>
      </c>
      <c r="H1067" t="s">
        <v>2745</v>
      </c>
      <c r="I1067" t="s">
        <v>2829</v>
      </c>
      <c r="J1067" t="s">
        <v>3147</v>
      </c>
      <c r="K1067">
        <v>10452</v>
      </c>
      <c r="L1067" t="s">
        <v>3185</v>
      </c>
      <c r="M1067" t="s">
        <v>3189</v>
      </c>
      <c r="N1067" t="s">
        <v>3186</v>
      </c>
      <c r="O1067" t="s">
        <v>3572</v>
      </c>
      <c r="P1067" t="s">
        <v>3610</v>
      </c>
      <c r="Q1067" t="s">
        <v>3638</v>
      </c>
      <c r="S1067" t="s">
        <v>285</v>
      </c>
      <c r="T1067" t="s">
        <v>3660</v>
      </c>
      <c r="U1067" t="s">
        <v>3184</v>
      </c>
      <c r="W1067" t="s">
        <v>3670</v>
      </c>
      <c r="Y1067">
        <v>950</v>
      </c>
      <c r="Z1067" t="s">
        <v>3690</v>
      </c>
      <c r="AA1067" t="s">
        <v>3700</v>
      </c>
      <c r="AC1067" t="s">
        <v>4663</v>
      </c>
      <c r="AE1067" t="s">
        <v>5717</v>
      </c>
      <c r="AF1067">
        <v>9</v>
      </c>
      <c r="AG1067" t="s">
        <v>5813</v>
      </c>
      <c r="AH1067" t="s">
        <v>3188</v>
      </c>
      <c r="AI1067">
        <v>4</v>
      </c>
      <c r="AJ1067">
        <v>1</v>
      </c>
      <c r="AK1067">
        <v>2</v>
      </c>
      <c r="AL1067">
        <v>97.27</v>
      </c>
      <c r="AO1067" t="s">
        <v>5843</v>
      </c>
      <c r="AP1067">
        <v>20748</v>
      </c>
      <c r="AV1067">
        <v>4</v>
      </c>
      <c r="AW1067" t="s">
        <v>227</v>
      </c>
      <c r="AX1067" t="s">
        <v>6024</v>
      </c>
    </row>
    <row r="1068" spans="1:50">
      <c r="A1068" s="1">
        <f>HYPERLINK("https://lsnyc.legalserver.org/matter/dynamic-profile/view/1908824","19-1908824")</f>
        <v>0</v>
      </c>
      <c r="B1068" t="s">
        <v>101</v>
      </c>
      <c r="C1068" t="s">
        <v>191</v>
      </c>
      <c r="D1068" t="s">
        <v>280</v>
      </c>
      <c r="F1068" t="s">
        <v>1119</v>
      </c>
      <c r="G1068" t="s">
        <v>1903</v>
      </c>
      <c r="H1068" t="s">
        <v>2746</v>
      </c>
      <c r="J1068" t="s">
        <v>3159</v>
      </c>
      <c r="K1068">
        <v>10310</v>
      </c>
      <c r="L1068" t="s">
        <v>3184</v>
      </c>
      <c r="M1068" t="s">
        <v>3188</v>
      </c>
      <c r="N1068" t="s">
        <v>3186</v>
      </c>
      <c r="O1068" t="s">
        <v>3218</v>
      </c>
      <c r="P1068" t="s">
        <v>3257</v>
      </c>
      <c r="Q1068" t="s">
        <v>3634</v>
      </c>
      <c r="S1068" t="s">
        <v>280</v>
      </c>
      <c r="T1068" t="s">
        <v>3661</v>
      </c>
      <c r="U1068" t="s">
        <v>3184</v>
      </c>
      <c r="W1068" t="s">
        <v>3670</v>
      </c>
      <c r="X1068" t="s">
        <v>3681</v>
      </c>
      <c r="Y1068">
        <v>1275</v>
      </c>
      <c r="Z1068" t="s">
        <v>3692</v>
      </c>
      <c r="AA1068" t="s">
        <v>3703</v>
      </c>
      <c r="AC1068" t="s">
        <v>4664</v>
      </c>
      <c r="AD1068" t="s">
        <v>3218</v>
      </c>
      <c r="AE1068" t="s">
        <v>5718</v>
      </c>
      <c r="AF1068">
        <v>2</v>
      </c>
      <c r="AG1068" t="s">
        <v>3263</v>
      </c>
      <c r="AH1068" t="s">
        <v>3188</v>
      </c>
      <c r="AI1068">
        <v>5</v>
      </c>
      <c r="AJ1068">
        <v>1</v>
      </c>
      <c r="AK1068">
        <v>2</v>
      </c>
      <c r="AL1068">
        <v>0</v>
      </c>
      <c r="AM1068" t="s">
        <v>5835</v>
      </c>
      <c r="AN1068" t="s">
        <v>5840</v>
      </c>
      <c r="AO1068" t="s">
        <v>5843</v>
      </c>
      <c r="AP1068">
        <v>0</v>
      </c>
      <c r="AT1068" t="s">
        <v>5946</v>
      </c>
      <c r="AU1068" t="s">
        <v>5973</v>
      </c>
      <c r="AV1068">
        <v>2.3</v>
      </c>
      <c r="AW1068" t="s">
        <v>261</v>
      </c>
      <c r="AX1068" t="s">
        <v>101</v>
      </c>
    </row>
    <row r="1069" spans="1:50">
      <c r="A1069" s="1">
        <f>HYPERLINK("https://lsnyc.legalserver.org/matter/dynamic-profile/view/1904468","19-1904468")</f>
        <v>0</v>
      </c>
      <c r="B1069" t="s">
        <v>88</v>
      </c>
      <c r="C1069" t="s">
        <v>191</v>
      </c>
      <c r="D1069" t="s">
        <v>292</v>
      </c>
      <c r="F1069" t="s">
        <v>1120</v>
      </c>
      <c r="G1069" t="s">
        <v>1203</v>
      </c>
      <c r="H1069" t="s">
        <v>2161</v>
      </c>
      <c r="I1069" t="s">
        <v>2858</v>
      </c>
      <c r="J1069" t="s">
        <v>3147</v>
      </c>
      <c r="K1069">
        <v>10470</v>
      </c>
      <c r="L1069" t="s">
        <v>3185</v>
      </c>
      <c r="M1069" t="s">
        <v>3189</v>
      </c>
      <c r="N1069" t="s">
        <v>3186</v>
      </c>
      <c r="P1069" t="s">
        <v>3612</v>
      </c>
      <c r="Q1069" t="s">
        <v>3637</v>
      </c>
      <c r="T1069" t="s">
        <v>3660</v>
      </c>
      <c r="U1069" t="s">
        <v>3185</v>
      </c>
      <c r="W1069" t="s">
        <v>3670</v>
      </c>
      <c r="Y1069">
        <v>1532.94</v>
      </c>
      <c r="Z1069" t="s">
        <v>3690</v>
      </c>
      <c r="AA1069" t="s">
        <v>3700</v>
      </c>
      <c r="AC1069" t="s">
        <v>4665</v>
      </c>
      <c r="AE1069" t="s">
        <v>5719</v>
      </c>
      <c r="AF1069">
        <v>63</v>
      </c>
      <c r="AH1069" t="s">
        <v>5828</v>
      </c>
      <c r="AI1069">
        <v>4</v>
      </c>
      <c r="AJ1069">
        <v>1</v>
      </c>
      <c r="AK1069">
        <v>3</v>
      </c>
      <c r="AL1069">
        <v>21.06</v>
      </c>
      <c r="AO1069" t="s">
        <v>5843</v>
      </c>
      <c r="AP1069">
        <v>5424</v>
      </c>
      <c r="AV1069">
        <v>0</v>
      </c>
      <c r="AX1069" t="s">
        <v>83</v>
      </c>
    </row>
    <row r="1070" spans="1:50">
      <c r="A1070" s="1">
        <f>HYPERLINK("https://lsnyc.legalserver.org/matter/dynamic-profile/view/1904532","19-1904532")</f>
        <v>0</v>
      </c>
      <c r="B1070" t="s">
        <v>88</v>
      </c>
      <c r="C1070" t="s">
        <v>191</v>
      </c>
      <c r="D1070" t="s">
        <v>340</v>
      </c>
      <c r="F1070" t="s">
        <v>576</v>
      </c>
      <c r="G1070" t="s">
        <v>1659</v>
      </c>
      <c r="H1070" t="s">
        <v>2747</v>
      </c>
      <c r="I1070" t="s">
        <v>2838</v>
      </c>
      <c r="J1070" t="s">
        <v>3147</v>
      </c>
      <c r="K1070">
        <v>10470</v>
      </c>
      <c r="L1070" t="s">
        <v>3185</v>
      </c>
      <c r="M1070" t="s">
        <v>3189</v>
      </c>
      <c r="N1070" t="s">
        <v>3186</v>
      </c>
      <c r="P1070" t="s">
        <v>3612</v>
      </c>
      <c r="Q1070" t="s">
        <v>3638</v>
      </c>
      <c r="T1070" t="s">
        <v>3660</v>
      </c>
      <c r="U1070" t="s">
        <v>3185</v>
      </c>
      <c r="W1070" t="s">
        <v>3670</v>
      </c>
      <c r="Y1070">
        <v>961</v>
      </c>
      <c r="Z1070" t="s">
        <v>3690</v>
      </c>
      <c r="AA1070" t="s">
        <v>3700</v>
      </c>
      <c r="AC1070" t="s">
        <v>4666</v>
      </c>
      <c r="AE1070" t="s">
        <v>5720</v>
      </c>
      <c r="AF1070">
        <v>63</v>
      </c>
      <c r="AG1070" t="s">
        <v>5821</v>
      </c>
      <c r="AH1070" t="s">
        <v>5832</v>
      </c>
      <c r="AI1070">
        <v>24</v>
      </c>
      <c r="AJ1070">
        <v>3</v>
      </c>
      <c r="AK1070">
        <v>1</v>
      </c>
      <c r="AL1070">
        <v>44.04</v>
      </c>
      <c r="AO1070" t="s">
        <v>5843</v>
      </c>
      <c r="AP1070">
        <v>11340</v>
      </c>
      <c r="AV1070">
        <v>0</v>
      </c>
      <c r="AX1070" t="s">
        <v>83</v>
      </c>
    </row>
    <row r="1071" spans="1:50">
      <c r="A1071" s="1">
        <f>HYPERLINK("https://lsnyc.legalserver.org/matter/dynamic-profile/view/1904604","19-1904604")</f>
        <v>0</v>
      </c>
      <c r="B1071" t="s">
        <v>88</v>
      </c>
      <c r="C1071" t="s">
        <v>191</v>
      </c>
      <c r="D1071" t="s">
        <v>233</v>
      </c>
      <c r="F1071" t="s">
        <v>1121</v>
      </c>
      <c r="G1071" t="s">
        <v>1904</v>
      </c>
      <c r="H1071" t="s">
        <v>2748</v>
      </c>
      <c r="I1071">
        <v>7</v>
      </c>
      <c r="J1071" t="s">
        <v>3147</v>
      </c>
      <c r="K1071">
        <v>10460</v>
      </c>
      <c r="L1071" t="s">
        <v>3185</v>
      </c>
      <c r="M1071" t="s">
        <v>3189</v>
      </c>
      <c r="N1071" t="s">
        <v>3186</v>
      </c>
      <c r="P1071" t="s">
        <v>3614</v>
      </c>
      <c r="Q1071" t="s">
        <v>3638</v>
      </c>
      <c r="T1071" t="s">
        <v>3660</v>
      </c>
      <c r="U1071" t="s">
        <v>3184</v>
      </c>
      <c r="W1071" t="s">
        <v>3670</v>
      </c>
      <c r="Y1071">
        <v>0</v>
      </c>
      <c r="Z1071" t="s">
        <v>3690</v>
      </c>
      <c r="AA1071" t="s">
        <v>3696</v>
      </c>
      <c r="AC1071" t="s">
        <v>4667</v>
      </c>
      <c r="AD1071" t="s">
        <v>4870</v>
      </c>
      <c r="AE1071" t="s">
        <v>5721</v>
      </c>
      <c r="AF1071">
        <v>30</v>
      </c>
      <c r="AG1071" t="s">
        <v>5812</v>
      </c>
      <c r="AH1071" t="s">
        <v>5827</v>
      </c>
      <c r="AI1071">
        <v>0</v>
      </c>
      <c r="AJ1071">
        <v>2</v>
      </c>
      <c r="AK1071">
        <v>1</v>
      </c>
      <c r="AL1071">
        <v>57.72</v>
      </c>
      <c r="AO1071" t="s">
        <v>5843</v>
      </c>
      <c r="AP1071">
        <v>12312</v>
      </c>
      <c r="AV1071">
        <v>0</v>
      </c>
      <c r="AX1071" t="s">
        <v>83</v>
      </c>
    </row>
    <row r="1072" spans="1:50">
      <c r="A1072" s="1">
        <f>HYPERLINK("https://lsnyc.legalserver.org/matter/dynamic-profile/view/1904575","19-1904575")</f>
        <v>0</v>
      </c>
      <c r="B1072" t="s">
        <v>88</v>
      </c>
      <c r="C1072" t="s">
        <v>191</v>
      </c>
      <c r="D1072" t="s">
        <v>271</v>
      </c>
      <c r="F1072" t="s">
        <v>1122</v>
      </c>
      <c r="G1072" t="s">
        <v>555</v>
      </c>
      <c r="H1072" t="s">
        <v>2749</v>
      </c>
      <c r="I1072" t="s">
        <v>2814</v>
      </c>
      <c r="J1072" t="s">
        <v>3147</v>
      </c>
      <c r="K1072">
        <v>10470</v>
      </c>
      <c r="L1072" t="s">
        <v>3185</v>
      </c>
      <c r="M1072" t="s">
        <v>3189</v>
      </c>
      <c r="N1072" t="s">
        <v>3186</v>
      </c>
      <c r="P1072" t="s">
        <v>3612</v>
      </c>
      <c r="Q1072" t="s">
        <v>3638</v>
      </c>
      <c r="T1072" t="s">
        <v>3660</v>
      </c>
      <c r="U1072" t="s">
        <v>3185</v>
      </c>
      <c r="W1072" t="s">
        <v>3670</v>
      </c>
      <c r="Y1072">
        <v>1276</v>
      </c>
      <c r="Z1072" t="s">
        <v>3690</v>
      </c>
      <c r="AA1072" t="s">
        <v>3700</v>
      </c>
      <c r="AC1072" t="s">
        <v>4668</v>
      </c>
      <c r="AF1072">
        <v>63</v>
      </c>
      <c r="AG1072" t="s">
        <v>5813</v>
      </c>
      <c r="AH1072" t="s">
        <v>3188</v>
      </c>
      <c r="AI1072">
        <v>8</v>
      </c>
      <c r="AJ1072">
        <v>2</v>
      </c>
      <c r="AK1072">
        <v>1</v>
      </c>
      <c r="AL1072">
        <v>97.52</v>
      </c>
      <c r="AO1072" t="s">
        <v>5843</v>
      </c>
      <c r="AP1072">
        <v>20800</v>
      </c>
      <c r="AV1072">
        <v>0</v>
      </c>
      <c r="AX1072" t="s">
        <v>83</v>
      </c>
    </row>
    <row r="1073" spans="1:50">
      <c r="A1073" s="1">
        <f>HYPERLINK("https://lsnyc.legalserver.org/matter/dynamic-profile/view/1904489","19-1904489")</f>
        <v>0</v>
      </c>
      <c r="B1073" t="s">
        <v>88</v>
      </c>
      <c r="C1073" t="s">
        <v>191</v>
      </c>
      <c r="D1073" t="s">
        <v>233</v>
      </c>
      <c r="F1073" t="s">
        <v>1123</v>
      </c>
      <c r="G1073" t="s">
        <v>1905</v>
      </c>
      <c r="H1073" t="s">
        <v>2161</v>
      </c>
      <c r="I1073" t="s">
        <v>2820</v>
      </c>
      <c r="J1073" t="s">
        <v>3147</v>
      </c>
      <c r="K1073">
        <v>10470</v>
      </c>
      <c r="L1073" t="s">
        <v>3185</v>
      </c>
      <c r="M1073" t="s">
        <v>3189</v>
      </c>
      <c r="N1073" t="s">
        <v>3186</v>
      </c>
      <c r="P1073" t="s">
        <v>3612</v>
      </c>
      <c r="Q1073" t="s">
        <v>3638</v>
      </c>
      <c r="T1073" t="s">
        <v>3660</v>
      </c>
      <c r="U1073" t="s">
        <v>3185</v>
      </c>
      <c r="W1073" t="s">
        <v>3670</v>
      </c>
      <c r="Y1073">
        <v>806.16</v>
      </c>
      <c r="Z1073" t="s">
        <v>3690</v>
      </c>
      <c r="AA1073" t="s">
        <v>3700</v>
      </c>
      <c r="AC1073" t="s">
        <v>4669</v>
      </c>
      <c r="AE1073" t="s">
        <v>5722</v>
      </c>
      <c r="AF1073">
        <v>63</v>
      </c>
      <c r="AG1073" t="s">
        <v>5813</v>
      </c>
      <c r="AH1073" t="s">
        <v>3188</v>
      </c>
      <c r="AI1073">
        <v>44</v>
      </c>
      <c r="AJ1073">
        <v>2</v>
      </c>
      <c r="AK1073">
        <v>0</v>
      </c>
      <c r="AL1073">
        <v>99.51000000000001</v>
      </c>
      <c r="AO1073" t="s">
        <v>5843</v>
      </c>
      <c r="AP1073">
        <v>16826.4</v>
      </c>
      <c r="AV1073">
        <v>0</v>
      </c>
      <c r="AX1073" t="s">
        <v>6024</v>
      </c>
    </row>
    <row r="1074" spans="1:50">
      <c r="A1074" s="1">
        <f>HYPERLINK("https://lsnyc.legalserver.org/matter/dynamic-profile/view/1904486","19-1904486")</f>
        <v>0</v>
      </c>
      <c r="B1074" t="s">
        <v>88</v>
      </c>
      <c r="C1074" t="s">
        <v>191</v>
      </c>
      <c r="D1074" t="s">
        <v>233</v>
      </c>
      <c r="F1074" t="s">
        <v>675</v>
      </c>
      <c r="G1074" t="s">
        <v>1906</v>
      </c>
      <c r="H1074" t="s">
        <v>2161</v>
      </c>
      <c r="I1074" t="s">
        <v>2894</v>
      </c>
      <c r="J1074" t="s">
        <v>3147</v>
      </c>
      <c r="K1074">
        <v>10470</v>
      </c>
      <c r="L1074" t="s">
        <v>3185</v>
      </c>
      <c r="M1074" t="s">
        <v>3189</v>
      </c>
      <c r="N1074" t="s">
        <v>3186</v>
      </c>
      <c r="P1074" t="s">
        <v>3612</v>
      </c>
      <c r="Q1074" t="s">
        <v>3638</v>
      </c>
      <c r="T1074" t="s">
        <v>3660</v>
      </c>
      <c r="U1074" t="s">
        <v>3185</v>
      </c>
      <c r="W1074" t="s">
        <v>3670</v>
      </c>
      <c r="Y1074">
        <v>1450</v>
      </c>
      <c r="Z1074" t="s">
        <v>3690</v>
      </c>
      <c r="AA1074" t="s">
        <v>3700</v>
      </c>
      <c r="AC1074" t="s">
        <v>4670</v>
      </c>
      <c r="AE1074" t="s">
        <v>5723</v>
      </c>
      <c r="AF1074">
        <v>63</v>
      </c>
      <c r="AG1074" t="s">
        <v>5812</v>
      </c>
      <c r="AH1074" t="s">
        <v>5827</v>
      </c>
      <c r="AI1074">
        <v>16</v>
      </c>
      <c r="AJ1074">
        <v>1</v>
      </c>
      <c r="AK1074">
        <v>0</v>
      </c>
      <c r="AL1074">
        <v>104.22</v>
      </c>
      <c r="AO1074" t="s">
        <v>5843</v>
      </c>
      <c r="AP1074">
        <v>13017.6</v>
      </c>
      <c r="AV1074">
        <v>0</v>
      </c>
      <c r="AX1074" t="s">
        <v>6024</v>
      </c>
    </row>
    <row r="1075" spans="1:50">
      <c r="A1075" s="1">
        <f>HYPERLINK("https://lsnyc.legalserver.org/matter/dynamic-profile/view/1904483","19-1904483")</f>
        <v>0</v>
      </c>
      <c r="B1075" t="s">
        <v>88</v>
      </c>
      <c r="C1075" t="s">
        <v>191</v>
      </c>
      <c r="D1075" t="s">
        <v>233</v>
      </c>
      <c r="F1075" t="s">
        <v>1124</v>
      </c>
      <c r="G1075" t="s">
        <v>1691</v>
      </c>
      <c r="H1075" t="s">
        <v>2161</v>
      </c>
      <c r="I1075" t="s">
        <v>2840</v>
      </c>
      <c r="J1075" t="s">
        <v>3147</v>
      </c>
      <c r="K1075">
        <v>10470</v>
      </c>
      <c r="L1075" t="s">
        <v>3185</v>
      </c>
      <c r="M1075" t="s">
        <v>3189</v>
      </c>
      <c r="N1075" t="s">
        <v>3186</v>
      </c>
      <c r="P1075" t="s">
        <v>3612</v>
      </c>
      <c r="Q1075" t="s">
        <v>3638</v>
      </c>
      <c r="T1075" t="s">
        <v>3660</v>
      </c>
      <c r="U1075" t="s">
        <v>3185</v>
      </c>
      <c r="W1075" t="s">
        <v>3670</v>
      </c>
      <c r="Y1075">
        <v>1107.88</v>
      </c>
      <c r="Z1075" t="s">
        <v>3690</v>
      </c>
      <c r="AA1075" t="s">
        <v>3700</v>
      </c>
      <c r="AC1075" t="s">
        <v>4671</v>
      </c>
      <c r="AE1075" t="s">
        <v>5724</v>
      </c>
      <c r="AF1075">
        <v>63</v>
      </c>
      <c r="AG1075" t="s">
        <v>3263</v>
      </c>
      <c r="AH1075" t="s">
        <v>5826</v>
      </c>
      <c r="AI1075">
        <v>20</v>
      </c>
      <c r="AJ1075">
        <v>1</v>
      </c>
      <c r="AK1075">
        <v>0</v>
      </c>
      <c r="AL1075">
        <v>106.44</v>
      </c>
      <c r="AP1075">
        <v>13294.56</v>
      </c>
      <c r="AV1075">
        <v>0</v>
      </c>
      <c r="AX1075" t="s">
        <v>6024</v>
      </c>
    </row>
    <row r="1076" spans="1:50">
      <c r="A1076" s="1">
        <f>HYPERLINK("https://lsnyc.legalserver.org/matter/dynamic-profile/view/1904539","19-1904539")</f>
        <v>0</v>
      </c>
      <c r="B1076" t="s">
        <v>88</v>
      </c>
      <c r="C1076" t="s">
        <v>191</v>
      </c>
      <c r="D1076" t="s">
        <v>285</v>
      </c>
      <c r="F1076" t="s">
        <v>1125</v>
      </c>
      <c r="G1076" t="s">
        <v>1487</v>
      </c>
      <c r="H1076" t="s">
        <v>2747</v>
      </c>
      <c r="I1076" t="s">
        <v>2860</v>
      </c>
      <c r="J1076" t="s">
        <v>3147</v>
      </c>
      <c r="K1076">
        <v>10470</v>
      </c>
      <c r="L1076" t="s">
        <v>3185</v>
      </c>
      <c r="M1076" t="s">
        <v>3189</v>
      </c>
      <c r="N1076" t="s">
        <v>3186</v>
      </c>
      <c r="P1076" t="s">
        <v>3612</v>
      </c>
      <c r="Q1076" t="s">
        <v>3638</v>
      </c>
      <c r="T1076" t="s">
        <v>3660</v>
      </c>
      <c r="U1076" t="s">
        <v>3185</v>
      </c>
      <c r="W1076" t="s">
        <v>3670</v>
      </c>
      <c r="Y1076">
        <v>1734</v>
      </c>
      <c r="Z1076" t="s">
        <v>3690</v>
      </c>
      <c r="AA1076" t="s">
        <v>3700</v>
      </c>
      <c r="AC1076" t="s">
        <v>4672</v>
      </c>
      <c r="AD1076" t="s">
        <v>4871</v>
      </c>
      <c r="AF1076">
        <v>63</v>
      </c>
      <c r="AG1076" t="s">
        <v>5814</v>
      </c>
      <c r="AH1076" t="s">
        <v>3632</v>
      </c>
      <c r="AI1076">
        <v>3</v>
      </c>
      <c r="AJ1076">
        <v>1</v>
      </c>
      <c r="AK1076">
        <v>1</v>
      </c>
      <c r="AL1076">
        <v>127.74</v>
      </c>
      <c r="AO1076" t="s">
        <v>5843</v>
      </c>
      <c r="AP1076">
        <v>21600</v>
      </c>
      <c r="AV1076">
        <v>0</v>
      </c>
      <c r="AX1076" t="s">
        <v>83</v>
      </c>
    </row>
    <row r="1077" spans="1:50">
      <c r="A1077" s="1">
        <f>HYPERLINK("https://lsnyc.legalserver.org/matter/dynamic-profile/view/1904464","19-1904464")</f>
        <v>0</v>
      </c>
      <c r="B1077" t="s">
        <v>88</v>
      </c>
      <c r="C1077" t="s">
        <v>191</v>
      </c>
      <c r="D1077" t="s">
        <v>194</v>
      </c>
      <c r="F1077" t="s">
        <v>941</v>
      </c>
      <c r="G1077" t="s">
        <v>1907</v>
      </c>
      <c r="H1077" t="s">
        <v>2161</v>
      </c>
      <c r="J1077" t="s">
        <v>3147</v>
      </c>
      <c r="K1077">
        <v>10470</v>
      </c>
      <c r="L1077" t="s">
        <v>3185</v>
      </c>
      <c r="M1077" t="s">
        <v>3189</v>
      </c>
      <c r="N1077" t="s">
        <v>3186</v>
      </c>
      <c r="P1077" t="s">
        <v>3612</v>
      </c>
      <c r="Q1077" t="s">
        <v>3638</v>
      </c>
      <c r="T1077" t="s">
        <v>3660</v>
      </c>
      <c r="U1077" t="s">
        <v>3185</v>
      </c>
      <c r="W1077" t="s">
        <v>3670</v>
      </c>
      <c r="Y1077">
        <v>1564</v>
      </c>
      <c r="Z1077" t="s">
        <v>3690</v>
      </c>
      <c r="AA1077" t="s">
        <v>3700</v>
      </c>
      <c r="AC1077" t="s">
        <v>4217</v>
      </c>
      <c r="AE1077" t="s">
        <v>5725</v>
      </c>
      <c r="AF1077">
        <v>63</v>
      </c>
      <c r="AG1077" t="s">
        <v>3263</v>
      </c>
      <c r="AH1077" t="s">
        <v>5828</v>
      </c>
      <c r="AI1077">
        <v>4</v>
      </c>
      <c r="AJ1077">
        <v>1</v>
      </c>
      <c r="AK1077">
        <v>2</v>
      </c>
      <c r="AL1077">
        <v>129.96</v>
      </c>
      <c r="AO1077" t="s">
        <v>5843</v>
      </c>
      <c r="AP1077">
        <v>27720</v>
      </c>
      <c r="AV1077">
        <v>0.5</v>
      </c>
      <c r="AW1077" t="s">
        <v>245</v>
      </c>
      <c r="AX1077" t="s">
        <v>83</v>
      </c>
    </row>
    <row r="1078" spans="1:50">
      <c r="A1078" s="1">
        <f>HYPERLINK("https://lsnyc.legalserver.org/matter/dynamic-profile/view/1904878","19-1904878")</f>
        <v>0</v>
      </c>
      <c r="B1078" t="s">
        <v>88</v>
      </c>
      <c r="C1078" t="s">
        <v>191</v>
      </c>
      <c r="D1078" t="s">
        <v>245</v>
      </c>
      <c r="F1078" t="s">
        <v>1126</v>
      </c>
      <c r="G1078" t="s">
        <v>1268</v>
      </c>
      <c r="H1078" t="s">
        <v>2750</v>
      </c>
      <c r="I1078" t="s">
        <v>3116</v>
      </c>
      <c r="J1078" t="s">
        <v>3147</v>
      </c>
      <c r="K1078">
        <v>10459</v>
      </c>
      <c r="L1078" t="s">
        <v>3185</v>
      </c>
      <c r="M1078" t="s">
        <v>3189</v>
      </c>
      <c r="N1078" t="s">
        <v>3186</v>
      </c>
      <c r="P1078" t="s">
        <v>3614</v>
      </c>
      <c r="Q1078" t="s">
        <v>3638</v>
      </c>
      <c r="T1078" t="s">
        <v>3660</v>
      </c>
      <c r="U1078" t="s">
        <v>3184</v>
      </c>
      <c r="W1078" t="s">
        <v>3673</v>
      </c>
      <c r="Y1078">
        <v>1720</v>
      </c>
      <c r="Z1078" t="s">
        <v>3690</v>
      </c>
      <c r="AC1078" t="s">
        <v>4673</v>
      </c>
      <c r="AE1078" t="s">
        <v>5726</v>
      </c>
      <c r="AF1078">
        <v>128</v>
      </c>
      <c r="AG1078" t="s">
        <v>5813</v>
      </c>
      <c r="AH1078" t="s">
        <v>3188</v>
      </c>
      <c r="AI1078">
        <v>11</v>
      </c>
      <c r="AJ1078">
        <v>2</v>
      </c>
      <c r="AK1078">
        <v>2</v>
      </c>
      <c r="AL1078">
        <v>131.11</v>
      </c>
      <c r="AO1078" t="s">
        <v>5843</v>
      </c>
      <c r="AP1078">
        <v>33760</v>
      </c>
      <c r="AV1078">
        <v>0</v>
      </c>
      <c r="AX1078" t="s">
        <v>83</v>
      </c>
    </row>
    <row r="1079" spans="1:50">
      <c r="A1079" s="1">
        <f>HYPERLINK("https://lsnyc.legalserver.org/matter/dynamic-profile/view/1904238","19-1904238")</f>
        <v>0</v>
      </c>
      <c r="B1079" t="s">
        <v>58</v>
      </c>
      <c r="C1079" t="s">
        <v>191</v>
      </c>
      <c r="D1079" t="s">
        <v>218</v>
      </c>
      <c r="F1079" t="s">
        <v>523</v>
      </c>
      <c r="G1079" t="s">
        <v>1784</v>
      </c>
      <c r="H1079" t="s">
        <v>2582</v>
      </c>
      <c r="I1079" t="s">
        <v>3075</v>
      </c>
      <c r="J1079" t="s">
        <v>3159</v>
      </c>
      <c r="K1079">
        <v>10314</v>
      </c>
      <c r="L1079" t="s">
        <v>3186</v>
      </c>
      <c r="M1079" t="s">
        <v>3189</v>
      </c>
      <c r="N1079" t="s">
        <v>3186</v>
      </c>
      <c r="O1079" t="s">
        <v>3191</v>
      </c>
      <c r="P1079" t="s">
        <v>3622</v>
      </c>
      <c r="Q1079" t="s">
        <v>3635</v>
      </c>
      <c r="T1079" t="s">
        <v>3660</v>
      </c>
      <c r="U1079" t="s">
        <v>3184</v>
      </c>
      <c r="W1079" t="s">
        <v>3670</v>
      </c>
      <c r="X1079" t="s">
        <v>3681</v>
      </c>
      <c r="Y1079">
        <v>967</v>
      </c>
      <c r="Z1079" t="s">
        <v>3692</v>
      </c>
      <c r="AA1079" t="s">
        <v>3696</v>
      </c>
      <c r="AC1079" t="s">
        <v>4484</v>
      </c>
      <c r="AE1079" t="s">
        <v>5564</v>
      </c>
      <c r="AF1079">
        <v>96</v>
      </c>
      <c r="AG1079" t="s">
        <v>5813</v>
      </c>
      <c r="AH1079" t="s">
        <v>5826</v>
      </c>
      <c r="AI1079">
        <v>8</v>
      </c>
      <c r="AJ1079">
        <v>1</v>
      </c>
      <c r="AK1079">
        <v>0</v>
      </c>
      <c r="AL1079">
        <v>236.89</v>
      </c>
      <c r="AM1079" t="s">
        <v>249</v>
      </c>
      <c r="AN1079" t="s">
        <v>5839</v>
      </c>
      <c r="AO1079" t="s">
        <v>5843</v>
      </c>
      <c r="AP1079">
        <v>29587.92</v>
      </c>
      <c r="AV1079">
        <v>2.9</v>
      </c>
      <c r="AW1079" t="s">
        <v>252</v>
      </c>
      <c r="AX1079" t="s">
        <v>6017</v>
      </c>
    </row>
    <row r="1080" spans="1:50">
      <c r="A1080" s="1">
        <f>HYPERLINK("https://lsnyc.legalserver.org/matter/dynamic-profile/view/1904499","19-1904499")</f>
        <v>0</v>
      </c>
      <c r="B1080" t="s">
        <v>88</v>
      </c>
      <c r="C1080" t="s">
        <v>191</v>
      </c>
      <c r="D1080" t="s">
        <v>233</v>
      </c>
      <c r="F1080" t="s">
        <v>1127</v>
      </c>
      <c r="G1080" t="s">
        <v>1334</v>
      </c>
      <c r="H1080" t="s">
        <v>2747</v>
      </c>
      <c r="I1080" t="s">
        <v>2894</v>
      </c>
      <c r="J1080" t="s">
        <v>3147</v>
      </c>
      <c r="K1080">
        <v>10470</v>
      </c>
      <c r="L1080" t="s">
        <v>3185</v>
      </c>
      <c r="M1080" t="s">
        <v>3189</v>
      </c>
      <c r="N1080" t="s">
        <v>3186</v>
      </c>
      <c r="P1080" t="s">
        <v>3612</v>
      </c>
      <c r="Q1080" t="s">
        <v>3638</v>
      </c>
      <c r="T1080" t="s">
        <v>3660</v>
      </c>
      <c r="U1080" t="s">
        <v>3185</v>
      </c>
      <c r="W1080" t="s">
        <v>3670</v>
      </c>
      <c r="Y1080">
        <v>1402.5</v>
      </c>
      <c r="Z1080" t="s">
        <v>3690</v>
      </c>
      <c r="AA1080" t="s">
        <v>3700</v>
      </c>
      <c r="AC1080" t="s">
        <v>4674</v>
      </c>
      <c r="AE1080" t="s">
        <v>5727</v>
      </c>
      <c r="AF1080">
        <v>63</v>
      </c>
      <c r="AG1080" t="s">
        <v>5813</v>
      </c>
      <c r="AH1080" t="s">
        <v>3188</v>
      </c>
      <c r="AI1080">
        <v>3</v>
      </c>
      <c r="AJ1080">
        <v>1</v>
      </c>
      <c r="AK1080">
        <v>0</v>
      </c>
      <c r="AL1080">
        <v>624.5</v>
      </c>
      <c r="AO1080" t="s">
        <v>5843</v>
      </c>
      <c r="AP1080">
        <v>78000</v>
      </c>
      <c r="AV1080">
        <v>0</v>
      </c>
      <c r="AX1080" t="s">
        <v>6024</v>
      </c>
    </row>
    <row r="1081" spans="1:50">
      <c r="A1081" s="1">
        <f>HYPERLINK("https://lsnyc.legalserver.org/matter/dynamic-profile/view/1904494","19-1904494")</f>
        <v>0</v>
      </c>
      <c r="B1081" t="s">
        <v>88</v>
      </c>
      <c r="C1081" t="s">
        <v>191</v>
      </c>
      <c r="D1081" t="s">
        <v>233</v>
      </c>
      <c r="F1081" t="s">
        <v>1128</v>
      </c>
      <c r="G1081" t="s">
        <v>1732</v>
      </c>
      <c r="H1081" t="s">
        <v>2161</v>
      </c>
      <c r="I1081" t="s">
        <v>2900</v>
      </c>
      <c r="J1081" t="s">
        <v>3147</v>
      </c>
      <c r="K1081">
        <v>10470</v>
      </c>
      <c r="L1081" t="s">
        <v>3185</v>
      </c>
      <c r="M1081" t="s">
        <v>3189</v>
      </c>
      <c r="N1081" t="s">
        <v>3186</v>
      </c>
      <c r="P1081" t="s">
        <v>3612</v>
      </c>
      <c r="Q1081" t="s">
        <v>3638</v>
      </c>
      <c r="T1081" t="s">
        <v>3660</v>
      </c>
      <c r="U1081" t="s">
        <v>3185</v>
      </c>
      <c r="W1081" t="s">
        <v>3670</v>
      </c>
      <c r="Y1081">
        <v>931</v>
      </c>
      <c r="Z1081" t="s">
        <v>3690</v>
      </c>
      <c r="AA1081" t="s">
        <v>3706</v>
      </c>
      <c r="AC1081" t="s">
        <v>4675</v>
      </c>
      <c r="AE1081" t="s">
        <v>5728</v>
      </c>
      <c r="AF1081">
        <v>63</v>
      </c>
      <c r="AG1081" t="s">
        <v>3263</v>
      </c>
      <c r="AH1081" t="s">
        <v>3188</v>
      </c>
      <c r="AI1081">
        <v>11</v>
      </c>
      <c r="AJ1081">
        <v>2</v>
      </c>
      <c r="AK1081">
        <v>0</v>
      </c>
      <c r="AL1081">
        <v>739.21</v>
      </c>
      <c r="AO1081" t="s">
        <v>5843</v>
      </c>
      <c r="AP1081">
        <v>125000</v>
      </c>
      <c r="AV1081">
        <v>0</v>
      </c>
      <c r="AX1081" t="s">
        <v>6024</v>
      </c>
    </row>
    <row r="1082" spans="1:50">
      <c r="A1082" s="1">
        <f>HYPERLINK("https://lsnyc.legalserver.org/matter/dynamic-profile/view/1890310","19-1890310")</f>
        <v>0</v>
      </c>
      <c r="B1082" t="s">
        <v>69</v>
      </c>
      <c r="C1082" t="s">
        <v>192</v>
      </c>
      <c r="D1082" t="s">
        <v>430</v>
      </c>
      <c r="E1082" t="s">
        <v>202</v>
      </c>
      <c r="F1082" t="s">
        <v>1129</v>
      </c>
      <c r="G1082" t="s">
        <v>1908</v>
      </c>
      <c r="H1082" t="s">
        <v>2605</v>
      </c>
      <c r="I1082" t="s">
        <v>2915</v>
      </c>
      <c r="J1082" t="s">
        <v>3159</v>
      </c>
      <c r="K1082">
        <v>10304</v>
      </c>
      <c r="L1082" t="s">
        <v>3186</v>
      </c>
      <c r="N1082" t="s">
        <v>3186</v>
      </c>
      <c r="P1082" t="s">
        <v>3622</v>
      </c>
      <c r="Q1082" t="s">
        <v>3635</v>
      </c>
      <c r="R1082" t="s">
        <v>3643</v>
      </c>
      <c r="T1082" t="s">
        <v>3660</v>
      </c>
      <c r="U1082" t="s">
        <v>3184</v>
      </c>
      <c r="W1082" t="s">
        <v>3670</v>
      </c>
      <c r="X1082" t="s">
        <v>3681</v>
      </c>
      <c r="Y1082">
        <v>0</v>
      </c>
      <c r="Z1082" t="s">
        <v>3692</v>
      </c>
      <c r="AB1082" t="s">
        <v>3712</v>
      </c>
      <c r="AC1082" t="s">
        <v>4676</v>
      </c>
      <c r="AE1082" t="s">
        <v>5729</v>
      </c>
      <c r="AF1082">
        <v>0</v>
      </c>
      <c r="AI1082">
        <v>0</v>
      </c>
      <c r="AJ1082">
        <v>1</v>
      </c>
      <c r="AK1082">
        <v>4</v>
      </c>
      <c r="AL1082">
        <v>75.15000000000001</v>
      </c>
      <c r="AO1082" t="s">
        <v>5843</v>
      </c>
      <c r="AP1082">
        <v>22672</v>
      </c>
      <c r="AS1082" t="s">
        <v>3632</v>
      </c>
      <c r="AV1082">
        <v>3.5</v>
      </c>
      <c r="AW1082" t="s">
        <v>202</v>
      </c>
      <c r="AX1082" t="s">
        <v>6026</v>
      </c>
    </row>
    <row r="1083" spans="1:50">
      <c r="A1083" s="1">
        <f>HYPERLINK("https://lsnyc.legalserver.org/matter/dynamic-profile/view/1889779","19-1889779")</f>
        <v>0</v>
      </c>
      <c r="B1083" t="s">
        <v>69</v>
      </c>
      <c r="C1083" t="s">
        <v>191</v>
      </c>
      <c r="D1083" t="s">
        <v>431</v>
      </c>
      <c r="F1083" t="s">
        <v>1130</v>
      </c>
      <c r="G1083" t="s">
        <v>1909</v>
      </c>
      <c r="H1083" t="s">
        <v>2051</v>
      </c>
      <c r="J1083" t="s">
        <v>3159</v>
      </c>
      <c r="K1083">
        <v>10301</v>
      </c>
      <c r="L1083" t="s">
        <v>3186</v>
      </c>
      <c r="N1083" t="s">
        <v>3186</v>
      </c>
      <c r="O1083" t="s">
        <v>3573</v>
      </c>
      <c r="P1083" t="s">
        <v>3613</v>
      </c>
      <c r="T1083" t="s">
        <v>3660</v>
      </c>
      <c r="U1083" t="s">
        <v>3184</v>
      </c>
      <c r="W1083" t="s">
        <v>3670</v>
      </c>
      <c r="X1083" t="s">
        <v>3681</v>
      </c>
      <c r="Y1083">
        <v>1956</v>
      </c>
      <c r="Z1083" t="s">
        <v>3692</v>
      </c>
      <c r="AA1083" t="s">
        <v>3697</v>
      </c>
      <c r="AC1083" t="s">
        <v>4677</v>
      </c>
      <c r="AE1083" t="s">
        <v>5730</v>
      </c>
      <c r="AF1083">
        <v>0</v>
      </c>
      <c r="AG1083" t="s">
        <v>5814</v>
      </c>
      <c r="AI1083">
        <v>1</v>
      </c>
      <c r="AJ1083">
        <v>2</v>
      </c>
      <c r="AK1083">
        <v>3</v>
      </c>
      <c r="AL1083">
        <v>28.44</v>
      </c>
      <c r="AO1083" t="s">
        <v>5843</v>
      </c>
      <c r="AP1083">
        <v>8580</v>
      </c>
      <c r="AV1083">
        <v>22.4</v>
      </c>
      <c r="AW1083" t="s">
        <v>207</v>
      </c>
      <c r="AX1083" t="s">
        <v>6025</v>
      </c>
    </row>
    <row r="1084" spans="1:50">
      <c r="A1084" s="1">
        <f>HYPERLINK("https://lsnyc.legalserver.org/matter/dynamic-profile/view/1899598","19-1899598")</f>
        <v>0</v>
      </c>
      <c r="B1084" t="s">
        <v>69</v>
      </c>
      <c r="C1084" t="s">
        <v>191</v>
      </c>
      <c r="D1084" t="s">
        <v>432</v>
      </c>
      <c r="F1084" t="s">
        <v>1131</v>
      </c>
      <c r="G1084" t="s">
        <v>1910</v>
      </c>
      <c r="H1084" t="s">
        <v>2751</v>
      </c>
      <c r="I1084" t="s">
        <v>3117</v>
      </c>
      <c r="J1084" t="s">
        <v>3159</v>
      </c>
      <c r="K1084">
        <v>10304</v>
      </c>
      <c r="L1084" t="s">
        <v>3186</v>
      </c>
      <c r="N1084" t="s">
        <v>3186</v>
      </c>
      <c r="O1084" t="s">
        <v>3574</v>
      </c>
      <c r="P1084" t="s">
        <v>3613</v>
      </c>
      <c r="T1084" t="s">
        <v>3660</v>
      </c>
      <c r="W1084" t="s">
        <v>3670</v>
      </c>
      <c r="Y1084">
        <v>241</v>
      </c>
      <c r="Z1084" t="s">
        <v>3692</v>
      </c>
      <c r="AA1084" t="s">
        <v>3632</v>
      </c>
      <c r="AC1084" t="s">
        <v>4678</v>
      </c>
      <c r="AE1084" t="s">
        <v>5731</v>
      </c>
      <c r="AF1084">
        <v>0</v>
      </c>
      <c r="AI1084">
        <v>13</v>
      </c>
      <c r="AJ1084">
        <v>1</v>
      </c>
      <c r="AK1084">
        <v>0</v>
      </c>
      <c r="AL1084">
        <v>91.56</v>
      </c>
      <c r="AO1084" t="s">
        <v>5843</v>
      </c>
      <c r="AP1084">
        <v>11436</v>
      </c>
      <c r="AV1084">
        <v>22.5</v>
      </c>
      <c r="AW1084" t="s">
        <v>291</v>
      </c>
      <c r="AX1084" t="s">
        <v>6021</v>
      </c>
    </row>
    <row r="1085" spans="1:50">
      <c r="A1085" s="1">
        <f>HYPERLINK("https://lsnyc.legalserver.org/matter/dynamic-profile/view/1910526","19-1910526")</f>
        <v>0</v>
      </c>
      <c r="B1085" t="s">
        <v>88</v>
      </c>
      <c r="C1085" t="s">
        <v>191</v>
      </c>
      <c r="D1085" t="s">
        <v>261</v>
      </c>
      <c r="F1085" t="s">
        <v>864</v>
      </c>
      <c r="G1085" t="s">
        <v>1203</v>
      </c>
      <c r="H1085" t="s">
        <v>2398</v>
      </c>
      <c r="I1085">
        <v>26</v>
      </c>
      <c r="J1085" t="s">
        <v>3147</v>
      </c>
      <c r="K1085">
        <v>10458</v>
      </c>
      <c r="L1085" t="s">
        <v>3185</v>
      </c>
      <c r="M1085" t="s">
        <v>3189</v>
      </c>
      <c r="N1085" t="s">
        <v>3186</v>
      </c>
      <c r="O1085" t="s">
        <v>3575</v>
      </c>
      <c r="P1085" t="s">
        <v>3613</v>
      </c>
      <c r="T1085" t="s">
        <v>3660</v>
      </c>
      <c r="U1085" t="s">
        <v>3184</v>
      </c>
      <c r="W1085" t="s">
        <v>3670</v>
      </c>
      <c r="Y1085">
        <v>986.4</v>
      </c>
      <c r="Z1085" t="s">
        <v>3690</v>
      </c>
      <c r="AA1085" t="s">
        <v>3700</v>
      </c>
      <c r="AC1085" t="s">
        <v>4268</v>
      </c>
      <c r="AD1085" t="s">
        <v>4821</v>
      </c>
      <c r="AE1085" t="s">
        <v>5373</v>
      </c>
      <c r="AF1085">
        <v>30</v>
      </c>
      <c r="AG1085" t="s">
        <v>5813</v>
      </c>
      <c r="AH1085" t="s">
        <v>5828</v>
      </c>
      <c r="AI1085">
        <v>5</v>
      </c>
      <c r="AJ1085">
        <v>1</v>
      </c>
      <c r="AK1085">
        <v>0</v>
      </c>
      <c r="AL1085">
        <v>99.92</v>
      </c>
      <c r="AO1085" t="s">
        <v>5844</v>
      </c>
      <c r="AP1085">
        <v>12480</v>
      </c>
      <c r="AV1085">
        <v>2.5</v>
      </c>
      <c r="AW1085" t="s">
        <v>261</v>
      </c>
      <c r="AX1085" t="s">
        <v>6024</v>
      </c>
    </row>
    <row r="1086" spans="1:50">
      <c r="A1086" s="1">
        <f>HYPERLINK("https://lsnyc.legalserver.org/matter/dynamic-profile/view/1905425","19-1905425")</f>
        <v>0</v>
      </c>
      <c r="B1086" t="s">
        <v>69</v>
      </c>
      <c r="C1086" t="s">
        <v>191</v>
      </c>
      <c r="D1086" t="s">
        <v>277</v>
      </c>
      <c r="F1086" t="s">
        <v>925</v>
      </c>
      <c r="G1086" t="s">
        <v>1211</v>
      </c>
      <c r="H1086" t="s">
        <v>2752</v>
      </c>
      <c r="J1086" t="s">
        <v>3159</v>
      </c>
      <c r="K1086">
        <v>10306</v>
      </c>
      <c r="L1086" t="s">
        <v>3186</v>
      </c>
      <c r="N1086" t="s">
        <v>3186</v>
      </c>
      <c r="O1086" t="s">
        <v>3576</v>
      </c>
      <c r="P1086" t="s">
        <v>3613</v>
      </c>
      <c r="T1086" t="s">
        <v>3660</v>
      </c>
      <c r="U1086" t="s">
        <v>3184</v>
      </c>
      <c r="W1086" t="s">
        <v>3670</v>
      </c>
      <c r="X1086" t="s">
        <v>3681</v>
      </c>
      <c r="Y1086">
        <v>1775</v>
      </c>
      <c r="Z1086" t="s">
        <v>3692</v>
      </c>
      <c r="AA1086" t="s">
        <v>3706</v>
      </c>
      <c r="AC1086" t="s">
        <v>4679</v>
      </c>
      <c r="AE1086" t="s">
        <v>5732</v>
      </c>
      <c r="AF1086">
        <v>0</v>
      </c>
      <c r="AG1086" t="s">
        <v>5814</v>
      </c>
      <c r="AH1086" t="s">
        <v>3188</v>
      </c>
      <c r="AI1086">
        <v>0</v>
      </c>
      <c r="AJ1086">
        <v>1</v>
      </c>
      <c r="AK1086">
        <v>3</v>
      </c>
      <c r="AL1086">
        <v>93.2</v>
      </c>
      <c r="AO1086" t="s">
        <v>5843</v>
      </c>
      <c r="AP1086">
        <v>24000</v>
      </c>
      <c r="AV1086">
        <v>4.15</v>
      </c>
      <c r="AW1086" t="s">
        <v>277</v>
      </c>
      <c r="AX1086" t="s">
        <v>6017</v>
      </c>
    </row>
    <row r="1087" spans="1:50">
      <c r="A1087" s="1">
        <f>HYPERLINK("https://lsnyc.legalserver.org/matter/dynamic-profile/view/1897829","19-1897829")</f>
        <v>0</v>
      </c>
      <c r="B1087" t="s">
        <v>69</v>
      </c>
      <c r="C1087" t="s">
        <v>191</v>
      </c>
      <c r="D1087" t="s">
        <v>432</v>
      </c>
      <c r="F1087" t="s">
        <v>1132</v>
      </c>
      <c r="G1087" t="s">
        <v>1369</v>
      </c>
      <c r="H1087" t="s">
        <v>2753</v>
      </c>
      <c r="I1087" t="s">
        <v>2826</v>
      </c>
      <c r="J1087" t="s">
        <v>3159</v>
      </c>
      <c r="K1087">
        <v>10306</v>
      </c>
      <c r="L1087" t="s">
        <v>3186</v>
      </c>
      <c r="N1087" t="s">
        <v>3186</v>
      </c>
      <c r="O1087" t="s">
        <v>3577</v>
      </c>
      <c r="P1087" t="s">
        <v>3613</v>
      </c>
      <c r="T1087" t="s">
        <v>3660</v>
      </c>
      <c r="U1087" t="s">
        <v>3184</v>
      </c>
      <c r="W1087" t="s">
        <v>3670</v>
      </c>
      <c r="Y1087">
        <v>0</v>
      </c>
      <c r="Z1087" t="s">
        <v>3692</v>
      </c>
      <c r="AC1087" t="s">
        <v>4680</v>
      </c>
      <c r="AE1087" t="s">
        <v>5733</v>
      </c>
      <c r="AF1087">
        <v>0</v>
      </c>
      <c r="AI1087">
        <v>2</v>
      </c>
      <c r="AJ1087">
        <v>1</v>
      </c>
      <c r="AK1087">
        <v>0</v>
      </c>
      <c r="AL1087">
        <v>105.68</v>
      </c>
      <c r="AO1087" t="s">
        <v>5843</v>
      </c>
      <c r="AP1087">
        <v>13200</v>
      </c>
      <c r="AV1087">
        <v>13.85</v>
      </c>
      <c r="AW1087" t="s">
        <v>211</v>
      </c>
      <c r="AX1087" t="s">
        <v>6026</v>
      </c>
    </row>
    <row r="1088" spans="1:50">
      <c r="A1088" s="1">
        <f>HYPERLINK("https://lsnyc.legalserver.org/matter/dynamic-profile/view/1907394","19-1907394")</f>
        <v>0</v>
      </c>
      <c r="B1088" t="s">
        <v>88</v>
      </c>
      <c r="C1088" t="s">
        <v>191</v>
      </c>
      <c r="D1088" t="s">
        <v>253</v>
      </c>
      <c r="F1088" t="s">
        <v>1133</v>
      </c>
      <c r="G1088" t="s">
        <v>1911</v>
      </c>
      <c r="H1088" t="s">
        <v>2011</v>
      </c>
      <c r="I1088" t="s">
        <v>3118</v>
      </c>
      <c r="J1088" t="s">
        <v>3147</v>
      </c>
      <c r="K1088">
        <v>10453</v>
      </c>
      <c r="L1088" t="s">
        <v>3185</v>
      </c>
      <c r="N1088" t="s">
        <v>3186</v>
      </c>
      <c r="T1088" t="s">
        <v>3660</v>
      </c>
      <c r="U1088" t="s">
        <v>3185</v>
      </c>
      <c r="W1088" t="s">
        <v>3670</v>
      </c>
      <c r="Y1088">
        <v>802.4400000000001</v>
      </c>
      <c r="Z1088" t="s">
        <v>3690</v>
      </c>
      <c r="AA1088" t="s">
        <v>3700</v>
      </c>
      <c r="AC1088" t="s">
        <v>4681</v>
      </c>
      <c r="AE1088" t="s">
        <v>5734</v>
      </c>
      <c r="AF1088">
        <v>170</v>
      </c>
      <c r="AG1088" t="s">
        <v>5813</v>
      </c>
      <c r="AH1088" t="s">
        <v>3188</v>
      </c>
      <c r="AI1088">
        <v>30</v>
      </c>
      <c r="AJ1088">
        <v>2</v>
      </c>
      <c r="AK1088">
        <v>0</v>
      </c>
      <c r="AL1088">
        <v>260.2</v>
      </c>
      <c r="AO1088" t="s">
        <v>5843</v>
      </c>
      <c r="AP1088">
        <v>44000</v>
      </c>
      <c r="AV1088">
        <v>2.4</v>
      </c>
      <c r="AW1088" t="s">
        <v>261</v>
      </c>
      <c r="AX1088" t="s">
        <v>78</v>
      </c>
    </row>
    <row r="1089" spans="1:50">
      <c r="A1089" s="1">
        <f>HYPERLINK("https://lsnyc.legalserver.org/matter/dynamic-profile/view/1910361","19-1910361")</f>
        <v>0</v>
      </c>
      <c r="B1089" t="s">
        <v>182</v>
      </c>
      <c r="C1089" t="s">
        <v>191</v>
      </c>
      <c r="D1089" t="s">
        <v>199</v>
      </c>
      <c r="F1089" t="s">
        <v>546</v>
      </c>
      <c r="G1089" t="s">
        <v>1443</v>
      </c>
      <c r="H1089" t="s">
        <v>2754</v>
      </c>
      <c r="I1089" t="s">
        <v>2923</v>
      </c>
      <c r="J1089" t="s">
        <v>3183</v>
      </c>
      <c r="K1089">
        <v>10002</v>
      </c>
      <c r="L1089" t="s">
        <v>3185</v>
      </c>
      <c r="M1089" t="s">
        <v>3189</v>
      </c>
      <c r="N1089" t="s">
        <v>3186</v>
      </c>
      <c r="P1089" t="s">
        <v>3257</v>
      </c>
      <c r="Q1089" t="s">
        <v>3637</v>
      </c>
      <c r="S1089" t="s">
        <v>199</v>
      </c>
      <c r="T1089" t="s">
        <v>3660</v>
      </c>
      <c r="U1089" t="s">
        <v>3184</v>
      </c>
      <c r="W1089" t="s">
        <v>3670</v>
      </c>
      <c r="Y1089">
        <v>250</v>
      </c>
      <c r="Z1089" t="s">
        <v>3689</v>
      </c>
      <c r="AA1089" t="s">
        <v>3704</v>
      </c>
      <c r="AC1089" t="s">
        <v>4682</v>
      </c>
      <c r="AE1089" t="s">
        <v>5735</v>
      </c>
      <c r="AF1089">
        <v>0</v>
      </c>
      <c r="AG1089" t="s">
        <v>3263</v>
      </c>
      <c r="AH1089" t="s">
        <v>5827</v>
      </c>
      <c r="AI1089">
        <v>41</v>
      </c>
      <c r="AJ1089">
        <v>1</v>
      </c>
      <c r="AK1089">
        <v>0</v>
      </c>
      <c r="AL1089">
        <v>74.08</v>
      </c>
      <c r="AO1089" t="s">
        <v>5843</v>
      </c>
      <c r="AP1089">
        <v>9252</v>
      </c>
      <c r="AV1089">
        <v>0</v>
      </c>
      <c r="AX1089" t="s">
        <v>6009</v>
      </c>
    </row>
    <row r="1090" spans="1:50">
      <c r="A1090" s="1">
        <f>HYPERLINK("https://lsnyc.legalserver.org/matter/dynamic-profile/view/1910375","19-1910375")</f>
        <v>0</v>
      </c>
      <c r="B1090" t="s">
        <v>182</v>
      </c>
      <c r="C1090" t="s">
        <v>191</v>
      </c>
      <c r="D1090" t="s">
        <v>291</v>
      </c>
      <c r="F1090" t="s">
        <v>1134</v>
      </c>
      <c r="G1090" t="s">
        <v>1912</v>
      </c>
      <c r="H1090" t="s">
        <v>2755</v>
      </c>
      <c r="J1090" t="s">
        <v>3146</v>
      </c>
      <c r="K1090">
        <v>10065</v>
      </c>
      <c r="L1090" t="s">
        <v>3185</v>
      </c>
      <c r="M1090" t="s">
        <v>3188</v>
      </c>
      <c r="N1090" t="s">
        <v>3186</v>
      </c>
      <c r="P1090" t="s">
        <v>3257</v>
      </c>
      <c r="Q1090" t="s">
        <v>3637</v>
      </c>
      <c r="T1090" t="s">
        <v>3660</v>
      </c>
      <c r="W1090" t="s">
        <v>3670</v>
      </c>
      <c r="Y1090">
        <v>3500</v>
      </c>
      <c r="Z1090" t="s">
        <v>3689</v>
      </c>
      <c r="AA1090" t="s">
        <v>3704</v>
      </c>
      <c r="AC1090" t="s">
        <v>4683</v>
      </c>
      <c r="AF1090">
        <v>0</v>
      </c>
      <c r="AG1090" t="s">
        <v>5810</v>
      </c>
      <c r="AH1090" t="s">
        <v>3188</v>
      </c>
      <c r="AI1090">
        <v>9</v>
      </c>
      <c r="AJ1090">
        <v>1</v>
      </c>
      <c r="AK1090">
        <v>0</v>
      </c>
      <c r="AL1090">
        <v>0</v>
      </c>
      <c r="AO1090" t="s">
        <v>5843</v>
      </c>
      <c r="AP1090">
        <v>0</v>
      </c>
      <c r="AV1090">
        <v>0</v>
      </c>
      <c r="AX1090" t="s">
        <v>6041</v>
      </c>
    </row>
    <row r="1091" spans="1:50">
      <c r="A1091" s="1">
        <f>HYPERLINK("https://lsnyc.legalserver.org/matter/dynamic-profile/view/1908439","19-1908439")</f>
        <v>0</v>
      </c>
      <c r="B1091" t="s">
        <v>69</v>
      </c>
      <c r="C1091" t="s">
        <v>191</v>
      </c>
      <c r="D1091" t="s">
        <v>211</v>
      </c>
      <c r="F1091" t="s">
        <v>548</v>
      </c>
      <c r="G1091" t="s">
        <v>1913</v>
      </c>
      <c r="H1091" t="s">
        <v>2756</v>
      </c>
      <c r="I1091" t="s">
        <v>3026</v>
      </c>
      <c r="J1091" t="s">
        <v>3159</v>
      </c>
      <c r="K1091">
        <v>10305</v>
      </c>
      <c r="L1091" t="s">
        <v>3186</v>
      </c>
      <c r="N1091" t="s">
        <v>3186</v>
      </c>
      <c r="O1091" t="s">
        <v>3191</v>
      </c>
      <c r="P1091" t="s">
        <v>3257</v>
      </c>
      <c r="T1091" t="s">
        <v>3660</v>
      </c>
      <c r="U1091" t="s">
        <v>3184</v>
      </c>
      <c r="W1091" t="s">
        <v>3670</v>
      </c>
      <c r="X1091" t="s">
        <v>3681</v>
      </c>
      <c r="Y1091">
        <v>1800</v>
      </c>
      <c r="Z1091" t="s">
        <v>3692</v>
      </c>
      <c r="AA1091" t="s">
        <v>3707</v>
      </c>
      <c r="AC1091" t="s">
        <v>4684</v>
      </c>
      <c r="AE1091" t="s">
        <v>5736</v>
      </c>
      <c r="AF1091">
        <v>3</v>
      </c>
      <c r="AG1091" t="s">
        <v>5814</v>
      </c>
      <c r="AH1091" t="s">
        <v>3188</v>
      </c>
      <c r="AI1091">
        <v>7</v>
      </c>
      <c r="AJ1091">
        <v>1</v>
      </c>
      <c r="AK1091">
        <v>0</v>
      </c>
      <c r="AL1091">
        <v>105.68</v>
      </c>
      <c r="AO1091" t="s">
        <v>5843</v>
      </c>
      <c r="AP1091">
        <v>13200</v>
      </c>
      <c r="AV1091">
        <v>1</v>
      </c>
      <c r="AW1091" t="s">
        <v>211</v>
      </c>
      <c r="AX1091" t="s">
        <v>6017</v>
      </c>
    </row>
    <row r="1092" spans="1:50">
      <c r="A1092" s="1">
        <f>HYPERLINK("https://lsnyc.legalserver.org/matter/dynamic-profile/view/1893985","19-1893985")</f>
        <v>0</v>
      </c>
      <c r="B1092" t="s">
        <v>69</v>
      </c>
      <c r="C1092" t="s">
        <v>191</v>
      </c>
      <c r="D1092" t="s">
        <v>248</v>
      </c>
      <c r="F1092" t="s">
        <v>1135</v>
      </c>
      <c r="G1092" t="s">
        <v>1914</v>
      </c>
      <c r="H1092" t="s">
        <v>2757</v>
      </c>
      <c r="I1092" t="s">
        <v>3119</v>
      </c>
      <c r="J1092" t="s">
        <v>3159</v>
      </c>
      <c r="K1092">
        <v>10304</v>
      </c>
      <c r="L1092" t="s">
        <v>3186</v>
      </c>
      <c r="M1092" t="s">
        <v>3189</v>
      </c>
      <c r="N1092" t="s">
        <v>3186</v>
      </c>
      <c r="O1092" t="s">
        <v>3578</v>
      </c>
      <c r="P1092" t="s">
        <v>3610</v>
      </c>
      <c r="T1092" t="s">
        <v>3660</v>
      </c>
      <c r="U1092" t="s">
        <v>3184</v>
      </c>
      <c r="W1092" t="s">
        <v>3670</v>
      </c>
      <c r="X1092" t="s">
        <v>3681</v>
      </c>
      <c r="Y1092">
        <v>959</v>
      </c>
      <c r="Z1092" t="s">
        <v>3692</v>
      </c>
      <c r="AA1092" t="s">
        <v>3696</v>
      </c>
      <c r="AC1092" t="s">
        <v>4066</v>
      </c>
      <c r="AE1092" t="s">
        <v>5737</v>
      </c>
      <c r="AF1092">
        <v>0</v>
      </c>
      <c r="AG1092" t="s">
        <v>5813</v>
      </c>
      <c r="AI1092">
        <v>11</v>
      </c>
      <c r="AJ1092">
        <v>2</v>
      </c>
      <c r="AK1092">
        <v>0</v>
      </c>
      <c r="AL1092">
        <v>105.88</v>
      </c>
      <c r="AO1092" t="s">
        <v>5843</v>
      </c>
      <c r="AP1092">
        <v>17904</v>
      </c>
      <c r="AV1092">
        <v>7.95</v>
      </c>
      <c r="AW1092" t="s">
        <v>222</v>
      </c>
      <c r="AX1092" t="s">
        <v>6017</v>
      </c>
    </row>
    <row r="1093" spans="1:50">
      <c r="A1093" s="1">
        <f>HYPERLINK("https://lsnyc.legalserver.org/matter/dynamic-profile/view/1891040","19-1891040")</f>
        <v>0</v>
      </c>
      <c r="B1093" t="s">
        <v>69</v>
      </c>
      <c r="C1093" t="s">
        <v>191</v>
      </c>
      <c r="D1093" t="s">
        <v>360</v>
      </c>
      <c r="F1093" t="s">
        <v>1136</v>
      </c>
      <c r="G1093" t="s">
        <v>1915</v>
      </c>
      <c r="H1093" t="s">
        <v>2758</v>
      </c>
      <c r="I1093" t="s">
        <v>3120</v>
      </c>
      <c r="J1093" t="s">
        <v>3159</v>
      </c>
      <c r="K1093">
        <v>10304</v>
      </c>
      <c r="L1093" t="s">
        <v>3186</v>
      </c>
      <c r="N1093" t="s">
        <v>3186</v>
      </c>
      <c r="T1093" t="s">
        <v>3660</v>
      </c>
      <c r="W1093" t="s">
        <v>3670</v>
      </c>
      <c r="Y1093">
        <v>0</v>
      </c>
      <c r="Z1093" t="s">
        <v>3692</v>
      </c>
      <c r="AC1093" t="s">
        <v>4685</v>
      </c>
      <c r="AE1093" t="s">
        <v>5738</v>
      </c>
      <c r="AF1093">
        <v>0</v>
      </c>
      <c r="AI1093">
        <v>0</v>
      </c>
      <c r="AJ1093">
        <v>1</v>
      </c>
      <c r="AK1093">
        <v>0</v>
      </c>
      <c r="AL1093">
        <v>124.9</v>
      </c>
      <c r="AO1093" t="s">
        <v>5843</v>
      </c>
      <c r="AP1093">
        <v>15600</v>
      </c>
      <c r="AV1093">
        <v>31.9</v>
      </c>
      <c r="AW1093" t="s">
        <v>212</v>
      </c>
      <c r="AX1093" t="s">
        <v>6026</v>
      </c>
    </row>
    <row r="1094" spans="1:50">
      <c r="A1094" s="1">
        <f>HYPERLINK("https://lsnyc.legalserver.org/matter/dynamic-profile/view/1907864","19-1907864")</f>
        <v>0</v>
      </c>
      <c r="B1094" t="s">
        <v>69</v>
      </c>
      <c r="C1094" t="s">
        <v>191</v>
      </c>
      <c r="D1094" t="s">
        <v>244</v>
      </c>
      <c r="F1094" t="s">
        <v>1137</v>
      </c>
      <c r="G1094" t="s">
        <v>1916</v>
      </c>
      <c r="H1094" t="s">
        <v>2759</v>
      </c>
      <c r="I1094" t="s">
        <v>2865</v>
      </c>
      <c r="J1094" t="s">
        <v>3159</v>
      </c>
      <c r="K1094">
        <v>10305</v>
      </c>
      <c r="L1094" t="s">
        <v>3186</v>
      </c>
      <c r="N1094" t="s">
        <v>3186</v>
      </c>
      <c r="O1094" t="s">
        <v>3579</v>
      </c>
      <c r="P1094" t="s">
        <v>3610</v>
      </c>
      <c r="Q1094" t="s">
        <v>3638</v>
      </c>
      <c r="T1094" t="s">
        <v>3660</v>
      </c>
      <c r="U1094" t="s">
        <v>3184</v>
      </c>
      <c r="W1094" t="s">
        <v>3670</v>
      </c>
      <c r="X1094" t="s">
        <v>3681</v>
      </c>
      <c r="Y1094">
        <v>3400</v>
      </c>
      <c r="Z1094" t="s">
        <v>3692</v>
      </c>
      <c r="AA1094" t="s">
        <v>3706</v>
      </c>
      <c r="AC1094" t="s">
        <v>4686</v>
      </c>
      <c r="AE1094" t="s">
        <v>5739</v>
      </c>
      <c r="AF1094">
        <v>3</v>
      </c>
      <c r="AG1094" t="s">
        <v>5814</v>
      </c>
      <c r="AH1094" t="s">
        <v>3188</v>
      </c>
      <c r="AI1094">
        <v>2</v>
      </c>
      <c r="AJ1094">
        <v>1</v>
      </c>
      <c r="AK1094">
        <v>0</v>
      </c>
      <c r="AL1094">
        <v>0</v>
      </c>
      <c r="AO1094" t="s">
        <v>5843</v>
      </c>
      <c r="AP1094">
        <v>0</v>
      </c>
      <c r="AV1094">
        <v>18.8</v>
      </c>
      <c r="AW1094" t="s">
        <v>207</v>
      </c>
      <c r="AX1094" t="s">
        <v>6017</v>
      </c>
    </row>
    <row r="1095" spans="1:50">
      <c r="A1095" s="1">
        <f>HYPERLINK("https://lsnyc.legalserver.org/matter/dynamic-profile/view/1910219","19-1910219")</f>
        <v>0</v>
      </c>
      <c r="B1095" t="s">
        <v>101</v>
      </c>
      <c r="C1095" t="s">
        <v>191</v>
      </c>
      <c r="D1095" t="s">
        <v>199</v>
      </c>
      <c r="F1095" t="s">
        <v>463</v>
      </c>
      <c r="G1095" t="s">
        <v>1191</v>
      </c>
      <c r="H1095" t="s">
        <v>2760</v>
      </c>
      <c r="J1095" t="s">
        <v>3159</v>
      </c>
      <c r="K1095">
        <v>10304</v>
      </c>
      <c r="L1095" t="s">
        <v>3186</v>
      </c>
      <c r="N1095" t="s">
        <v>3186</v>
      </c>
      <c r="O1095" t="s">
        <v>3580</v>
      </c>
      <c r="P1095" t="s">
        <v>3610</v>
      </c>
      <c r="T1095" t="s">
        <v>3660</v>
      </c>
      <c r="U1095" t="s">
        <v>3184</v>
      </c>
      <c r="W1095" t="s">
        <v>3670</v>
      </c>
      <c r="Y1095">
        <v>1700</v>
      </c>
      <c r="Z1095" t="s">
        <v>3692</v>
      </c>
      <c r="AA1095" t="s">
        <v>3710</v>
      </c>
      <c r="AC1095" t="s">
        <v>4687</v>
      </c>
      <c r="AE1095" t="s">
        <v>5740</v>
      </c>
      <c r="AF1095">
        <v>2</v>
      </c>
      <c r="AG1095" t="s">
        <v>5814</v>
      </c>
      <c r="AH1095" t="s">
        <v>3188</v>
      </c>
      <c r="AI1095">
        <v>3</v>
      </c>
      <c r="AJ1095">
        <v>2</v>
      </c>
      <c r="AK1095">
        <v>0</v>
      </c>
      <c r="AL1095">
        <v>183.44</v>
      </c>
      <c r="AO1095" t="s">
        <v>5843</v>
      </c>
      <c r="AP1095">
        <v>31020</v>
      </c>
      <c r="AV1095">
        <v>1.6</v>
      </c>
      <c r="AW1095" t="s">
        <v>261</v>
      </c>
      <c r="AX1095" t="s">
        <v>6017</v>
      </c>
    </row>
    <row r="1096" spans="1:50">
      <c r="A1096" s="1">
        <f>HYPERLINK("https://lsnyc.legalserver.org/matter/dynamic-profile/view/1904778","19-1904778")</f>
        <v>0</v>
      </c>
      <c r="B1096" t="s">
        <v>101</v>
      </c>
      <c r="C1096" t="s">
        <v>191</v>
      </c>
      <c r="D1096" t="s">
        <v>202</v>
      </c>
      <c r="F1096" t="s">
        <v>1138</v>
      </c>
      <c r="G1096" t="s">
        <v>1917</v>
      </c>
      <c r="H1096" t="s">
        <v>2761</v>
      </c>
      <c r="I1096" t="s">
        <v>2838</v>
      </c>
      <c r="J1096" t="s">
        <v>3159</v>
      </c>
      <c r="K1096">
        <v>10301</v>
      </c>
      <c r="L1096" t="s">
        <v>3186</v>
      </c>
      <c r="N1096" t="s">
        <v>3186</v>
      </c>
      <c r="O1096" t="s">
        <v>3581</v>
      </c>
      <c r="P1096" t="s">
        <v>3613</v>
      </c>
      <c r="Q1096" t="s">
        <v>3638</v>
      </c>
      <c r="T1096" t="s">
        <v>3660</v>
      </c>
      <c r="U1096" t="s">
        <v>3184</v>
      </c>
      <c r="W1096" t="s">
        <v>3673</v>
      </c>
      <c r="X1096" t="s">
        <v>3681</v>
      </c>
      <c r="Y1096">
        <v>243</v>
      </c>
      <c r="Z1096" t="s">
        <v>3692</v>
      </c>
      <c r="AC1096" t="s">
        <v>4688</v>
      </c>
      <c r="AE1096" t="s">
        <v>5741</v>
      </c>
      <c r="AF1096">
        <v>0</v>
      </c>
      <c r="AG1096" t="s">
        <v>5812</v>
      </c>
      <c r="AH1096" t="s">
        <v>3188</v>
      </c>
      <c r="AI1096">
        <v>3</v>
      </c>
      <c r="AJ1096">
        <v>1</v>
      </c>
      <c r="AK1096">
        <v>0</v>
      </c>
      <c r="AL1096">
        <v>68.89</v>
      </c>
      <c r="AO1096" t="s">
        <v>5843</v>
      </c>
      <c r="AP1096">
        <v>8604</v>
      </c>
      <c r="AV1096">
        <v>22.05</v>
      </c>
      <c r="AW1096" t="s">
        <v>221</v>
      </c>
      <c r="AX1096" t="s">
        <v>6017</v>
      </c>
    </row>
    <row r="1097" spans="1:50">
      <c r="A1097" s="1">
        <f>HYPERLINK("https://lsnyc.legalserver.org/matter/dynamic-profile/view/1899756","19-1899756")</f>
        <v>0</v>
      </c>
      <c r="B1097" t="s">
        <v>109</v>
      </c>
      <c r="C1097" t="s">
        <v>191</v>
      </c>
      <c r="D1097" t="s">
        <v>342</v>
      </c>
      <c r="F1097" t="s">
        <v>1139</v>
      </c>
      <c r="G1097" t="s">
        <v>1918</v>
      </c>
      <c r="H1097" t="s">
        <v>2762</v>
      </c>
      <c r="I1097" t="s">
        <v>2905</v>
      </c>
      <c r="J1097" t="s">
        <v>3159</v>
      </c>
      <c r="K1097">
        <v>10301</v>
      </c>
      <c r="L1097" t="s">
        <v>3186</v>
      </c>
      <c r="N1097" t="s">
        <v>3186</v>
      </c>
      <c r="O1097" t="s">
        <v>3582</v>
      </c>
      <c r="P1097" t="s">
        <v>3610</v>
      </c>
      <c r="T1097" t="s">
        <v>3660</v>
      </c>
      <c r="W1097" t="s">
        <v>3670</v>
      </c>
      <c r="Y1097">
        <v>1200</v>
      </c>
      <c r="Z1097" t="s">
        <v>3692</v>
      </c>
      <c r="AA1097" t="s">
        <v>3632</v>
      </c>
      <c r="AC1097" t="s">
        <v>4689</v>
      </c>
      <c r="AE1097" t="s">
        <v>5742</v>
      </c>
      <c r="AF1097">
        <v>5</v>
      </c>
      <c r="AG1097" t="s">
        <v>3263</v>
      </c>
      <c r="AH1097" t="s">
        <v>3188</v>
      </c>
      <c r="AI1097">
        <v>3</v>
      </c>
      <c r="AJ1097">
        <v>1</v>
      </c>
      <c r="AK1097">
        <v>0</v>
      </c>
      <c r="AL1097">
        <v>57.65</v>
      </c>
      <c r="AO1097" t="s">
        <v>5843</v>
      </c>
      <c r="AP1097">
        <v>7200</v>
      </c>
      <c r="AV1097">
        <v>0.5</v>
      </c>
      <c r="AW1097" t="s">
        <v>342</v>
      </c>
      <c r="AX1097" t="s">
        <v>6011</v>
      </c>
    </row>
    <row r="1098" spans="1:50">
      <c r="A1098" s="1">
        <f>HYPERLINK("https://lsnyc.legalserver.org/matter/dynamic-profile/view/1906890","19-1906890")</f>
        <v>0</v>
      </c>
      <c r="B1098" t="s">
        <v>109</v>
      </c>
      <c r="C1098" t="s">
        <v>191</v>
      </c>
      <c r="D1098" t="s">
        <v>277</v>
      </c>
      <c r="F1098" t="s">
        <v>626</v>
      </c>
      <c r="G1098" t="s">
        <v>1919</v>
      </c>
      <c r="H1098" t="s">
        <v>2591</v>
      </c>
      <c r="I1098" t="s">
        <v>3121</v>
      </c>
      <c r="J1098" t="s">
        <v>3159</v>
      </c>
      <c r="K1098">
        <v>10304</v>
      </c>
      <c r="L1098" t="s">
        <v>3186</v>
      </c>
      <c r="N1098" t="s">
        <v>3186</v>
      </c>
      <c r="T1098" t="s">
        <v>3660</v>
      </c>
      <c r="W1098" t="s">
        <v>3670</v>
      </c>
      <c r="Y1098">
        <v>0</v>
      </c>
      <c r="Z1098" t="s">
        <v>3692</v>
      </c>
      <c r="AC1098" t="s">
        <v>4690</v>
      </c>
      <c r="AE1098" t="s">
        <v>5743</v>
      </c>
      <c r="AF1098">
        <v>0</v>
      </c>
      <c r="AI1098">
        <v>0</v>
      </c>
      <c r="AJ1098">
        <v>1</v>
      </c>
      <c r="AK1098">
        <v>3</v>
      </c>
      <c r="AL1098">
        <v>111.07</v>
      </c>
      <c r="AO1098" t="s">
        <v>5843</v>
      </c>
      <c r="AP1098">
        <v>28600</v>
      </c>
      <c r="AV1098">
        <v>8</v>
      </c>
      <c r="AW1098" t="s">
        <v>252</v>
      </c>
      <c r="AX1098" t="s">
        <v>6026</v>
      </c>
    </row>
    <row r="1099" spans="1:50">
      <c r="A1099" s="1">
        <f>HYPERLINK("https://lsnyc.legalserver.org/matter/dynamic-profile/view/1893014","19-1893014")</f>
        <v>0</v>
      </c>
      <c r="B1099" t="s">
        <v>109</v>
      </c>
      <c r="C1099" t="s">
        <v>191</v>
      </c>
      <c r="D1099" t="s">
        <v>433</v>
      </c>
      <c r="F1099" t="s">
        <v>1140</v>
      </c>
      <c r="G1099" t="s">
        <v>1773</v>
      </c>
      <c r="H1099" t="s">
        <v>2763</v>
      </c>
      <c r="I1099">
        <v>211</v>
      </c>
      <c r="J1099" t="s">
        <v>3159</v>
      </c>
      <c r="K1099">
        <v>10305</v>
      </c>
      <c r="L1099" t="s">
        <v>3186</v>
      </c>
      <c r="N1099" t="s">
        <v>3186</v>
      </c>
      <c r="O1099" t="s">
        <v>3583</v>
      </c>
      <c r="P1099" t="s">
        <v>3610</v>
      </c>
      <c r="T1099" t="s">
        <v>3660</v>
      </c>
      <c r="U1099" t="s">
        <v>3184</v>
      </c>
      <c r="W1099" t="s">
        <v>3670</v>
      </c>
      <c r="X1099" t="s">
        <v>3681</v>
      </c>
      <c r="Y1099">
        <v>740</v>
      </c>
      <c r="Z1099" t="s">
        <v>3692</v>
      </c>
      <c r="AA1099" t="s">
        <v>3707</v>
      </c>
      <c r="AC1099" t="s">
        <v>4691</v>
      </c>
      <c r="AE1099" t="s">
        <v>5744</v>
      </c>
      <c r="AF1099">
        <v>0</v>
      </c>
      <c r="AG1099" t="s">
        <v>5813</v>
      </c>
      <c r="AI1099">
        <v>9</v>
      </c>
      <c r="AJ1099">
        <v>1</v>
      </c>
      <c r="AK1099">
        <v>0</v>
      </c>
      <c r="AL1099">
        <v>220.98</v>
      </c>
      <c r="AO1099" t="s">
        <v>5843</v>
      </c>
      <c r="AP1099">
        <v>27600</v>
      </c>
      <c r="AV1099">
        <v>0.75</v>
      </c>
      <c r="AW1099" t="s">
        <v>433</v>
      </c>
      <c r="AX1099" t="s">
        <v>6027</v>
      </c>
    </row>
    <row r="1100" spans="1:50">
      <c r="A1100" s="1">
        <f>HYPERLINK("https://lsnyc.legalserver.org/matter/dynamic-profile/view/1898247","19-1898247")</f>
        <v>0</v>
      </c>
      <c r="B1100" t="s">
        <v>114</v>
      </c>
      <c r="C1100" t="s">
        <v>192</v>
      </c>
      <c r="D1100" t="s">
        <v>204</v>
      </c>
      <c r="E1100" t="s">
        <v>272</v>
      </c>
      <c r="F1100" t="s">
        <v>1141</v>
      </c>
      <c r="G1100" t="s">
        <v>1470</v>
      </c>
      <c r="H1100" t="s">
        <v>2591</v>
      </c>
      <c r="I1100" t="s">
        <v>3122</v>
      </c>
      <c r="J1100" t="s">
        <v>3159</v>
      </c>
      <c r="K1100">
        <v>10304</v>
      </c>
      <c r="L1100" t="s">
        <v>3186</v>
      </c>
      <c r="N1100" t="s">
        <v>3186</v>
      </c>
      <c r="Q1100" t="s">
        <v>3638</v>
      </c>
      <c r="R1100" t="s">
        <v>3644</v>
      </c>
      <c r="T1100" t="s">
        <v>3660</v>
      </c>
      <c r="W1100" t="s">
        <v>3670</v>
      </c>
      <c r="X1100" t="s">
        <v>3681</v>
      </c>
      <c r="Y1100">
        <v>372</v>
      </c>
      <c r="Z1100" t="s">
        <v>3692</v>
      </c>
      <c r="AA1100" t="s">
        <v>3696</v>
      </c>
      <c r="AB1100" t="s">
        <v>3714</v>
      </c>
      <c r="AC1100" t="s">
        <v>4627</v>
      </c>
      <c r="AE1100" t="s">
        <v>5745</v>
      </c>
      <c r="AF1100">
        <v>403</v>
      </c>
      <c r="AG1100" t="s">
        <v>5812</v>
      </c>
      <c r="AH1100" t="s">
        <v>5827</v>
      </c>
      <c r="AI1100">
        <v>449</v>
      </c>
      <c r="AJ1100">
        <v>1</v>
      </c>
      <c r="AK1100">
        <v>0</v>
      </c>
      <c r="AL1100">
        <v>79.26000000000001</v>
      </c>
      <c r="AO1100" t="s">
        <v>5843</v>
      </c>
      <c r="AP1100">
        <v>9900</v>
      </c>
      <c r="AV1100">
        <v>5.6</v>
      </c>
      <c r="AW1100" t="s">
        <v>272</v>
      </c>
      <c r="AX1100" t="s">
        <v>6017</v>
      </c>
    </row>
    <row r="1101" spans="1:50">
      <c r="A1101" s="1">
        <f>HYPERLINK("https://lsnyc.legalserver.org/matter/dynamic-profile/view/1899388","19-1899388")</f>
        <v>0</v>
      </c>
      <c r="B1101" t="s">
        <v>125</v>
      </c>
      <c r="C1101" t="s">
        <v>192</v>
      </c>
      <c r="D1101" t="s">
        <v>434</v>
      </c>
      <c r="E1101" t="s">
        <v>246</v>
      </c>
      <c r="F1101" t="s">
        <v>1142</v>
      </c>
      <c r="G1101" t="s">
        <v>1470</v>
      </c>
      <c r="H1101" t="s">
        <v>2764</v>
      </c>
      <c r="I1101" t="s">
        <v>2826</v>
      </c>
      <c r="J1101" t="s">
        <v>3159</v>
      </c>
      <c r="K1101">
        <v>10301</v>
      </c>
      <c r="L1101" t="s">
        <v>3186</v>
      </c>
      <c r="N1101" t="s">
        <v>3186</v>
      </c>
      <c r="P1101" t="s">
        <v>3613</v>
      </c>
      <c r="Q1101" t="s">
        <v>3634</v>
      </c>
      <c r="R1101" t="s">
        <v>3642</v>
      </c>
      <c r="T1101" t="s">
        <v>3660</v>
      </c>
      <c r="U1101" t="s">
        <v>3184</v>
      </c>
      <c r="W1101" t="s">
        <v>3670</v>
      </c>
      <c r="X1101" t="s">
        <v>3681</v>
      </c>
      <c r="Y1101">
        <v>433</v>
      </c>
      <c r="Z1101" t="s">
        <v>3692</v>
      </c>
      <c r="AA1101" t="s">
        <v>3696</v>
      </c>
      <c r="AB1101" t="s">
        <v>3712</v>
      </c>
      <c r="AC1101" t="s">
        <v>4692</v>
      </c>
      <c r="AE1101" t="s">
        <v>5746</v>
      </c>
      <c r="AF1101">
        <v>0</v>
      </c>
      <c r="AI1101">
        <v>1</v>
      </c>
      <c r="AJ1101">
        <v>1</v>
      </c>
      <c r="AK1101">
        <v>2</v>
      </c>
      <c r="AL1101">
        <v>86.75</v>
      </c>
      <c r="AO1101" t="s">
        <v>5843</v>
      </c>
      <c r="AP1101">
        <v>18504</v>
      </c>
      <c r="AV1101">
        <v>0.2</v>
      </c>
      <c r="AW1101" t="s">
        <v>270</v>
      </c>
      <c r="AX1101" t="s">
        <v>6017</v>
      </c>
    </row>
    <row r="1102" spans="1:50">
      <c r="A1102" s="1">
        <f>HYPERLINK("https://lsnyc.legalserver.org/matter/dynamic-profile/view/1889795","19-1889795")</f>
        <v>0</v>
      </c>
      <c r="B1102" t="s">
        <v>151</v>
      </c>
      <c r="C1102" t="s">
        <v>191</v>
      </c>
      <c r="D1102" t="s">
        <v>394</v>
      </c>
      <c r="F1102" t="s">
        <v>478</v>
      </c>
      <c r="G1102" t="s">
        <v>1187</v>
      </c>
      <c r="H1102" t="s">
        <v>2765</v>
      </c>
      <c r="I1102" t="s">
        <v>3123</v>
      </c>
      <c r="J1102" t="s">
        <v>3159</v>
      </c>
      <c r="K1102">
        <v>10310</v>
      </c>
      <c r="L1102" t="s">
        <v>3186</v>
      </c>
      <c r="N1102" t="s">
        <v>3186</v>
      </c>
      <c r="T1102" t="s">
        <v>3660</v>
      </c>
      <c r="W1102" t="s">
        <v>3670</v>
      </c>
      <c r="Y1102">
        <v>0</v>
      </c>
      <c r="Z1102" t="s">
        <v>3692</v>
      </c>
      <c r="AC1102" t="s">
        <v>4693</v>
      </c>
      <c r="AE1102" t="s">
        <v>5747</v>
      </c>
      <c r="AF1102">
        <v>0</v>
      </c>
      <c r="AI1102">
        <v>0</v>
      </c>
      <c r="AJ1102">
        <v>2</v>
      </c>
      <c r="AK1102">
        <v>0</v>
      </c>
      <c r="AL1102">
        <v>0</v>
      </c>
      <c r="AO1102" t="s">
        <v>5844</v>
      </c>
      <c r="AP1102">
        <v>0</v>
      </c>
      <c r="AV1102">
        <v>6.35</v>
      </c>
      <c r="AW1102" t="s">
        <v>214</v>
      </c>
      <c r="AX1102" t="s">
        <v>6026</v>
      </c>
    </row>
    <row r="1103" spans="1:50">
      <c r="A1103" s="1">
        <f>HYPERLINK("https://lsnyc.legalserver.org/matter/dynamic-profile/view/1888652","19-1888652")</f>
        <v>0</v>
      </c>
      <c r="B1103" t="s">
        <v>151</v>
      </c>
      <c r="C1103" t="s">
        <v>191</v>
      </c>
      <c r="D1103" t="s">
        <v>435</v>
      </c>
      <c r="F1103" t="s">
        <v>445</v>
      </c>
      <c r="G1103" t="s">
        <v>1920</v>
      </c>
      <c r="H1103" t="s">
        <v>2766</v>
      </c>
      <c r="I1103" t="s">
        <v>3124</v>
      </c>
      <c r="J1103" t="s">
        <v>3159</v>
      </c>
      <c r="K1103">
        <v>10301</v>
      </c>
      <c r="L1103" t="s">
        <v>3186</v>
      </c>
      <c r="N1103" t="s">
        <v>3186</v>
      </c>
      <c r="T1103" t="s">
        <v>3660</v>
      </c>
      <c r="W1103" t="s">
        <v>3670</v>
      </c>
      <c r="Y1103">
        <v>0</v>
      </c>
      <c r="Z1103" t="s">
        <v>3692</v>
      </c>
      <c r="AC1103" t="s">
        <v>4694</v>
      </c>
      <c r="AE1103" t="s">
        <v>5748</v>
      </c>
      <c r="AF1103">
        <v>0</v>
      </c>
      <c r="AI1103">
        <v>0</v>
      </c>
      <c r="AJ1103">
        <v>2</v>
      </c>
      <c r="AK1103">
        <v>2</v>
      </c>
      <c r="AL1103">
        <v>48.22</v>
      </c>
      <c r="AO1103" t="s">
        <v>5843</v>
      </c>
      <c r="AP1103">
        <v>12416</v>
      </c>
      <c r="AV1103">
        <v>8.15</v>
      </c>
      <c r="AW1103" t="s">
        <v>239</v>
      </c>
      <c r="AX1103" t="s">
        <v>6026</v>
      </c>
    </row>
    <row r="1104" spans="1:50">
      <c r="A1104" s="1">
        <f>HYPERLINK("https://lsnyc.legalserver.org/matter/dynamic-profile/view/1907538","19-1907538")</f>
        <v>0</v>
      </c>
      <c r="B1104" t="s">
        <v>90</v>
      </c>
      <c r="C1104" t="s">
        <v>191</v>
      </c>
      <c r="D1104" t="s">
        <v>234</v>
      </c>
      <c r="F1104" t="s">
        <v>479</v>
      </c>
      <c r="G1104" t="s">
        <v>1226</v>
      </c>
      <c r="H1104" t="s">
        <v>2003</v>
      </c>
      <c r="I1104" t="s">
        <v>2844</v>
      </c>
      <c r="J1104" t="s">
        <v>3147</v>
      </c>
      <c r="K1104">
        <v>10470</v>
      </c>
      <c r="L1104" t="s">
        <v>3185</v>
      </c>
      <c r="M1104" t="s">
        <v>3189</v>
      </c>
      <c r="N1104" t="s">
        <v>3186</v>
      </c>
      <c r="P1104" t="s">
        <v>3257</v>
      </c>
      <c r="Q1104" t="s">
        <v>3634</v>
      </c>
      <c r="T1104" t="s">
        <v>3660</v>
      </c>
      <c r="V1104" t="s">
        <v>3660</v>
      </c>
      <c r="W1104" t="s">
        <v>3670</v>
      </c>
      <c r="X1104" t="s">
        <v>3681</v>
      </c>
      <c r="Y1104">
        <v>0</v>
      </c>
      <c r="Z1104" t="s">
        <v>3690</v>
      </c>
      <c r="AC1104" t="s">
        <v>3767</v>
      </c>
      <c r="AE1104" t="s">
        <v>4982</v>
      </c>
      <c r="AF1104">
        <v>0</v>
      </c>
      <c r="AH1104" t="s">
        <v>3188</v>
      </c>
      <c r="AI1104">
        <v>12</v>
      </c>
      <c r="AJ1104">
        <v>1</v>
      </c>
      <c r="AK1104">
        <v>4</v>
      </c>
      <c r="AL1104">
        <v>0</v>
      </c>
      <c r="AO1104" t="s">
        <v>5843</v>
      </c>
      <c r="AP1104">
        <v>0</v>
      </c>
      <c r="AV1104">
        <v>0.2</v>
      </c>
      <c r="AW1104" t="s">
        <v>221</v>
      </c>
      <c r="AX1104" t="s">
        <v>90</v>
      </c>
    </row>
    <row r="1105" spans="1:50">
      <c r="A1105" s="1">
        <f>HYPERLINK("https://lsnyc.legalserver.org/matter/dynamic-profile/view/1901062","19-1901062")</f>
        <v>0</v>
      </c>
      <c r="B1105" t="s">
        <v>151</v>
      </c>
      <c r="C1105" t="s">
        <v>191</v>
      </c>
      <c r="D1105" t="s">
        <v>302</v>
      </c>
      <c r="F1105" t="s">
        <v>1143</v>
      </c>
      <c r="G1105" t="s">
        <v>1366</v>
      </c>
      <c r="H1105" t="s">
        <v>2767</v>
      </c>
      <c r="I1105" t="s">
        <v>3125</v>
      </c>
      <c r="J1105" t="s">
        <v>3159</v>
      </c>
      <c r="K1105">
        <v>10301</v>
      </c>
      <c r="L1105" t="s">
        <v>3186</v>
      </c>
      <c r="N1105" t="s">
        <v>3186</v>
      </c>
      <c r="O1105" t="s">
        <v>3584</v>
      </c>
      <c r="P1105" t="s">
        <v>3610</v>
      </c>
      <c r="T1105" t="s">
        <v>3660</v>
      </c>
      <c r="U1105" t="s">
        <v>3184</v>
      </c>
      <c r="W1105" t="s">
        <v>3670</v>
      </c>
      <c r="X1105" t="s">
        <v>3681</v>
      </c>
      <c r="Y1105">
        <v>2197</v>
      </c>
      <c r="Z1105" t="s">
        <v>3692</v>
      </c>
      <c r="AA1105" t="s">
        <v>3710</v>
      </c>
      <c r="AC1105" t="s">
        <v>4533</v>
      </c>
      <c r="AE1105" t="s">
        <v>5749</v>
      </c>
      <c r="AF1105">
        <v>1</v>
      </c>
      <c r="AH1105" t="s">
        <v>5828</v>
      </c>
      <c r="AI1105">
        <v>1</v>
      </c>
      <c r="AJ1105">
        <v>1</v>
      </c>
      <c r="AK1105">
        <v>6</v>
      </c>
      <c r="AL1105">
        <v>56.05</v>
      </c>
      <c r="AO1105" t="s">
        <v>5843</v>
      </c>
      <c r="AP1105">
        <v>21864</v>
      </c>
      <c r="AV1105">
        <v>27.9</v>
      </c>
      <c r="AW1105" t="s">
        <v>212</v>
      </c>
      <c r="AX1105" t="s">
        <v>6017</v>
      </c>
    </row>
    <row r="1106" spans="1:50">
      <c r="A1106" s="1">
        <f>HYPERLINK("https://lsnyc.legalserver.org/matter/dynamic-profile/view/1909476","19-1909476")</f>
        <v>0</v>
      </c>
      <c r="B1106" t="s">
        <v>151</v>
      </c>
      <c r="C1106" t="s">
        <v>191</v>
      </c>
      <c r="D1106" t="s">
        <v>199</v>
      </c>
      <c r="F1106" t="s">
        <v>1042</v>
      </c>
      <c r="G1106" t="s">
        <v>1921</v>
      </c>
      <c r="H1106" t="s">
        <v>2768</v>
      </c>
      <c r="I1106" t="s">
        <v>3062</v>
      </c>
      <c r="J1106" t="s">
        <v>3159</v>
      </c>
      <c r="K1106">
        <v>10304</v>
      </c>
      <c r="L1106" t="s">
        <v>3186</v>
      </c>
      <c r="N1106" t="s">
        <v>3186</v>
      </c>
      <c r="O1106" t="s">
        <v>3585</v>
      </c>
      <c r="P1106" t="s">
        <v>3613</v>
      </c>
      <c r="T1106" t="s">
        <v>3660</v>
      </c>
      <c r="U1106" t="s">
        <v>3184</v>
      </c>
      <c r="W1106" t="s">
        <v>3670</v>
      </c>
      <c r="X1106" t="s">
        <v>3681</v>
      </c>
      <c r="Y1106">
        <v>500</v>
      </c>
      <c r="Z1106" t="s">
        <v>3692</v>
      </c>
      <c r="AA1106" t="s">
        <v>3632</v>
      </c>
      <c r="AC1106" t="s">
        <v>4695</v>
      </c>
      <c r="AE1106" t="s">
        <v>5750</v>
      </c>
      <c r="AF1106">
        <v>0</v>
      </c>
      <c r="AG1106" t="s">
        <v>3263</v>
      </c>
      <c r="AI1106">
        <v>1</v>
      </c>
      <c r="AJ1106">
        <v>2</v>
      </c>
      <c r="AK1106">
        <v>0</v>
      </c>
      <c r="AL1106">
        <v>92.61</v>
      </c>
      <c r="AO1106" t="s">
        <v>5844</v>
      </c>
      <c r="AP1106">
        <v>15660</v>
      </c>
      <c r="AV1106">
        <v>1</v>
      </c>
      <c r="AW1106" t="s">
        <v>252</v>
      </c>
      <c r="AX1106" t="s">
        <v>6017</v>
      </c>
    </row>
    <row r="1107" spans="1:50">
      <c r="A1107" s="1">
        <f>HYPERLINK("https://lsnyc.legalserver.org/matter/dynamic-profile/view/1903619","19-1903619")</f>
        <v>0</v>
      </c>
      <c r="B1107" t="s">
        <v>151</v>
      </c>
      <c r="C1107" t="s">
        <v>191</v>
      </c>
      <c r="D1107" t="s">
        <v>203</v>
      </c>
      <c r="F1107" t="s">
        <v>483</v>
      </c>
      <c r="G1107" t="s">
        <v>1203</v>
      </c>
      <c r="H1107" t="s">
        <v>2769</v>
      </c>
      <c r="I1107" t="s">
        <v>2838</v>
      </c>
      <c r="J1107" t="s">
        <v>3159</v>
      </c>
      <c r="K1107">
        <v>10301</v>
      </c>
      <c r="L1107" t="s">
        <v>3186</v>
      </c>
      <c r="N1107" t="s">
        <v>3186</v>
      </c>
      <c r="T1107" t="s">
        <v>3660</v>
      </c>
      <c r="U1107" t="s">
        <v>3184</v>
      </c>
      <c r="W1107" t="s">
        <v>3670</v>
      </c>
      <c r="Y1107">
        <v>807</v>
      </c>
      <c r="Z1107" t="s">
        <v>3692</v>
      </c>
      <c r="AC1107" t="s">
        <v>4696</v>
      </c>
      <c r="AE1107" t="s">
        <v>5751</v>
      </c>
      <c r="AF1107">
        <v>27</v>
      </c>
      <c r="AG1107" t="s">
        <v>3263</v>
      </c>
      <c r="AH1107" t="s">
        <v>5826</v>
      </c>
      <c r="AI1107">
        <v>26</v>
      </c>
      <c r="AJ1107">
        <v>1</v>
      </c>
      <c r="AK1107">
        <v>0</v>
      </c>
      <c r="AL1107">
        <v>105.68</v>
      </c>
      <c r="AO1107" t="s">
        <v>5843</v>
      </c>
      <c r="AP1107">
        <v>13200</v>
      </c>
      <c r="AV1107">
        <v>9.6</v>
      </c>
      <c r="AW1107" t="s">
        <v>199</v>
      </c>
      <c r="AX1107" t="s">
        <v>6017</v>
      </c>
    </row>
    <row r="1108" spans="1:50">
      <c r="A1108" s="1">
        <f>HYPERLINK("https://lsnyc.legalserver.org/matter/dynamic-profile/view/1905037","19-1905037")</f>
        <v>0</v>
      </c>
      <c r="B1108" t="s">
        <v>90</v>
      </c>
      <c r="C1108" t="s">
        <v>191</v>
      </c>
      <c r="D1108" t="s">
        <v>249</v>
      </c>
      <c r="F1108" t="s">
        <v>817</v>
      </c>
      <c r="G1108" t="s">
        <v>1224</v>
      </c>
      <c r="H1108" t="s">
        <v>2770</v>
      </c>
      <c r="I1108" t="s">
        <v>3126</v>
      </c>
      <c r="J1108" t="s">
        <v>3147</v>
      </c>
      <c r="K1108">
        <v>10457</v>
      </c>
      <c r="L1108" t="s">
        <v>3185</v>
      </c>
      <c r="M1108" t="s">
        <v>3189</v>
      </c>
      <c r="N1108" t="s">
        <v>3186</v>
      </c>
      <c r="P1108" t="s">
        <v>3257</v>
      </c>
      <c r="Q1108" t="s">
        <v>3636</v>
      </c>
      <c r="T1108" t="s">
        <v>3660</v>
      </c>
      <c r="U1108" t="s">
        <v>3184</v>
      </c>
      <c r="W1108" t="s">
        <v>3670</v>
      </c>
      <c r="Y1108">
        <v>1680</v>
      </c>
      <c r="Z1108" t="s">
        <v>3690</v>
      </c>
      <c r="AA1108" t="s">
        <v>3632</v>
      </c>
      <c r="AC1108" t="s">
        <v>4697</v>
      </c>
      <c r="AE1108" t="s">
        <v>5752</v>
      </c>
      <c r="AF1108">
        <v>100</v>
      </c>
      <c r="AG1108" t="s">
        <v>3263</v>
      </c>
      <c r="AH1108" t="s">
        <v>3632</v>
      </c>
      <c r="AI1108">
        <v>16</v>
      </c>
      <c r="AJ1108">
        <v>1</v>
      </c>
      <c r="AK1108">
        <v>3</v>
      </c>
      <c r="AL1108">
        <v>131.26</v>
      </c>
      <c r="AO1108" t="s">
        <v>5843</v>
      </c>
      <c r="AP1108">
        <v>33800</v>
      </c>
      <c r="AV1108">
        <v>4.3</v>
      </c>
      <c r="AW1108" t="s">
        <v>251</v>
      </c>
      <c r="AX1108" t="s">
        <v>6011</v>
      </c>
    </row>
    <row r="1109" spans="1:50">
      <c r="A1109" s="1">
        <f>HYPERLINK("https://lsnyc.legalserver.org/matter/dynamic-profile/view/1906974","19-1906974")</f>
        <v>0</v>
      </c>
      <c r="B1109" t="s">
        <v>90</v>
      </c>
      <c r="C1109" t="s">
        <v>191</v>
      </c>
      <c r="D1109" t="s">
        <v>282</v>
      </c>
      <c r="F1109" t="s">
        <v>1144</v>
      </c>
      <c r="G1109" t="s">
        <v>1857</v>
      </c>
      <c r="H1109" t="s">
        <v>2771</v>
      </c>
      <c r="I1109" t="s">
        <v>2820</v>
      </c>
      <c r="J1109" t="s">
        <v>3147</v>
      </c>
      <c r="K1109">
        <v>10460</v>
      </c>
      <c r="L1109" t="s">
        <v>3185</v>
      </c>
      <c r="M1109" t="s">
        <v>3189</v>
      </c>
      <c r="N1109" t="s">
        <v>3186</v>
      </c>
      <c r="O1109" t="s">
        <v>3188</v>
      </c>
      <c r="P1109" t="s">
        <v>3610</v>
      </c>
      <c r="Q1109" t="s">
        <v>3637</v>
      </c>
      <c r="T1109" t="s">
        <v>3660</v>
      </c>
      <c r="U1109" t="s">
        <v>3184</v>
      </c>
      <c r="W1109" t="s">
        <v>3670</v>
      </c>
      <c r="X1109" t="s">
        <v>3682</v>
      </c>
      <c r="Y1109">
        <v>0</v>
      </c>
      <c r="Z1109" t="s">
        <v>3690</v>
      </c>
      <c r="AC1109" t="s">
        <v>4698</v>
      </c>
      <c r="AF1109">
        <v>25</v>
      </c>
      <c r="AG1109" t="s">
        <v>5813</v>
      </c>
      <c r="AH1109" t="s">
        <v>5828</v>
      </c>
      <c r="AI1109">
        <v>4</v>
      </c>
      <c r="AJ1109">
        <v>1</v>
      </c>
      <c r="AK1109">
        <v>0</v>
      </c>
      <c r="AL1109">
        <v>142.39</v>
      </c>
      <c r="AO1109" t="s">
        <v>5843</v>
      </c>
      <c r="AP1109">
        <v>17784</v>
      </c>
      <c r="AV1109">
        <v>3.75</v>
      </c>
      <c r="AW1109" t="s">
        <v>228</v>
      </c>
      <c r="AX1109" t="s">
        <v>6019</v>
      </c>
    </row>
    <row r="1110" spans="1:50">
      <c r="A1110" s="1">
        <f>HYPERLINK("https://lsnyc.legalserver.org/matter/dynamic-profile/view/1906497","19-1906497")</f>
        <v>0</v>
      </c>
      <c r="B1110" t="s">
        <v>187</v>
      </c>
      <c r="C1110" t="s">
        <v>191</v>
      </c>
      <c r="D1110" t="s">
        <v>270</v>
      </c>
      <c r="F1110" t="s">
        <v>455</v>
      </c>
      <c r="G1110" t="s">
        <v>1690</v>
      </c>
      <c r="H1110" t="s">
        <v>2518</v>
      </c>
      <c r="I1110" t="s">
        <v>3127</v>
      </c>
      <c r="J1110" t="s">
        <v>3153</v>
      </c>
      <c r="K1110">
        <v>11691</v>
      </c>
      <c r="L1110" t="s">
        <v>3185</v>
      </c>
      <c r="M1110" t="s">
        <v>3189</v>
      </c>
      <c r="N1110" t="s">
        <v>3186</v>
      </c>
      <c r="O1110" t="s">
        <v>3586</v>
      </c>
      <c r="P1110" t="s">
        <v>3610</v>
      </c>
      <c r="Q1110" t="s">
        <v>3634</v>
      </c>
      <c r="S1110" t="s">
        <v>270</v>
      </c>
      <c r="T1110" t="s">
        <v>3660</v>
      </c>
      <c r="U1110" t="s">
        <v>3184</v>
      </c>
      <c r="W1110" t="s">
        <v>3670</v>
      </c>
      <c r="X1110" t="s">
        <v>3684</v>
      </c>
      <c r="Y1110">
        <v>1185</v>
      </c>
      <c r="Z1110" t="s">
        <v>3688</v>
      </c>
      <c r="AA1110" t="s">
        <v>3698</v>
      </c>
      <c r="AC1110" t="s">
        <v>4699</v>
      </c>
      <c r="AE1110" t="s">
        <v>5753</v>
      </c>
      <c r="AF1110">
        <v>200</v>
      </c>
      <c r="AG1110" t="s">
        <v>5815</v>
      </c>
      <c r="AH1110" t="s">
        <v>5827</v>
      </c>
      <c r="AI1110">
        <v>2</v>
      </c>
      <c r="AJ1110">
        <v>2</v>
      </c>
      <c r="AK1110">
        <v>0</v>
      </c>
      <c r="AL1110">
        <v>165.58</v>
      </c>
      <c r="AO1110" t="s">
        <v>5843</v>
      </c>
      <c r="AP1110">
        <v>28000</v>
      </c>
      <c r="AV1110">
        <v>1.25</v>
      </c>
      <c r="AW1110" t="s">
        <v>196</v>
      </c>
      <c r="AX1110" t="s">
        <v>62</v>
      </c>
    </row>
    <row r="1111" spans="1:50">
      <c r="A1111" s="1">
        <f>HYPERLINK("https://lsnyc.legalserver.org/matter/dynamic-profile/view/1884245","18-1884245")</f>
        <v>0</v>
      </c>
      <c r="B1111" t="s">
        <v>151</v>
      </c>
      <c r="C1111" t="s">
        <v>191</v>
      </c>
      <c r="D1111" t="s">
        <v>322</v>
      </c>
      <c r="F1111" t="s">
        <v>1145</v>
      </c>
      <c r="G1111" t="s">
        <v>1510</v>
      </c>
      <c r="H1111" t="s">
        <v>2772</v>
      </c>
      <c r="I1111" t="s">
        <v>2829</v>
      </c>
      <c r="J1111" t="s">
        <v>3159</v>
      </c>
      <c r="K1111">
        <v>10304</v>
      </c>
      <c r="L1111" t="s">
        <v>3186</v>
      </c>
      <c r="N1111" t="s">
        <v>3185</v>
      </c>
      <c r="P1111" t="s">
        <v>3610</v>
      </c>
      <c r="T1111" t="s">
        <v>3660</v>
      </c>
      <c r="U1111" t="s">
        <v>3185</v>
      </c>
      <c r="W1111" t="s">
        <v>3670</v>
      </c>
      <c r="X1111" t="s">
        <v>3682</v>
      </c>
      <c r="Y1111">
        <v>1615</v>
      </c>
      <c r="Z1111" t="s">
        <v>3692</v>
      </c>
      <c r="AA1111" t="s">
        <v>3698</v>
      </c>
      <c r="AC1111" t="s">
        <v>4700</v>
      </c>
      <c r="AE1111" t="s">
        <v>5754</v>
      </c>
      <c r="AF1111">
        <v>0</v>
      </c>
      <c r="AG1111" t="s">
        <v>5811</v>
      </c>
      <c r="AH1111" t="s">
        <v>5828</v>
      </c>
      <c r="AI1111">
        <v>1</v>
      </c>
      <c r="AJ1111">
        <v>1</v>
      </c>
      <c r="AK1111">
        <v>2</v>
      </c>
      <c r="AL1111">
        <v>107.6</v>
      </c>
      <c r="AO1111" t="s">
        <v>5843</v>
      </c>
      <c r="AP1111">
        <v>22360</v>
      </c>
      <c r="AV1111">
        <v>4.4</v>
      </c>
      <c r="AW1111" t="s">
        <v>401</v>
      </c>
      <c r="AX1111" t="s">
        <v>6066</v>
      </c>
    </row>
    <row r="1112" spans="1:50">
      <c r="A1112" s="1">
        <f>HYPERLINK("https://lsnyc.legalserver.org/matter/dynamic-profile/view/1907917","19-1907917")</f>
        <v>0</v>
      </c>
      <c r="B1112" t="s">
        <v>159</v>
      </c>
      <c r="C1112" t="s">
        <v>191</v>
      </c>
      <c r="D1112" t="s">
        <v>251</v>
      </c>
      <c r="F1112" t="s">
        <v>608</v>
      </c>
      <c r="G1112" t="s">
        <v>1922</v>
      </c>
      <c r="H1112" t="s">
        <v>2773</v>
      </c>
      <c r="I1112" t="s">
        <v>3128</v>
      </c>
      <c r="J1112" t="s">
        <v>3159</v>
      </c>
      <c r="K1112">
        <v>10301</v>
      </c>
      <c r="L1112" t="s">
        <v>3186</v>
      </c>
      <c r="N1112" t="s">
        <v>3186</v>
      </c>
      <c r="O1112" t="s">
        <v>3200</v>
      </c>
      <c r="P1112" t="s">
        <v>3257</v>
      </c>
      <c r="T1112" t="s">
        <v>3660</v>
      </c>
      <c r="U1112" t="s">
        <v>3184</v>
      </c>
      <c r="W1112" t="s">
        <v>3670</v>
      </c>
      <c r="X1112" t="s">
        <v>3681</v>
      </c>
      <c r="Y1112">
        <v>2110</v>
      </c>
      <c r="Z1112" t="s">
        <v>3692</v>
      </c>
      <c r="AA1112" t="s">
        <v>3697</v>
      </c>
      <c r="AC1112" t="s">
        <v>4701</v>
      </c>
      <c r="AE1112" t="s">
        <v>5755</v>
      </c>
      <c r="AF1112">
        <v>2</v>
      </c>
      <c r="AG1112" t="s">
        <v>5814</v>
      </c>
      <c r="AH1112" t="s">
        <v>5827</v>
      </c>
      <c r="AI1112">
        <v>4</v>
      </c>
      <c r="AJ1112">
        <v>2</v>
      </c>
      <c r="AK1112">
        <v>4</v>
      </c>
      <c r="AL1112">
        <v>7.15</v>
      </c>
      <c r="AO1112" t="s">
        <v>5843</v>
      </c>
      <c r="AP1112">
        <v>2472</v>
      </c>
      <c r="AV1112">
        <v>1.5</v>
      </c>
      <c r="AW1112" t="s">
        <v>199</v>
      </c>
      <c r="AX1112" t="s">
        <v>6012</v>
      </c>
    </row>
    <row r="1113" spans="1:50">
      <c r="A1113" s="1">
        <f>HYPERLINK("https://lsnyc.legalserver.org/matter/dynamic-profile/view/1904267","19-1904267")</f>
        <v>0</v>
      </c>
      <c r="B1113" t="s">
        <v>170</v>
      </c>
      <c r="C1113" t="s">
        <v>192</v>
      </c>
      <c r="D1113" t="s">
        <v>193</v>
      </c>
      <c r="E1113" t="s">
        <v>214</v>
      </c>
      <c r="F1113" t="s">
        <v>1146</v>
      </c>
      <c r="G1113" t="s">
        <v>1318</v>
      </c>
      <c r="H1113" t="s">
        <v>2774</v>
      </c>
      <c r="I1113" t="s">
        <v>2829</v>
      </c>
      <c r="J1113" t="s">
        <v>3146</v>
      </c>
      <c r="K1113">
        <v>10032</v>
      </c>
      <c r="L1113" t="s">
        <v>3185</v>
      </c>
      <c r="M1113" t="s">
        <v>3189</v>
      </c>
      <c r="N1113" t="s">
        <v>3186</v>
      </c>
      <c r="P1113" t="s">
        <v>3615</v>
      </c>
      <c r="Q1113" t="s">
        <v>3634</v>
      </c>
      <c r="R1113" t="s">
        <v>3642</v>
      </c>
      <c r="S1113" t="s">
        <v>193</v>
      </c>
      <c r="T1113" t="s">
        <v>3660</v>
      </c>
      <c r="U1113" t="s">
        <v>3184</v>
      </c>
      <c r="W1113" t="s">
        <v>3670</v>
      </c>
      <c r="Y1113">
        <v>606</v>
      </c>
      <c r="Z1113" t="s">
        <v>3689</v>
      </c>
      <c r="AA1113" t="s">
        <v>3697</v>
      </c>
      <c r="AB1113" t="s">
        <v>3712</v>
      </c>
      <c r="AC1113" t="s">
        <v>4702</v>
      </c>
      <c r="AE1113" t="s">
        <v>5756</v>
      </c>
      <c r="AF1113">
        <v>42</v>
      </c>
      <c r="AG1113" t="s">
        <v>5817</v>
      </c>
      <c r="AH1113" t="s">
        <v>3188</v>
      </c>
      <c r="AI1113">
        <v>53</v>
      </c>
      <c r="AJ1113">
        <v>1</v>
      </c>
      <c r="AK1113">
        <v>0</v>
      </c>
      <c r="AL1113">
        <v>249.8</v>
      </c>
      <c r="AO1113" t="s">
        <v>5843</v>
      </c>
      <c r="AP1113">
        <v>31200</v>
      </c>
      <c r="AV1113">
        <v>1.5</v>
      </c>
      <c r="AW1113" t="s">
        <v>214</v>
      </c>
      <c r="AX1113" t="s">
        <v>108</v>
      </c>
    </row>
    <row r="1114" spans="1:50">
      <c r="A1114" s="1">
        <f>HYPERLINK("https://lsnyc.legalserver.org/matter/dynamic-profile/view/1906773","19-1906773")</f>
        <v>0</v>
      </c>
      <c r="B1114" t="s">
        <v>170</v>
      </c>
      <c r="C1114" t="s">
        <v>192</v>
      </c>
      <c r="D1114" t="s">
        <v>290</v>
      </c>
      <c r="E1114" t="s">
        <v>290</v>
      </c>
      <c r="F1114" t="s">
        <v>1056</v>
      </c>
      <c r="G1114" t="s">
        <v>1923</v>
      </c>
      <c r="H1114" t="s">
        <v>2775</v>
      </c>
      <c r="I1114" t="s">
        <v>2887</v>
      </c>
      <c r="J1114" t="s">
        <v>3146</v>
      </c>
      <c r="K1114">
        <v>10033</v>
      </c>
      <c r="L1114" t="s">
        <v>3185</v>
      </c>
      <c r="M1114" t="s">
        <v>3189</v>
      </c>
      <c r="N1114" t="s">
        <v>3186</v>
      </c>
      <c r="O1114" t="s">
        <v>3587</v>
      </c>
      <c r="P1114" t="s">
        <v>3615</v>
      </c>
      <c r="Q1114" t="s">
        <v>3634</v>
      </c>
      <c r="R1114" t="s">
        <v>3642</v>
      </c>
      <c r="S1114" t="s">
        <v>290</v>
      </c>
      <c r="T1114" t="s">
        <v>3660</v>
      </c>
      <c r="U1114" t="s">
        <v>3184</v>
      </c>
      <c r="W1114" t="s">
        <v>3670</v>
      </c>
      <c r="Y1114">
        <v>474.35</v>
      </c>
      <c r="Z1114" t="s">
        <v>3689</v>
      </c>
      <c r="AA1114" t="s">
        <v>3697</v>
      </c>
      <c r="AB1114" t="s">
        <v>3712</v>
      </c>
      <c r="AC1114" t="s">
        <v>4703</v>
      </c>
      <c r="AE1114" t="s">
        <v>5757</v>
      </c>
      <c r="AF1114">
        <v>54</v>
      </c>
      <c r="AG1114" t="s">
        <v>5813</v>
      </c>
      <c r="AH1114" t="s">
        <v>5826</v>
      </c>
      <c r="AI1114">
        <v>24</v>
      </c>
      <c r="AJ1114">
        <v>1</v>
      </c>
      <c r="AK1114">
        <v>0</v>
      </c>
      <c r="AL1114">
        <v>81.67</v>
      </c>
      <c r="AO1114" t="s">
        <v>5844</v>
      </c>
      <c r="AP1114">
        <v>10200</v>
      </c>
      <c r="AV1114">
        <v>1</v>
      </c>
      <c r="AW1114" t="s">
        <v>290</v>
      </c>
      <c r="AX1114" t="s">
        <v>108</v>
      </c>
    </row>
    <row r="1115" spans="1:50">
      <c r="A1115" s="1">
        <f>HYPERLINK("https://lsnyc.legalserver.org/matter/dynamic-profile/view/1906747","19-1906747")</f>
        <v>0</v>
      </c>
      <c r="B1115" t="s">
        <v>170</v>
      </c>
      <c r="C1115" t="s">
        <v>192</v>
      </c>
      <c r="D1115" t="s">
        <v>290</v>
      </c>
      <c r="E1115" t="s">
        <v>290</v>
      </c>
      <c r="F1115" t="s">
        <v>455</v>
      </c>
      <c r="G1115" t="s">
        <v>1924</v>
      </c>
      <c r="H1115" t="s">
        <v>2776</v>
      </c>
      <c r="I1115" t="s">
        <v>3046</v>
      </c>
      <c r="J1115" t="s">
        <v>3146</v>
      </c>
      <c r="K1115">
        <v>10034</v>
      </c>
      <c r="L1115" t="s">
        <v>3185</v>
      </c>
      <c r="M1115" t="s">
        <v>3189</v>
      </c>
      <c r="N1115" t="s">
        <v>3186</v>
      </c>
      <c r="O1115" t="s">
        <v>3588</v>
      </c>
      <c r="P1115" t="s">
        <v>3613</v>
      </c>
      <c r="Q1115" t="s">
        <v>3634</v>
      </c>
      <c r="R1115" t="s">
        <v>3642</v>
      </c>
      <c r="S1115" t="s">
        <v>290</v>
      </c>
      <c r="T1115" t="s">
        <v>3660</v>
      </c>
      <c r="U1115" t="s">
        <v>3184</v>
      </c>
      <c r="W1115" t="s">
        <v>3670</v>
      </c>
      <c r="Y1115">
        <v>965.02</v>
      </c>
      <c r="Z1115" t="s">
        <v>3689</v>
      </c>
      <c r="AA1115" t="s">
        <v>3705</v>
      </c>
      <c r="AB1115" t="s">
        <v>3712</v>
      </c>
      <c r="AC1115" t="s">
        <v>4704</v>
      </c>
      <c r="AE1115" t="s">
        <v>5758</v>
      </c>
      <c r="AF1115">
        <v>61</v>
      </c>
      <c r="AG1115" t="s">
        <v>5813</v>
      </c>
      <c r="AH1115" t="s">
        <v>3188</v>
      </c>
      <c r="AI1115">
        <v>45</v>
      </c>
      <c r="AJ1115">
        <v>2</v>
      </c>
      <c r="AK1115">
        <v>2</v>
      </c>
      <c r="AL1115">
        <v>221.36</v>
      </c>
      <c r="AO1115" t="s">
        <v>5843</v>
      </c>
      <c r="AP1115">
        <v>57000</v>
      </c>
      <c r="AV1115">
        <v>1.7</v>
      </c>
      <c r="AW1115" t="s">
        <v>243</v>
      </c>
      <c r="AX1115" t="s">
        <v>108</v>
      </c>
    </row>
    <row r="1116" spans="1:50">
      <c r="A1116" s="1">
        <f>HYPERLINK("https://lsnyc.legalserver.org/matter/dynamic-profile/view/1908659","19-1908659")</f>
        <v>0</v>
      </c>
      <c r="B1116" t="s">
        <v>170</v>
      </c>
      <c r="C1116" t="s">
        <v>192</v>
      </c>
      <c r="D1116" t="s">
        <v>244</v>
      </c>
      <c r="E1116" t="s">
        <v>280</v>
      </c>
      <c r="F1116" t="s">
        <v>787</v>
      </c>
      <c r="G1116" t="s">
        <v>1229</v>
      </c>
      <c r="H1116" t="s">
        <v>2777</v>
      </c>
      <c r="I1116" t="s">
        <v>2896</v>
      </c>
      <c r="J1116" t="s">
        <v>3146</v>
      </c>
      <c r="K1116">
        <v>10032</v>
      </c>
      <c r="L1116" t="s">
        <v>3185</v>
      </c>
      <c r="M1116" t="s">
        <v>3189</v>
      </c>
      <c r="N1116" t="s">
        <v>3186</v>
      </c>
      <c r="O1116" t="s">
        <v>3589</v>
      </c>
      <c r="Q1116" t="s">
        <v>3634</v>
      </c>
      <c r="R1116" t="s">
        <v>3642</v>
      </c>
      <c r="S1116" t="s">
        <v>244</v>
      </c>
      <c r="T1116" t="s">
        <v>3660</v>
      </c>
      <c r="U1116" t="s">
        <v>3184</v>
      </c>
      <c r="W1116" t="s">
        <v>3670</v>
      </c>
      <c r="Y1116">
        <v>199.43</v>
      </c>
      <c r="Z1116" t="s">
        <v>3689</v>
      </c>
      <c r="AA1116" t="s">
        <v>3697</v>
      </c>
      <c r="AB1116" t="s">
        <v>3712</v>
      </c>
      <c r="AC1116" t="s">
        <v>4705</v>
      </c>
      <c r="AE1116" t="s">
        <v>5759</v>
      </c>
      <c r="AF1116">
        <v>45</v>
      </c>
      <c r="AG1116" t="s">
        <v>5813</v>
      </c>
      <c r="AH1116" t="s">
        <v>5826</v>
      </c>
      <c r="AI1116">
        <v>60</v>
      </c>
      <c r="AJ1116">
        <v>2</v>
      </c>
      <c r="AK1116">
        <v>0</v>
      </c>
      <c r="AL1116">
        <v>94.95</v>
      </c>
      <c r="AO1116" t="s">
        <v>5844</v>
      </c>
      <c r="AP1116">
        <v>16056</v>
      </c>
      <c r="AV1116">
        <v>0.5</v>
      </c>
      <c r="AW1116" t="s">
        <v>280</v>
      </c>
      <c r="AX1116" t="s">
        <v>108</v>
      </c>
    </row>
    <row r="1117" spans="1:50">
      <c r="A1117" s="1">
        <f>HYPERLINK("https://lsnyc.legalserver.org/matter/dynamic-profile/view/1909521","19-1909521")</f>
        <v>0</v>
      </c>
      <c r="B1117" t="s">
        <v>170</v>
      </c>
      <c r="C1117" t="s">
        <v>192</v>
      </c>
      <c r="D1117" t="s">
        <v>197</v>
      </c>
      <c r="E1117" t="s">
        <v>252</v>
      </c>
      <c r="F1117" t="s">
        <v>1147</v>
      </c>
      <c r="G1117" t="s">
        <v>1925</v>
      </c>
      <c r="H1117" t="s">
        <v>2778</v>
      </c>
      <c r="I1117">
        <v>41</v>
      </c>
      <c r="J1117" t="s">
        <v>3146</v>
      </c>
      <c r="K1117">
        <v>10033</v>
      </c>
      <c r="L1117" t="s">
        <v>3185</v>
      </c>
      <c r="M1117" t="s">
        <v>3189</v>
      </c>
      <c r="N1117" t="s">
        <v>3186</v>
      </c>
      <c r="P1117" t="s">
        <v>3615</v>
      </c>
      <c r="Q1117" t="s">
        <v>3634</v>
      </c>
      <c r="R1117" t="s">
        <v>3642</v>
      </c>
      <c r="S1117" t="s">
        <v>197</v>
      </c>
      <c r="T1117" t="s">
        <v>3660</v>
      </c>
      <c r="U1117" t="s">
        <v>3184</v>
      </c>
      <c r="W1117" t="s">
        <v>3670</v>
      </c>
      <c r="Y1117">
        <v>796.84</v>
      </c>
      <c r="Z1117" t="s">
        <v>3689</v>
      </c>
      <c r="AA1117" t="s">
        <v>3696</v>
      </c>
      <c r="AB1117" t="s">
        <v>3712</v>
      </c>
      <c r="AC1117" t="s">
        <v>4706</v>
      </c>
      <c r="AE1117" t="s">
        <v>5760</v>
      </c>
      <c r="AF1117">
        <v>25</v>
      </c>
      <c r="AG1117" t="s">
        <v>5813</v>
      </c>
      <c r="AH1117" t="s">
        <v>3188</v>
      </c>
      <c r="AI1117">
        <v>38</v>
      </c>
      <c r="AJ1117">
        <v>1</v>
      </c>
      <c r="AK1117">
        <v>0</v>
      </c>
      <c r="AL1117">
        <v>134.32</v>
      </c>
      <c r="AO1117" t="s">
        <v>5843</v>
      </c>
      <c r="AP1117">
        <v>16776</v>
      </c>
      <c r="AV1117">
        <v>0.1</v>
      </c>
      <c r="AW1117" t="s">
        <v>252</v>
      </c>
      <c r="AX1117" t="s">
        <v>108</v>
      </c>
    </row>
    <row r="1118" spans="1:50">
      <c r="A1118" s="1">
        <f>HYPERLINK("https://lsnyc.legalserver.org/matter/dynamic-profile/view/1909523","19-1909523")</f>
        <v>0</v>
      </c>
      <c r="B1118" t="s">
        <v>170</v>
      </c>
      <c r="C1118" t="s">
        <v>192</v>
      </c>
      <c r="D1118" t="s">
        <v>197</v>
      </c>
      <c r="E1118" t="s">
        <v>252</v>
      </c>
      <c r="F1118" t="s">
        <v>440</v>
      </c>
      <c r="G1118" t="s">
        <v>1203</v>
      </c>
      <c r="H1118" t="s">
        <v>2779</v>
      </c>
      <c r="I1118" t="s">
        <v>2969</v>
      </c>
      <c r="J1118" t="s">
        <v>3146</v>
      </c>
      <c r="K1118">
        <v>10033</v>
      </c>
      <c r="L1118" t="s">
        <v>3185</v>
      </c>
      <c r="M1118" t="s">
        <v>3189</v>
      </c>
      <c r="N1118" t="s">
        <v>3186</v>
      </c>
      <c r="P1118" t="s">
        <v>3615</v>
      </c>
      <c r="Q1118" t="s">
        <v>3634</v>
      </c>
      <c r="R1118" t="s">
        <v>3642</v>
      </c>
      <c r="S1118" t="s">
        <v>197</v>
      </c>
      <c r="T1118" t="s">
        <v>3660</v>
      </c>
      <c r="U1118" t="s">
        <v>3184</v>
      </c>
      <c r="W1118" t="s">
        <v>3670</v>
      </c>
      <c r="Y1118">
        <v>110.53</v>
      </c>
      <c r="Z1118" t="s">
        <v>3689</v>
      </c>
      <c r="AA1118" t="s">
        <v>3697</v>
      </c>
      <c r="AB1118" t="s">
        <v>3712</v>
      </c>
      <c r="AC1118" t="s">
        <v>4707</v>
      </c>
      <c r="AE1118" t="s">
        <v>5761</v>
      </c>
      <c r="AF1118">
        <v>22</v>
      </c>
      <c r="AG1118" t="s">
        <v>3263</v>
      </c>
      <c r="AH1118" t="s">
        <v>3188</v>
      </c>
      <c r="AI1118">
        <v>23</v>
      </c>
      <c r="AJ1118">
        <v>2</v>
      </c>
      <c r="AK1118">
        <v>2</v>
      </c>
      <c r="AL1118">
        <v>135.92</v>
      </c>
      <c r="AO1118" t="s">
        <v>5844</v>
      </c>
      <c r="AP1118">
        <v>35000</v>
      </c>
      <c r="AV1118">
        <v>0.1</v>
      </c>
      <c r="AW1118" t="s">
        <v>252</v>
      </c>
      <c r="AX1118" t="s">
        <v>108</v>
      </c>
    </row>
    <row r="1119" spans="1:50">
      <c r="A1119" s="1">
        <f>HYPERLINK("https://lsnyc.legalserver.org/matter/dynamic-profile/view/1909517","19-1909517")</f>
        <v>0</v>
      </c>
      <c r="B1119" t="s">
        <v>170</v>
      </c>
      <c r="C1119" t="s">
        <v>192</v>
      </c>
      <c r="D1119" t="s">
        <v>197</v>
      </c>
      <c r="E1119" t="s">
        <v>252</v>
      </c>
      <c r="F1119" t="s">
        <v>1148</v>
      </c>
      <c r="G1119" t="s">
        <v>1515</v>
      </c>
      <c r="H1119" t="s">
        <v>2780</v>
      </c>
      <c r="I1119">
        <v>23</v>
      </c>
      <c r="J1119" t="s">
        <v>3146</v>
      </c>
      <c r="K1119">
        <v>10033</v>
      </c>
      <c r="L1119" t="s">
        <v>3185</v>
      </c>
      <c r="M1119" t="s">
        <v>3189</v>
      </c>
      <c r="N1119" t="s">
        <v>3186</v>
      </c>
      <c r="P1119" t="s">
        <v>3615</v>
      </c>
      <c r="Q1119" t="s">
        <v>3634</v>
      </c>
      <c r="R1119" t="s">
        <v>3642</v>
      </c>
      <c r="S1119" t="s">
        <v>197</v>
      </c>
      <c r="T1119" t="s">
        <v>3660</v>
      </c>
      <c r="U1119" t="s">
        <v>3184</v>
      </c>
      <c r="W1119" t="s">
        <v>3670</v>
      </c>
      <c r="Y1119">
        <v>1322.53</v>
      </c>
      <c r="Z1119" t="s">
        <v>3689</v>
      </c>
      <c r="AA1119" t="s">
        <v>3697</v>
      </c>
      <c r="AB1119" t="s">
        <v>3712</v>
      </c>
      <c r="AC1119" t="s">
        <v>4708</v>
      </c>
      <c r="AE1119" t="s">
        <v>5762</v>
      </c>
      <c r="AF1119">
        <v>48</v>
      </c>
      <c r="AG1119" t="s">
        <v>5813</v>
      </c>
      <c r="AH1119" t="s">
        <v>5827</v>
      </c>
      <c r="AI1119">
        <v>9</v>
      </c>
      <c r="AJ1119">
        <v>2</v>
      </c>
      <c r="AK1119">
        <v>0</v>
      </c>
      <c r="AL1119">
        <v>136.68</v>
      </c>
      <c r="AO1119" t="s">
        <v>5844</v>
      </c>
      <c r="AP1119">
        <v>23112</v>
      </c>
      <c r="AV1119">
        <v>0.1</v>
      </c>
      <c r="AW1119" t="s">
        <v>252</v>
      </c>
      <c r="AX1119" t="s">
        <v>108</v>
      </c>
    </row>
    <row r="1120" spans="1:50">
      <c r="A1120" s="1">
        <f>HYPERLINK("https://lsnyc.legalserver.org/matter/dynamic-profile/view/1904289","19-1904289")</f>
        <v>0</v>
      </c>
      <c r="B1120" t="s">
        <v>170</v>
      </c>
      <c r="C1120" t="s">
        <v>192</v>
      </c>
      <c r="D1120" t="s">
        <v>193</v>
      </c>
      <c r="E1120" t="s">
        <v>214</v>
      </c>
      <c r="F1120" t="s">
        <v>634</v>
      </c>
      <c r="G1120" t="s">
        <v>1926</v>
      </c>
      <c r="H1120" t="s">
        <v>2781</v>
      </c>
      <c r="I1120" t="s">
        <v>3129</v>
      </c>
      <c r="J1120" t="s">
        <v>3146</v>
      </c>
      <c r="K1120">
        <v>10040</v>
      </c>
      <c r="L1120" t="s">
        <v>3185</v>
      </c>
      <c r="M1120" t="s">
        <v>3189</v>
      </c>
      <c r="N1120" t="s">
        <v>3186</v>
      </c>
      <c r="P1120" t="s">
        <v>3615</v>
      </c>
      <c r="Q1120" t="s">
        <v>3636</v>
      </c>
      <c r="R1120" t="s">
        <v>3643</v>
      </c>
      <c r="S1120" t="s">
        <v>193</v>
      </c>
      <c r="T1120" t="s">
        <v>3660</v>
      </c>
      <c r="U1120" t="s">
        <v>3184</v>
      </c>
      <c r="W1120" t="s">
        <v>3670</v>
      </c>
      <c r="Y1120">
        <v>1400</v>
      </c>
      <c r="Z1120" t="s">
        <v>3689</v>
      </c>
      <c r="AA1120" t="s">
        <v>3697</v>
      </c>
      <c r="AB1120" t="s">
        <v>3716</v>
      </c>
      <c r="AC1120" t="s">
        <v>4709</v>
      </c>
      <c r="AE1120" t="s">
        <v>5763</v>
      </c>
      <c r="AF1120">
        <v>47</v>
      </c>
      <c r="AG1120" t="s">
        <v>5813</v>
      </c>
      <c r="AH1120" t="s">
        <v>3188</v>
      </c>
      <c r="AI1120">
        <v>5</v>
      </c>
      <c r="AJ1120">
        <v>2</v>
      </c>
      <c r="AK1120">
        <v>0</v>
      </c>
      <c r="AL1120">
        <v>139.8</v>
      </c>
      <c r="AO1120" t="s">
        <v>5843</v>
      </c>
      <c r="AP1120">
        <v>23640</v>
      </c>
      <c r="AV1120">
        <v>2.1</v>
      </c>
      <c r="AW1120" t="s">
        <v>214</v>
      </c>
      <c r="AX1120" t="s">
        <v>108</v>
      </c>
    </row>
    <row r="1121" spans="1:50">
      <c r="A1121" s="1">
        <f>HYPERLINK("https://lsnyc.legalserver.org/matter/dynamic-profile/view/1904303","19-1904303")</f>
        <v>0</v>
      </c>
      <c r="B1121" t="s">
        <v>170</v>
      </c>
      <c r="C1121" t="s">
        <v>191</v>
      </c>
      <c r="D1121" t="s">
        <v>193</v>
      </c>
      <c r="F1121" t="s">
        <v>840</v>
      </c>
      <c r="G1121" t="s">
        <v>1187</v>
      </c>
      <c r="H1121" t="s">
        <v>2782</v>
      </c>
      <c r="I1121">
        <v>33</v>
      </c>
      <c r="J1121" t="s">
        <v>3146</v>
      </c>
      <c r="K1121">
        <v>10034</v>
      </c>
      <c r="L1121" t="s">
        <v>3185</v>
      </c>
      <c r="M1121" t="s">
        <v>3189</v>
      </c>
      <c r="N1121" t="s">
        <v>3186</v>
      </c>
      <c r="O1121" t="s">
        <v>3590</v>
      </c>
      <c r="P1121" t="s">
        <v>3610</v>
      </c>
      <c r="Q1121" t="s">
        <v>3638</v>
      </c>
      <c r="S1121" t="s">
        <v>193</v>
      </c>
      <c r="T1121" t="s">
        <v>3660</v>
      </c>
      <c r="U1121" t="s">
        <v>3184</v>
      </c>
      <c r="W1121" t="s">
        <v>3670</v>
      </c>
      <c r="Y1121">
        <v>818</v>
      </c>
      <c r="Z1121" t="s">
        <v>3689</v>
      </c>
      <c r="AA1121" t="s">
        <v>3696</v>
      </c>
      <c r="AC1121" t="s">
        <v>4710</v>
      </c>
      <c r="AE1121" t="s">
        <v>5764</v>
      </c>
      <c r="AF1121">
        <v>25</v>
      </c>
      <c r="AG1121" t="s">
        <v>5813</v>
      </c>
      <c r="AH1121" t="s">
        <v>3188</v>
      </c>
      <c r="AI1121">
        <v>18</v>
      </c>
      <c r="AJ1121">
        <v>3</v>
      </c>
      <c r="AK1121">
        <v>0</v>
      </c>
      <c r="AL1121">
        <v>166.9</v>
      </c>
      <c r="AO1121" t="s">
        <v>5844</v>
      </c>
      <c r="AP1121">
        <v>35600</v>
      </c>
      <c r="AV1121">
        <v>16.12</v>
      </c>
      <c r="AW1121" t="s">
        <v>199</v>
      </c>
      <c r="AX1121" t="s">
        <v>108</v>
      </c>
    </row>
    <row r="1122" spans="1:50">
      <c r="A1122" s="1">
        <f>HYPERLINK("https://lsnyc.legalserver.org/matter/dynamic-profile/view/1904367","19-1904367")</f>
        <v>0</v>
      </c>
      <c r="B1122" t="s">
        <v>170</v>
      </c>
      <c r="C1122" t="s">
        <v>191</v>
      </c>
      <c r="D1122" t="s">
        <v>272</v>
      </c>
      <c r="F1122" t="s">
        <v>1149</v>
      </c>
      <c r="G1122" t="s">
        <v>1623</v>
      </c>
      <c r="H1122" t="s">
        <v>2783</v>
      </c>
      <c r="I1122">
        <v>6</v>
      </c>
      <c r="J1122" t="s">
        <v>3146</v>
      </c>
      <c r="K1122">
        <v>10033</v>
      </c>
      <c r="L1122" t="s">
        <v>3185</v>
      </c>
      <c r="M1122" t="s">
        <v>3189</v>
      </c>
      <c r="N1122" t="s">
        <v>3186</v>
      </c>
      <c r="P1122" t="s">
        <v>3624</v>
      </c>
      <c r="Q1122" t="s">
        <v>3638</v>
      </c>
      <c r="S1122" t="s">
        <v>272</v>
      </c>
      <c r="T1122" t="s">
        <v>3660</v>
      </c>
      <c r="U1122" t="s">
        <v>3184</v>
      </c>
      <c r="W1122" t="s">
        <v>3670</v>
      </c>
      <c r="Y1122">
        <v>163</v>
      </c>
      <c r="Z1122" t="s">
        <v>3689</v>
      </c>
      <c r="AA1122" t="s">
        <v>3696</v>
      </c>
      <c r="AC1122" t="s">
        <v>4711</v>
      </c>
      <c r="AE1122" t="s">
        <v>5765</v>
      </c>
      <c r="AF1122">
        <v>36</v>
      </c>
      <c r="AG1122" t="s">
        <v>5813</v>
      </c>
      <c r="AH1122" t="s">
        <v>5827</v>
      </c>
      <c r="AI1122">
        <v>22</v>
      </c>
      <c r="AJ1122">
        <v>1</v>
      </c>
      <c r="AK1122">
        <v>0</v>
      </c>
      <c r="AL1122">
        <v>79.55</v>
      </c>
      <c r="AO1122" t="s">
        <v>5844</v>
      </c>
      <c r="AP1122">
        <v>9936</v>
      </c>
      <c r="AV1122">
        <v>0.2</v>
      </c>
      <c r="AW1122" t="s">
        <v>272</v>
      </c>
      <c r="AX1122" t="s">
        <v>108</v>
      </c>
    </row>
    <row r="1123" spans="1:50">
      <c r="A1123" s="1">
        <f>HYPERLINK("https://lsnyc.legalserver.org/matter/dynamic-profile/view/1906387","19-1906387")</f>
        <v>0</v>
      </c>
      <c r="B1123" t="s">
        <v>170</v>
      </c>
      <c r="C1123" t="s">
        <v>191</v>
      </c>
      <c r="D1123" t="s">
        <v>229</v>
      </c>
      <c r="F1123" t="s">
        <v>486</v>
      </c>
      <c r="G1123" t="s">
        <v>1927</v>
      </c>
      <c r="H1123" t="s">
        <v>2514</v>
      </c>
      <c r="I1123">
        <v>41</v>
      </c>
      <c r="J1123" t="s">
        <v>3146</v>
      </c>
      <c r="K1123">
        <v>10032</v>
      </c>
      <c r="L1123" t="s">
        <v>3185</v>
      </c>
      <c r="M1123" t="s">
        <v>3189</v>
      </c>
      <c r="N1123" t="s">
        <v>3186</v>
      </c>
      <c r="P1123" t="s">
        <v>3612</v>
      </c>
      <c r="Q1123" t="s">
        <v>3635</v>
      </c>
      <c r="S1123" t="s">
        <v>229</v>
      </c>
      <c r="T1123" t="s">
        <v>3660</v>
      </c>
      <c r="U1123" t="s">
        <v>3185</v>
      </c>
      <c r="W1123" t="s">
        <v>3670</v>
      </c>
      <c r="Y1123">
        <v>1600</v>
      </c>
      <c r="Z1123" t="s">
        <v>3689</v>
      </c>
      <c r="AA1123" t="s">
        <v>3697</v>
      </c>
      <c r="AC1123" t="s">
        <v>4712</v>
      </c>
      <c r="AE1123" t="s">
        <v>5766</v>
      </c>
      <c r="AF1123">
        <v>46</v>
      </c>
      <c r="AG1123" t="s">
        <v>5813</v>
      </c>
      <c r="AH1123" t="s">
        <v>3188</v>
      </c>
      <c r="AI1123">
        <v>30</v>
      </c>
      <c r="AJ1123">
        <v>2</v>
      </c>
      <c r="AK1123">
        <v>3</v>
      </c>
      <c r="AL1123">
        <v>265.16</v>
      </c>
      <c r="AO1123" t="s">
        <v>5843</v>
      </c>
      <c r="AP1123">
        <v>80000</v>
      </c>
      <c r="AV1123">
        <v>0</v>
      </c>
      <c r="AX1123" t="s">
        <v>108</v>
      </c>
    </row>
    <row r="1124" spans="1:50">
      <c r="A1124" s="1">
        <f>HYPERLINK("https://lsnyc.legalserver.org/matter/dynamic-profile/view/1906399","19-1906399")</f>
        <v>0</v>
      </c>
      <c r="B1124" t="s">
        <v>170</v>
      </c>
      <c r="C1124" t="s">
        <v>191</v>
      </c>
      <c r="D1124" t="s">
        <v>229</v>
      </c>
      <c r="F1124" t="s">
        <v>1150</v>
      </c>
      <c r="G1124" t="s">
        <v>1726</v>
      </c>
      <c r="H1124" t="s">
        <v>2514</v>
      </c>
      <c r="I1124">
        <v>55</v>
      </c>
      <c r="J1124" t="s">
        <v>3146</v>
      </c>
      <c r="K1124">
        <v>10032</v>
      </c>
      <c r="L1124" t="s">
        <v>3185</v>
      </c>
      <c r="M1124" t="s">
        <v>3189</v>
      </c>
      <c r="N1124" t="s">
        <v>3186</v>
      </c>
      <c r="P1124" t="s">
        <v>3612</v>
      </c>
      <c r="Q1124" t="s">
        <v>3635</v>
      </c>
      <c r="S1124" t="s">
        <v>229</v>
      </c>
      <c r="T1124" t="s">
        <v>3660</v>
      </c>
      <c r="U1124" t="s">
        <v>3185</v>
      </c>
      <c r="W1124" t="s">
        <v>3670</v>
      </c>
      <c r="Y1124">
        <v>2395</v>
      </c>
      <c r="Z1124" t="s">
        <v>3689</v>
      </c>
      <c r="AA1124" t="s">
        <v>3697</v>
      </c>
      <c r="AC1124" t="s">
        <v>4713</v>
      </c>
      <c r="AE1124" t="s">
        <v>5767</v>
      </c>
      <c r="AF1124">
        <v>46</v>
      </c>
      <c r="AG1124" t="s">
        <v>5813</v>
      </c>
      <c r="AH1124" t="s">
        <v>3188</v>
      </c>
      <c r="AI1124">
        <v>2</v>
      </c>
      <c r="AJ1124">
        <v>2</v>
      </c>
      <c r="AK1124">
        <v>0</v>
      </c>
      <c r="AL1124">
        <v>354.82</v>
      </c>
      <c r="AO1124" t="s">
        <v>5843</v>
      </c>
      <c r="AP1124">
        <v>60000</v>
      </c>
      <c r="AV1124">
        <v>0</v>
      </c>
      <c r="AX1124" t="s">
        <v>108</v>
      </c>
    </row>
    <row r="1125" spans="1:50">
      <c r="A1125" s="1">
        <f>HYPERLINK("https://lsnyc.legalserver.org/matter/dynamic-profile/view/1906393","19-1906393")</f>
        <v>0</v>
      </c>
      <c r="B1125" t="s">
        <v>170</v>
      </c>
      <c r="C1125" t="s">
        <v>191</v>
      </c>
      <c r="D1125" t="s">
        <v>229</v>
      </c>
      <c r="F1125" t="s">
        <v>1151</v>
      </c>
      <c r="G1125" t="s">
        <v>1928</v>
      </c>
      <c r="H1125" t="s">
        <v>2514</v>
      </c>
      <c r="I1125">
        <v>36</v>
      </c>
      <c r="J1125" t="s">
        <v>3146</v>
      </c>
      <c r="K1125">
        <v>10032</v>
      </c>
      <c r="L1125" t="s">
        <v>3185</v>
      </c>
      <c r="M1125" t="s">
        <v>3189</v>
      </c>
      <c r="N1125" t="s">
        <v>3186</v>
      </c>
      <c r="P1125" t="s">
        <v>3612</v>
      </c>
      <c r="Q1125" t="s">
        <v>3635</v>
      </c>
      <c r="S1125" t="s">
        <v>229</v>
      </c>
      <c r="T1125" t="s">
        <v>3660</v>
      </c>
      <c r="U1125" t="s">
        <v>3185</v>
      </c>
      <c r="W1125" t="s">
        <v>3670</v>
      </c>
      <c r="Y1125">
        <v>0</v>
      </c>
      <c r="Z1125" t="s">
        <v>3689</v>
      </c>
      <c r="AA1125" t="s">
        <v>3697</v>
      </c>
      <c r="AC1125" t="s">
        <v>4714</v>
      </c>
      <c r="AE1125" t="s">
        <v>5768</v>
      </c>
      <c r="AF1125">
        <v>46</v>
      </c>
      <c r="AG1125" t="s">
        <v>5813</v>
      </c>
      <c r="AH1125" t="s">
        <v>3188</v>
      </c>
      <c r="AI1125">
        <v>4</v>
      </c>
      <c r="AJ1125">
        <v>1</v>
      </c>
      <c r="AK1125">
        <v>0</v>
      </c>
      <c r="AL1125">
        <v>412.33</v>
      </c>
      <c r="AO1125" t="s">
        <v>5843</v>
      </c>
      <c r="AP1125">
        <v>51500</v>
      </c>
      <c r="AV1125">
        <v>0</v>
      </c>
      <c r="AX1125" t="s">
        <v>108</v>
      </c>
    </row>
    <row r="1126" spans="1:50">
      <c r="A1126" s="1">
        <f>HYPERLINK("https://lsnyc.legalserver.org/matter/dynamic-profile/view/1906404","19-1906404")</f>
        <v>0</v>
      </c>
      <c r="B1126" t="s">
        <v>170</v>
      </c>
      <c r="C1126" t="s">
        <v>191</v>
      </c>
      <c r="D1126" t="s">
        <v>229</v>
      </c>
      <c r="F1126" t="s">
        <v>1152</v>
      </c>
      <c r="G1126" t="s">
        <v>1929</v>
      </c>
      <c r="H1126" t="s">
        <v>2514</v>
      </c>
      <c r="I1126">
        <v>5</v>
      </c>
      <c r="J1126" t="s">
        <v>3146</v>
      </c>
      <c r="K1126">
        <v>10032</v>
      </c>
      <c r="L1126" t="s">
        <v>3185</v>
      </c>
      <c r="M1126" t="s">
        <v>3189</v>
      </c>
      <c r="N1126" t="s">
        <v>3186</v>
      </c>
      <c r="P1126" t="s">
        <v>3612</v>
      </c>
      <c r="Q1126" t="s">
        <v>3635</v>
      </c>
      <c r="S1126" t="s">
        <v>229</v>
      </c>
      <c r="T1126" t="s">
        <v>3660</v>
      </c>
      <c r="U1126" t="s">
        <v>3185</v>
      </c>
      <c r="W1126" t="s">
        <v>3670</v>
      </c>
      <c r="Y1126">
        <v>2250</v>
      </c>
      <c r="Z1126" t="s">
        <v>3689</v>
      </c>
      <c r="AA1126" t="s">
        <v>3697</v>
      </c>
      <c r="AC1126" t="s">
        <v>4715</v>
      </c>
      <c r="AE1126" t="s">
        <v>5769</v>
      </c>
      <c r="AF1126">
        <v>46</v>
      </c>
      <c r="AG1126" t="s">
        <v>5813</v>
      </c>
      <c r="AH1126" t="s">
        <v>3188</v>
      </c>
      <c r="AI1126">
        <v>6</v>
      </c>
      <c r="AJ1126">
        <v>1</v>
      </c>
      <c r="AK1126">
        <v>0</v>
      </c>
      <c r="AL1126">
        <v>490.39</v>
      </c>
      <c r="AO1126" t="s">
        <v>5843</v>
      </c>
      <c r="AP1126">
        <v>61250</v>
      </c>
      <c r="AV1126">
        <v>4.7</v>
      </c>
      <c r="AW1126" t="s">
        <v>291</v>
      </c>
      <c r="AX1126" t="s">
        <v>108</v>
      </c>
    </row>
    <row r="1127" spans="1:50">
      <c r="A1127" s="1">
        <f>HYPERLINK("https://lsnyc.legalserver.org/matter/dynamic-profile/view/1908937","19-1908937")</f>
        <v>0</v>
      </c>
      <c r="B1127" t="s">
        <v>170</v>
      </c>
      <c r="C1127" t="s">
        <v>191</v>
      </c>
      <c r="D1127" t="s">
        <v>211</v>
      </c>
      <c r="F1127" t="s">
        <v>740</v>
      </c>
      <c r="G1127" t="s">
        <v>1930</v>
      </c>
      <c r="H1127" t="s">
        <v>2357</v>
      </c>
      <c r="I1127" t="s">
        <v>2849</v>
      </c>
      <c r="J1127" t="s">
        <v>3146</v>
      </c>
      <c r="K1127">
        <v>10040</v>
      </c>
      <c r="L1127" t="s">
        <v>3185</v>
      </c>
      <c r="M1127" t="s">
        <v>3189</v>
      </c>
      <c r="N1127" t="s">
        <v>3186</v>
      </c>
      <c r="P1127" t="s">
        <v>3612</v>
      </c>
      <c r="Q1127" t="s">
        <v>3638</v>
      </c>
      <c r="S1127" t="s">
        <v>211</v>
      </c>
      <c r="T1127" t="s">
        <v>3660</v>
      </c>
      <c r="U1127" t="s">
        <v>3185</v>
      </c>
      <c r="W1127" t="s">
        <v>3670</v>
      </c>
      <c r="Y1127">
        <v>854</v>
      </c>
      <c r="Z1127" t="s">
        <v>3689</v>
      </c>
      <c r="AA1127" t="s">
        <v>3697</v>
      </c>
      <c r="AC1127" t="s">
        <v>4716</v>
      </c>
      <c r="AE1127" t="s">
        <v>5770</v>
      </c>
      <c r="AF1127">
        <v>77</v>
      </c>
      <c r="AG1127" t="s">
        <v>5813</v>
      </c>
      <c r="AH1127" t="s">
        <v>3188</v>
      </c>
      <c r="AI1127">
        <v>41</v>
      </c>
      <c r="AJ1127">
        <v>1</v>
      </c>
      <c r="AK1127">
        <v>0</v>
      </c>
      <c r="AL1127">
        <v>153.72</v>
      </c>
      <c r="AO1127" t="s">
        <v>5844</v>
      </c>
      <c r="AP1127">
        <v>19200</v>
      </c>
      <c r="AV1127">
        <v>0.5</v>
      </c>
      <c r="AW1127" t="s">
        <v>207</v>
      </c>
      <c r="AX1127" t="s">
        <v>108</v>
      </c>
    </row>
    <row r="1128" spans="1:50">
      <c r="A1128" s="1">
        <f>HYPERLINK("https://lsnyc.legalserver.org/matter/dynamic-profile/view/1909079","19-1909079")</f>
        <v>0</v>
      </c>
      <c r="B1128" t="s">
        <v>170</v>
      </c>
      <c r="C1128" t="s">
        <v>191</v>
      </c>
      <c r="D1128" t="s">
        <v>207</v>
      </c>
      <c r="F1128" t="s">
        <v>880</v>
      </c>
      <c r="G1128" t="s">
        <v>1931</v>
      </c>
      <c r="H1128" t="s">
        <v>2357</v>
      </c>
      <c r="I1128" t="s">
        <v>2976</v>
      </c>
      <c r="J1128" t="s">
        <v>3146</v>
      </c>
      <c r="K1128">
        <v>10040</v>
      </c>
      <c r="L1128" t="s">
        <v>3185</v>
      </c>
      <c r="M1128" t="s">
        <v>3189</v>
      </c>
      <c r="N1128" t="s">
        <v>3186</v>
      </c>
      <c r="P1128" t="s">
        <v>3612</v>
      </c>
      <c r="Q1128" t="s">
        <v>3637</v>
      </c>
      <c r="S1128" t="s">
        <v>207</v>
      </c>
      <c r="T1128" t="s">
        <v>3660</v>
      </c>
      <c r="U1128" t="s">
        <v>3185</v>
      </c>
      <c r="W1128" t="s">
        <v>3670</v>
      </c>
      <c r="Y1128">
        <v>2700</v>
      </c>
      <c r="Z1128" t="s">
        <v>3689</v>
      </c>
      <c r="AA1128" t="s">
        <v>3697</v>
      </c>
      <c r="AC1128" t="s">
        <v>4717</v>
      </c>
      <c r="AE1128" t="s">
        <v>5771</v>
      </c>
      <c r="AF1128">
        <v>77</v>
      </c>
      <c r="AG1128" t="s">
        <v>5813</v>
      </c>
      <c r="AH1128" t="s">
        <v>3188</v>
      </c>
      <c r="AI1128">
        <v>5</v>
      </c>
      <c r="AJ1128">
        <v>2</v>
      </c>
      <c r="AK1128">
        <v>0</v>
      </c>
      <c r="AL1128">
        <v>147.84</v>
      </c>
      <c r="AO1128" t="s">
        <v>5843</v>
      </c>
      <c r="AP1128">
        <v>25000</v>
      </c>
      <c r="AV1128">
        <v>0</v>
      </c>
      <c r="AX1128" t="s">
        <v>108</v>
      </c>
    </row>
    <row r="1129" spans="1:50">
      <c r="A1129" s="1">
        <f>HYPERLINK("https://lsnyc.legalserver.org/matter/dynamic-profile/view/1909013","19-1909013")</f>
        <v>0</v>
      </c>
      <c r="B1129" t="s">
        <v>170</v>
      </c>
      <c r="C1129" t="s">
        <v>191</v>
      </c>
      <c r="D1129" t="s">
        <v>207</v>
      </c>
      <c r="F1129" t="s">
        <v>508</v>
      </c>
      <c r="G1129" t="s">
        <v>1932</v>
      </c>
      <c r="H1129" t="s">
        <v>2357</v>
      </c>
      <c r="I1129" t="s">
        <v>2925</v>
      </c>
      <c r="J1129" t="s">
        <v>3146</v>
      </c>
      <c r="K1129">
        <v>10040</v>
      </c>
      <c r="L1129" t="s">
        <v>3185</v>
      </c>
      <c r="M1129" t="s">
        <v>3189</v>
      </c>
      <c r="N1129" t="s">
        <v>3186</v>
      </c>
      <c r="P1129" t="s">
        <v>3612</v>
      </c>
      <c r="Q1129" t="s">
        <v>3638</v>
      </c>
      <c r="S1129" t="s">
        <v>207</v>
      </c>
      <c r="T1129" t="s">
        <v>3660</v>
      </c>
      <c r="U1129" t="s">
        <v>3185</v>
      </c>
      <c r="W1129" t="s">
        <v>3670</v>
      </c>
      <c r="Y1129">
        <v>1611</v>
      </c>
      <c r="Z1129" t="s">
        <v>3689</v>
      </c>
      <c r="AA1129" t="s">
        <v>3697</v>
      </c>
      <c r="AC1129" t="s">
        <v>4718</v>
      </c>
      <c r="AE1129" t="s">
        <v>5772</v>
      </c>
      <c r="AF1129">
        <v>77</v>
      </c>
      <c r="AG1129" t="s">
        <v>5813</v>
      </c>
      <c r="AH1129" t="s">
        <v>3188</v>
      </c>
      <c r="AI1129">
        <v>6</v>
      </c>
      <c r="AJ1129">
        <v>2</v>
      </c>
      <c r="AK1129">
        <v>0</v>
      </c>
      <c r="AL1129">
        <v>366.65</v>
      </c>
      <c r="AO1129" t="s">
        <v>5843</v>
      </c>
      <c r="AP1129">
        <v>62000</v>
      </c>
      <c r="AV1129">
        <v>0</v>
      </c>
      <c r="AX1129" t="s">
        <v>108</v>
      </c>
    </row>
    <row r="1130" spans="1:50">
      <c r="A1130" s="1">
        <f>HYPERLINK("https://lsnyc.legalserver.org/matter/dynamic-profile/view/1909504","19-1909504")</f>
        <v>0</v>
      </c>
      <c r="B1130" t="s">
        <v>170</v>
      </c>
      <c r="C1130" t="s">
        <v>191</v>
      </c>
      <c r="D1130" t="s">
        <v>197</v>
      </c>
      <c r="F1130" t="s">
        <v>1153</v>
      </c>
      <c r="G1130" t="s">
        <v>1933</v>
      </c>
      <c r="H1130" t="s">
        <v>2357</v>
      </c>
      <c r="I1130" t="s">
        <v>2926</v>
      </c>
      <c r="J1130" t="s">
        <v>3146</v>
      </c>
      <c r="K1130">
        <v>10040</v>
      </c>
      <c r="L1130" t="s">
        <v>3185</v>
      </c>
      <c r="M1130" t="s">
        <v>3189</v>
      </c>
      <c r="N1130" t="s">
        <v>3186</v>
      </c>
      <c r="P1130" t="s">
        <v>3612</v>
      </c>
      <c r="Q1130" t="s">
        <v>3637</v>
      </c>
      <c r="S1130" t="s">
        <v>197</v>
      </c>
      <c r="T1130" t="s">
        <v>3660</v>
      </c>
      <c r="U1130" t="s">
        <v>3185</v>
      </c>
      <c r="W1130" t="s">
        <v>3670</v>
      </c>
      <c r="Y1130">
        <v>0</v>
      </c>
      <c r="Z1130" t="s">
        <v>3689</v>
      </c>
      <c r="AA1130" t="s">
        <v>3697</v>
      </c>
      <c r="AC1130" t="s">
        <v>4719</v>
      </c>
      <c r="AE1130" t="s">
        <v>5773</v>
      </c>
      <c r="AF1130">
        <v>77</v>
      </c>
      <c r="AG1130" t="s">
        <v>5813</v>
      </c>
      <c r="AH1130" t="s">
        <v>5831</v>
      </c>
      <c r="AI1130">
        <v>4</v>
      </c>
      <c r="AJ1130">
        <v>1</v>
      </c>
      <c r="AK1130">
        <v>0</v>
      </c>
      <c r="AL1130">
        <v>192.15</v>
      </c>
      <c r="AO1130" t="s">
        <v>5843</v>
      </c>
      <c r="AP1130">
        <v>24000</v>
      </c>
      <c r="AV1130">
        <v>4</v>
      </c>
      <c r="AW1130" t="s">
        <v>269</v>
      </c>
      <c r="AX1130" t="s">
        <v>108</v>
      </c>
    </row>
    <row r="1131" spans="1:50">
      <c r="A1131" s="1">
        <f>HYPERLINK("https://lsnyc.legalserver.org/matter/dynamic-profile/view/1909497","19-1909497")</f>
        <v>0</v>
      </c>
      <c r="B1131" t="s">
        <v>170</v>
      </c>
      <c r="C1131" t="s">
        <v>191</v>
      </c>
      <c r="D1131" t="s">
        <v>197</v>
      </c>
      <c r="F1131" t="s">
        <v>1154</v>
      </c>
      <c r="G1131" t="s">
        <v>1934</v>
      </c>
      <c r="H1131" t="s">
        <v>2357</v>
      </c>
      <c r="I1131" t="s">
        <v>2906</v>
      </c>
      <c r="J1131" t="s">
        <v>3146</v>
      </c>
      <c r="K1131">
        <v>10040</v>
      </c>
      <c r="L1131" t="s">
        <v>3185</v>
      </c>
      <c r="M1131" t="s">
        <v>3189</v>
      </c>
      <c r="N1131" t="s">
        <v>3186</v>
      </c>
      <c r="P1131" t="s">
        <v>3612</v>
      </c>
      <c r="Q1131" t="s">
        <v>3637</v>
      </c>
      <c r="S1131" t="s">
        <v>197</v>
      </c>
      <c r="T1131" t="s">
        <v>3660</v>
      </c>
      <c r="U1131" t="s">
        <v>3185</v>
      </c>
      <c r="W1131" t="s">
        <v>3670</v>
      </c>
      <c r="Y1131">
        <v>1234.7</v>
      </c>
      <c r="Z1131" t="s">
        <v>3689</v>
      </c>
      <c r="AA1131" t="s">
        <v>3697</v>
      </c>
      <c r="AC1131" t="s">
        <v>4720</v>
      </c>
      <c r="AF1131">
        <v>77</v>
      </c>
      <c r="AG1131" t="s">
        <v>5813</v>
      </c>
      <c r="AH1131" t="s">
        <v>3188</v>
      </c>
      <c r="AI1131">
        <v>4</v>
      </c>
      <c r="AJ1131">
        <v>1</v>
      </c>
      <c r="AK1131">
        <v>0</v>
      </c>
      <c r="AL1131">
        <v>464.37</v>
      </c>
      <c r="AO1131" t="s">
        <v>5843</v>
      </c>
      <c r="AP1131">
        <v>58000</v>
      </c>
      <c r="AV1131">
        <v>0.1</v>
      </c>
      <c r="AW1131" t="s">
        <v>252</v>
      </c>
      <c r="AX1131" t="s">
        <v>108</v>
      </c>
    </row>
    <row r="1132" spans="1:50">
      <c r="A1132" s="1">
        <f>HYPERLINK("https://lsnyc.legalserver.org/matter/dynamic-profile/view/1909766","19-1909766")</f>
        <v>0</v>
      </c>
      <c r="B1132" t="s">
        <v>159</v>
      </c>
      <c r="C1132" t="s">
        <v>191</v>
      </c>
      <c r="D1132" t="s">
        <v>243</v>
      </c>
      <c r="F1132" t="s">
        <v>1023</v>
      </c>
      <c r="G1132" t="s">
        <v>1486</v>
      </c>
      <c r="H1132" t="s">
        <v>2041</v>
      </c>
      <c r="I1132" t="s">
        <v>3130</v>
      </c>
      <c r="J1132" t="s">
        <v>3159</v>
      </c>
      <c r="K1132">
        <v>10304</v>
      </c>
      <c r="L1132" t="s">
        <v>3186</v>
      </c>
      <c r="N1132" t="s">
        <v>3186</v>
      </c>
      <c r="O1132" t="s">
        <v>3191</v>
      </c>
      <c r="P1132" t="s">
        <v>3257</v>
      </c>
      <c r="Q1132" t="s">
        <v>3634</v>
      </c>
      <c r="T1132" t="s">
        <v>3660</v>
      </c>
      <c r="U1132" t="s">
        <v>3184</v>
      </c>
      <c r="W1132" t="s">
        <v>3670</v>
      </c>
      <c r="X1132" t="s">
        <v>3681</v>
      </c>
      <c r="Y1132">
        <v>694</v>
      </c>
      <c r="Z1132" t="s">
        <v>3692</v>
      </c>
      <c r="AA1132" t="s">
        <v>3701</v>
      </c>
      <c r="AC1132" t="s">
        <v>4721</v>
      </c>
      <c r="AE1132" t="s">
        <v>5774</v>
      </c>
      <c r="AF1132">
        <v>0</v>
      </c>
      <c r="AG1132" t="s">
        <v>5812</v>
      </c>
      <c r="AH1132" t="s">
        <v>5827</v>
      </c>
      <c r="AI1132">
        <v>4</v>
      </c>
      <c r="AJ1132">
        <v>1</v>
      </c>
      <c r="AK1132">
        <v>0</v>
      </c>
      <c r="AL1132">
        <v>172.55</v>
      </c>
      <c r="AP1132">
        <v>21552</v>
      </c>
      <c r="AV1132">
        <v>1.1</v>
      </c>
      <c r="AW1132" t="s">
        <v>243</v>
      </c>
      <c r="AX1132" t="s">
        <v>6017</v>
      </c>
    </row>
    <row r="1133" spans="1:50">
      <c r="A1133" s="1">
        <f>HYPERLINK("https://lsnyc.legalserver.org/matter/dynamic-profile/view/1910169","19-1910169")</f>
        <v>0</v>
      </c>
      <c r="B1133" t="s">
        <v>170</v>
      </c>
      <c r="C1133" t="s">
        <v>191</v>
      </c>
      <c r="D1133" t="s">
        <v>221</v>
      </c>
      <c r="F1133" t="s">
        <v>1155</v>
      </c>
      <c r="G1133" t="s">
        <v>1935</v>
      </c>
      <c r="H1133" t="s">
        <v>2784</v>
      </c>
      <c r="J1133" t="s">
        <v>3146</v>
      </c>
      <c r="K1133">
        <v>10032</v>
      </c>
      <c r="L1133" t="s">
        <v>3185</v>
      </c>
      <c r="M1133" t="s">
        <v>3189</v>
      </c>
      <c r="N1133" t="s">
        <v>3186</v>
      </c>
      <c r="Q1133" t="s">
        <v>3637</v>
      </c>
      <c r="S1133" t="s">
        <v>221</v>
      </c>
      <c r="T1133" t="s">
        <v>3660</v>
      </c>
      <c r="U1133" t="s">
        <v>3185</v>
      </c>
      <c r="W1133" t="s">
        <v>3670</v>
      </c>
      <c r="Y1133">
        <v>1036</v>
      </c>
      <c r="Z1133" t="s">
        <v>3689</v>
      </c>
      <c r="AA1133" t="s">
        <v>3697</v>
      </c>
      <c r="AC1133" t="s">
        <v>4722</v>
      </c>
      <c r="AF1133">
        <v>41</v>
      </c>
      <c r="AG1133" t="s">
        <v>5813</v>
      </c>
      <c r="AH1133" t="s">
        <v>3188</v>
      </c>
      <c r="AI1133">
        <v>21</v>
      </c>
      <c r="AJ1133">
        <v>5</v>
      </c>
      <c r="AK1133">
        <v>0</v>
      </c>
      <c r="AL1133">
        <v>178.56</v>
      </c>
      <c r="AO1133" t="s">
        <v>5844</v>
      </c>
      <c r="AP1133">
        <v>53872</v>
      </c>
      <c r="AV1133">
        <v>1</v>
      </c>
      <c r="AW1133" t="s">
        <v>221</v>
      </c>
      <c r="AX1133" t="s">
        <v>108</v>
      </c>
    </row>
    <row r="1134" spans="1:50">
      <c r="A1134" s="1">
        <f>HYPERLINK("https://lsnyc.legalserver.org/matter/dynamic-profile/view/1903338","19-1903338")</f>
        <v>0</v>
      </c>
      <c r="B1134" t="s">
        <v>160</v>
      </c>
      <c r="C1134" t="s">
        <v>192</v>
      </c>
      <c r="D1134" t="s">
        <v>223</v>
      </c>
      <c r="E1134" t="s">
        <v>226</v>
      </c>
      <c r="F1134" t="s">
        <v>1156</v>
      </c>
      <c r="G1134" t="s">
        <v>1936</v>
      </c>
      <c r="H1134" t="s">
        <v>2785</v>
      </c>
      <c r="J1134" t="s">
        <v>3159</v>
      </c>
      <c r="K1134">
        <v>10304</v>
      </c>
      <c r="L1134" t="s">
        <v>3186</v>
      </c>
      <c r="N1134" t="s">
        <v>3186</v>
      </c>
      <c r="P1134" t="s">
        <v>3613</v>
      </c>
      <c r="Q1134" t="s">
        <v>3634</v>
      </c>
      <c r="R1134" t="s">
        <v>3642</v>
      </c>
      <c r="T1134" t="s">
        <v>3660</v>
      </c>
      <c r="U1134" t="s">
        <v>3184</v>
      </c>
      <c r="W1134" t="s">
        <v>3670</v>
      </c>
      <c r="X1134" t="s">
        <v>3683</v>
      </c>
      <c r="Y1134">
        <v>2200</v>
      </c>
      <c r="Z1134" t="s">
        <v>3692</v>
      </c>
      <c r="AA1134" t="s">
        <v>3706</v>
      </c>
      <c r="AB1134" t="s">
        <v>3712</v>
      </c>
      <c r="AC1134" t="s">
        <v>4723</v>
      </c>
      <c r="AE1134" t="s">
        <v>5775</v>
      </c>
      <c r="AF1134">
        <v>0</v>
      </c>
      <c r="AG1134" t="s">
        <v>5814</v>
      </c>
      <c r="AH1134" t="s">
        <v>3188</v>
      </c>
      <c r="AI1134">
        <v>2</v>
      </c>
      <c r="AJ1134">
        <v>4</v>
      </c>
      <c r="AK1134">
        <v>2</v>
      </c>
      <c r="AL1134">
        <v>147.44</v>
      </c>
      <c r="AO1134" t="s">
        <v>5843</v>
      </c>
      <c r="AP1134">
        <v>51000</v>
      </c>
      <c r="AV1134">
        <v>2.6</v>
      </c>
      <c r="AW1134" t="s">
        <v>217</v>
      </c>
      <c r="AX1134" t="s">
        <v>6017</v>
      </c>
    </row>
    <row r="1135" spans="1:50">
      <c r="A1135" s="1">
        <f>HYPERLINK("https://lsnyc.legalserver.org/matter/dynamic-profile/view/1893930","19-1893930")</f>
        <v>0</v>
      </c>
      <c r="B1135" t="s">
        <v>160</v>
      </c>
      <c r="C1135" t="s">
        <v>191</v>
      </c>
      <c r="D1135" t="s">
        <v>284</v>
      </c>
      <c r="F1135" t="s">
        <v>1157</v>
      </c>
      <c r="G1135" t="s">
        <v>1203</v>
      </c>
      <c r="H1135" t="s">
        <v>2786</v>
      </c>
      <c r="I1135" t="s">
        <v>2962</v>
      </c>
      <c r="J1135" t="s">
        <v>3159</v>
      </c>
      <c r="K1135">
        <v>10304</v>
      </c>
      <c r="L1135" t="s">
        <v>3186</v>
      </c>
      <c r="N1135" t="s">
        <v>3186</v>
      </c>
      <c r="O1135" t="s">
        <v>3591</v>
      </c>
      <c r="P1135" t="s">
        <v>3610</v>
      </c>
      <c r="Q1135" t="s">
        <v>3638</v>
      </c>
      <c r="T1135" t="s">
        <v>3660</v>
      </c>
      <c r="U1135" t="s">
        <v>3184</v>
      </c>
      <c r="W1135" t="s">
        <v>3670</v>
      </c>
      <c r="X1135" t="s">
        <v>3681</v>
      </c>
      <c r="Y1135">
        <v>1956</v>
      </c>
      <c r="Z1135" t="s">
        <v>3692</v>
      </c>
      <c r="AA1135" t="s">
        <v>3706</v>
      </c>
      <c r="AC1135" t="s">
        <v>4724</v>
      </c>
      <c r="AD1135">
        <v>5620117</v>
      </c>
      <c r="AE1135" t="s">
        <v>5776</v>
      </c>
      <c r="AF1135">
        <v>2</v>
      </c>
      <c r="AH1135" t="s">
        <v>5828</v>
      </c>
      <c r="AI1135">
        <v>2</v>
      </c>
      <c r="AJ1135">
        <v>2</v>
      </c>
      <c r="AK1135">
        <v>0</v>
      </c>
      <c r="AL1135">
        <v>13.22</v>
      </c>
      <c r="AO1135" t="s">
        <v>5843</v>
      </c>
      <c r="AP1135">
        <v>2236</v>
      </c>
      <c r="AV1135">
        <v>6.3</v>
      </c>
      <c r="AW1135" t="s">
        <v>275</v>
      </c>
      <c r="AX1135" t="s">
        <v>6017</v>
      </c>
    </row>
    <row r="1136" spans="1:50">
      <c r="A1136" s="1">
        <f>HYPERLINK("https://lsnyc.legalserver.org/matter/dynamic-profile/view/1905507","19-1905507")</f>
        <v>0</v>
      </c>
      <c r="B1136" t="s">
        <v>160</v>
      </c>
      <c r="C1136" t="s">
        <v>191</v>
      </c>
      <c r="D1136" t="s">
        <v>202</v>
      </c>
      <c r="F1136" t="s">
        <v>1158</v>
      </c>
      <c r="G1136" t="s">
        <v>1699</v>
      </c>
      <c r="H1136" t="s">
        <v>2787</v>
      </c>
      <c r="I1136" t="s">
        <v>3131</v>
      </c>
      <c r="J1136" t="s">
        <v>3159</v>
      </c>
      <c r="K1136">
        <v>10304</v>
      </c>
      <c r="L1136" t="s">
        <v>3186</v>
      </c>
      <c r="N1136" t="s">
        <v>3186</v>
      </c>
      <c r="O1136" t="s">
        <v>3592</v>
      </c>
      <c r="P1136" t="s">
        <v>3610</v>
      </c>
      <c r="Q1136" t="s">
        <v>3638</v>
      </c>
      <c r="T1136" t="s">
        <v>3660</v>
      </c>
      <c r="U1136" t="s">
        <v>3184</v>
      </c>
      <c r="W1136" t="s">
        <v>3670</v>
      </c>
      <c r="X1136" t="s">
        <v>3681</v>
      </c>
      <c r="Y1136">
        <v>500</v>
      </c>
      <c r="Z1136" t="s">
        <v>3692</v>
      </c>
      <c r="AA1136" t="s">
        <v>3706</v>
      </c>
      <c r="AC1136" t="s">
        <v>4725</v>
      </c>
      <c r="AE1136" t="s">
        <v>5777</v>
      </c>
      <c r="AF1136">
        <v>361</v>
      </c>
      <c r="AG1136" t="s">
        <v>5813</v>
      </c>
      <c r="AH1136" t="s">
        <v>3188</v>
      </c>
      <c r="AI1136">
        <v>11</v>
      </c>
      <c r="AJ1136">
        <v>1</v>
      </c>
      <c r="AK1136">
        <v>1</v>
      </c>
      <c r="AL1136">
        <v>92.25</v>
      </c>
      <c r="AO1136" t="s">
        <v>5843</v>
      </c>
      <c r="AP1136">
        <v>15600</v>
      </c>
      <c r="AV1136">
        <v>6.05</v>
      </c>
      <c r="AW1136" t="s">
        <v>196</v>
      </c>
      <c r="AX1136" t="s">
        <v>6017</v>
      </c>
    </row>
    <row r="1137" spans="1:50">
      <c r="A1137" s="1">
        <f>HYPERLINK("https://lsnyc.legalserver.org/matter/dynamic-profile/view/0810502","16-0810502")</f>
        <v>0</v>
      </c>
      <c r="B1137" t="s">
        <v>165</v>
      </c>
      <c r="C1137" t="s">
        <v>191</v>
      </c>
      <c r="D1137" t="s">
        <v>436</v>
      </c>
      <c r="F1137" t="s">
        <v>1159</v>
      </c>
      <c r="G1137" t="s">
        <v>1937</v>
      </c>
      <c r="H1137" t="s">
        <v>2788</v>
      </c>
      <c r="J1137" t="s">
        <v>3148</v>
      </c>
      <c r="K1137">
        <v>11217</v>
      </c>
      <c r="L1137" t="s">
        <v>3185</v>
      </c>
      <c r="N1137" t="s">
        <v>3186</v>
      </c>
      <c r="O1137" t="s">
        <v>3593</v>
      </c>
      <c r="P1137" t="s">
        <v>3613</v>
      </c>
      <c r="Q1137" t="s">
        <v>3638</v>
      </c>
      <c r="T1137" t="s">
        <v>3660</v>
      </c>
      <c r="V1137" t="s">
        <v>3664</v>
      </c>
      <c r="W1137" t="s">
        <v>3670</v>
      </c>
      <c r="Y1137">
        <v>270</v>
      </c>
      <c r="Z1137" t="s">
        <v>3691</v>
      </c>
      <c r="AA1137" t="s">
        <v>3700</v>
      </c>
      <c r="AC1137" t="s">
        <v>4726</v>
      </c>
      <c r="AF1137">
        <v>6</v>
      </c>
      <c r="AG1137" t="s">
        <v>5813</v>
      </c>
      <c r="AH1137" t="s">
        <v>3188</v>
      </c>
      <c r="AI1137">
        <v>6</v>
      </c>
      <c r="AJ1137">
        <v>1</v>
      </c>
      <c r="AK1137">
        <v>0</v>
      </c>
      <c r="AL1137">
        <v>311.45</v>
      </c>
      <c r="AO1137" t="s">
        <v>5843</v>
      </c>
      <c r="AP1137">
        <v>37000</v>
      </c>
      <c r="AV1137">
        <v>223.1</v>
      </c>
      <c r="AW1137" t="s">
        <v>198</v>
      </c>
      <c r="AX1137" t="s">
        <v>6052</v>
      </c>
    </row>
    <row r="1138" spans="1:50">
      <c r="A1138" s="1">
        <f>HYPERLINK("https://lsnyc.legalserver.org/matter/dynamic-profile/view/1905064","19-1905064")</f>
        <v>0</v>
      </c>
      <c r="B1138" t="s">
        <v>104</v>
      </c>
      <c r="C1138" t="s">
        <v>191</v>
      </c>
      <c r="D1138" t="s">
        <v>249</v>
      </c>
      <c r="F1138" t="s">
        <v>1160</v>
      </c>
      <c r="G1138" t="s">
        <v>1725</v>
      </c>
      <c r="H1138" t="s">
        <v>2789</v>
      </c>
      <c r="I1138">
        <v>1</v>
      </c>
      <c r="J1138" t="s">
        <v>3148</v>
      </c>
      <c r="K1138">
        <v>11221</v>
      </c>
      <c r="L1138" t="s">
        <v>3185</v>
      </c>
      <c r="N1138" t="s">
        <v>3186</v>
      </c>
      <c r="P1138" t="s">
        <v>3622</v>
      </c>
      <c r="Q1138" t="s">
        <v>3635</v>
      </c>
      <c r="S1138" t="s">
        <v>285</v>
      </c>
      <c r="T1138" t="s">
        <v>3660</v>
      </c>
      <c r="U1138" t="s">
        <v>3185</v>
      </c>
      <c r="W1138" t="s">
        <v>3670</v>
      </c>
      <c r="Y1138">
        <v>0</v>
      </c>
      <c r="Z1138" t="s">
        <v>3691</v>
      </c>
      <c r="AC1138" t="s">
        <v>4727</v>
      </c>
      <c r="AE1138" t="s">
        <v>5778</v>
      </c>
      <c r="AF1138">
        <v>2</v>
      </c>
      <c r="AI1138">
        <v>0</v>
      </c>
      <c r="AJ1138">
        <v>1</v>
      </c>
      <c r="AK1138">
        <v>0</v>
      </c>
      <c r="AL1138">
        <v>0</v>
      </c>
      <c r="AO1138" t="s">
        <v>5843</v>
      </c>
      <c r="AP1138">
        <v>0</v>
      </c>
      <c r="AV1138">
        <v>0.2</v>
      </c>
      <c r="AW1138" t="s">
        <v>249</v>
      </c>
      <c r="AX1138" t="s">
        <v>131</v>
      </c>
    </row>
    <row r="1139" spans="1:50">
      <c r="A1139" s="1">
        <f>HYPERLINK("https://lsnyc.legalserver.org/matter/dynamic-profile/view/1903749","19-1903749")</f>
        <v>0</v>
      </c>
      <c r="B1139" t="s">
        <v>104</v>
      </c>
      <c r="C1139" t="s">
        <v>191</v>
      </c>
      <c r="D1139" t="s">
        <v>285</v>
      </c>
      <c r="F1139" t="s">
        <v>605</v>
      </c>
      <c r="G1139" t="s">
        <v>1938</v>
      </c>
      <c r="H1139" t="s">
        <v>2790</v>
      </c>
      <c r="I1139" t="s">
        <v>2856</v>
      </c>
      <c r="J1139" t="s">
        <v>3148</v>
      </c>
      <c r="K1139">
        <v>11220</v>
      </c>
      <c r="L1139" t="s">
        <v>3185</v>
      </c>
      <c r="M1139" t="s">
        <v>3189</v>
      </c>
      <c r="N1139" t="s">
        <v>3186</v>
      </c>
      <c r="P1139" t="s">
        <v>3612</v>
      </c>
      <c r="Q1139" t="s">
        <v>3638</v>
      </c>
      <c r="S1139" t="s">
        <v>285</v>
      </c>
      <c r="T1139" t="s">
        <v>3660</v>
      </c>
      <c r="U1139" t="s">
        <v>3185</v>
      </c>
      <c r="V1139" t="s">
        <v>3663</v>
      </c>
      <c r="W1139" t="s">
        <v>3670</v>
      </c>
      <c r="Y1139">
        <v>1375</v>
      </c>
      <c r="Z1139" t="s">
        <v>3691</v>
      </c>
      <c r="AC1139" t="s">
        <v>4728</v>
      </c>
      <c r="AE1139" t="s">
        <v>5779</v>
      </c>
      <c r="AF1139">
        <v>54</v>
      </c>
      <c r="AI1139">
        <v>16</v>
      </c>
      <c r="AJ1139">
        <v>2</v>
      </c>
      <c r="AK1139">
        <v>0</v>
      </c>
      <c r="AL1139">
        <v>99.34999999999999</v>
      </c>
      <c r="AO1139" t="s">
        <v>5843</v>
      </c>
      <c r="AP1139">
        <v>16800</v>
      </c>
      <c r="AV1139">
        <v>0.7</v>
      </c>
      <c r="AW1139" t="s">
        <v>213</v>
      </c>
      <c r="AX1139" t="s">
        <v>61</v>
      </c>
    </row>
    <row r="1140" spans="1:50">
      <c r="A1140" s="1">
        <f>HYPERLINK("https://lsnyc.legalserver.org/matter/dynamic-profile/view/1903642","19-1903642")</f>
        <v>0</v>
      </c>
      <c r="B1140" t="s">
        <v>104</v>
      </c>
      <c r="C1140" t="s">
        <v>191</v>
      </c>
      <c r="D1140" t="s">
        <v>285</v>
      </c>
      <c r="F1140" t="s">
        <v>1161</v>
      </c>
      <c r="G1140" t="s">
        <v>1577</v>
      </c>
      <c r="H1140" t="s">
        <v>2790</v>
      </c>
      <c r="I1140" t="s">
        <v>2897</v>
      </c>
      <c r="J1140" t="s">
        <v>3148</v>
      </c>
      <c r="K1140">
        <v>11220</v>
      </c>
      <c r="L1140" t="s">
        <v>3185</v>
      </c>
      <c r="M1140" t="s">
        <v>3189</v>
      </c>
      <c r="N1140" t="s">
        <v>3186</v>
      </c>
      <c r="P1140" t="s">
        <v>3612</v>
      </c>
      <c r="Q1140" t="s">
        <v>3638</v>
      </c>
      <c r="S1140" t="s">
        <v>285</v>
      </c>
      <c r="T1140" t="s">
        <v>3660</v>
      </c>
      <c r="U1140" t="s">
        <v>3185</v>
      </c>
      <c r="V1140" t="s">
        <v>3663</v>
      </c>
      <c r="W1140" t="s">
        <v>3670</v>
      </c>
      <c r="Y1140">
        <v>745</v>
      </c>
      <c r="Z1140" t="s">
        <v>3691</v>
      </c>
      <c r="AC1140" t="s">
        <v>4669</v>
      </c>
      <c r="AE1140" t="s">
        <v>5780</v>
      </c>
      <c r="AF1140">
        <v>54</v>
      </c>
      <c r="AI1140">
        <v>40</v>
      </c>
      <c r="AJ1140">
        <v>3</v>
      </c>
      <c r="AK1140">
        <v>3</v>
      </c>
      <c r="AL1140">
        <v>120.73</v>
      </c>
      <c r="AO1140" t="s">
        <v>5843</v>
      </c>
      <c r="AP1140">
        <v>41760</v>
      </c>
      <c r="AV1140">
        <v>0</v>
      </c>
      <c r="AX1140" t="s">
        <v>61</v>
      </c>
    </row>
    <row r="1141" spans="1:50">
      <c r="A1141" s="1">
        <f>HYPERLINK("https://lsnyc.legalserver.org/matter/dynamic-profile/view/1904324","19-1904324")</f>
        <v>0</v>
      </c>
      <c r="B1141" t="s">
        <v>104</v>
      </c>
      <c r="C1141" t="s">
        <v>191</v>
      </c>
      <c r="D1141" t="s">
        <v>193</v>
      </c>
      <c r="F1141" t="s">
        <v>1003</v>
      </c>
      <c r="G1141" t="s">
        <v>1939</v>
      </c>
      <c r="H1141" t="s">
        <v>2789</v>
      </c>
      <c r="I1141" t="s">
        <v>2895</v>
      </c>
      <c r="J1141" t="s">
        <v>3148</v>
      </c>
      <c r="K1141">
        <v>11221</v>
      </c>
      <c r="L1141" t="s">
        <v>3185</v>
      </c>
      <c r="N1141" t="s">
        <v>3186</v>
      </c>
      <c r="P1141" t="s">
        <v>3622</v>
      </c>
      <c r="Q1141" t="s">
        <v>3635</v>
      </c>
      <c r="S1141" t="s">
        <v>193</v>
      </c>
      <c r="T1141" t="s">
        <v>3660</v>
      </c>
      <c r="U1141" t="s">
        <v>3185</v>
      </c>
      <c r="V1141" t="s">
        <v>3663</v>
      </c>
      <c r="W1141" t="s">
        <v>3670</v>
      </c>
      <c r="Y1141">
        <v>0</v>
      </c>
      <c r="Z1141" t="s">
        <v>3691</v>
      </c>
      <c r="AC1141" t="s">
        <v>4359</v>
      </c>
      <c r="AF1141">
        <v>2</v>
      </c>
      <c r="AI1141">
        <v>0</v>
      </c>
      <c r="AJ1141">
        <v>1</v>
      </c>
      <c r="AK1141">
        <v>0</v>
      </c>
      <c r="AL1141">
        <v>0</v>
      </c>
      <c r="AO1141" t="s">
        <v>5843</v>
      </c>
      <c r="AP1141">
        <v>0</v>
      </c>
      <c r="AV1141">
        <v>2</v>
      </c>
      <c r="AW1141" t="s">
        <v>193</v>
      </c>
      <c r="AX1141" t="s">
        <v>131</v>
      </c>
    </row>
    <row r="1142" spans="1:50">
      <c r="A1142" s="1">
        <f>HYPERLINK("https://lsnyc.legalserver.org/matter/dynamic-profile/view/1890810","19-1890810")</f>
        <v>0</v>
      </c>
      <c r="B1142" t="s">
        <v>104</v>
      </c>
      <c r="C1142" t="s">
        <v>191</v>
      </c>
      <c r="D1142" t="s">
        <v>332</v>
      </c>
      <c r="F1142" t="s">
        <v>1162</v>
      </c>
      <c r="G1142" t="s">
        <v>1940</v>
      </c>
      <c r="H1142" t="s">
        <v>2791</v>
      </c>
      <c r="I1142" t="s">
        <v>3132</v>
      </c>
      <c r="J1142" t="s">
        <v>3148</v>
      </c>
      <c r="K1142">
        <v>11235</v>
      </c>
      <c r="L1142" t="s">
        <v>3185</v>
      </c>
      <c r="M1142" t="s">
        <v>3189</v>
      </c>
      <c r="N1142" t="s">
        <v>3185</v>
      </c>
      <c r="P1142" t="s">
        <v>3609</v>
      </c>
      <c r="Q1142" t="s">
        <v>3635</v>
      </c>
      <c r="S1142" t="s">
        <v>214</v>
      </c>
      <c r="T1142" t="s">
        <v>3660</v>
      </c>
      <c r="U1142" t="s">
        <v>3184</v>
      </c>
      <c r="W1142" t="s">
        <v>3670</v>
      </c>
      <c r="Y1142">
        <v>930</v>
      </c>
      <c r="Z1142" t="s">
        <v>3691</v>
      </c>
      <c r="AC1142" t="s">
        <v>4729</v>
      </c>
      <c r="AE1142" t="s">
        <v>5781</v>
      </c>
      <c r="AF1142">
        <v>144</v>
      </c>
      <c r="AI1142">
        <v>0</v>
      </c>
      <c r="AJ1142">
        <v>2</v>
      </c>
      <c r="AK1142">
        <v>0</v>
      </c>
      <c r="AL1142">
        <v>113.54</v>
      </c>
      <c r="AO1142" t="s">
        <v>5843</v>
      </c>
      <c r="AP1142">
        <v>19200</v>
      </c>
      <c r="AQ1142" t="s">
        <v>5928</v>
      </c>
      <c r="AV1142">
        <v>4.5</v>
      </c>
      <c r="AW1142" t="s">
        <v>205</v>
      </c>
      <c r="AX1142" t="s">
        <v>61</v>
      </c>
    </row>
    <row r="1143" spans="1:50">
      <c r="A1143" s="1">
        <f>HYPERLINK("https://lsnyc.legalserver.org/matter/dynamic-profile/view/1905115","19-1905115")</f>
        <v>0</v>
      </c>
      <c r="B1143" t="s">
        <v>104</v>
      </c>
      <c r="C1143" t="s">
        <v>191</v>
      </c>
      <c r="D1143" t="s">
        <v>249</v>
      </c>
      <c r="F1143" t="s">
        <v>1163</v>
      </c>
      <c r="G1143" t="s">
        <v>1941</v>
      </c>
      <c r="H1143" t="s">
        <v>2790</v>
      </c>
      <c r="I1143" t="s">
        <v>2980</v>
      </c>
      <c r="J1143" t="s">
        <v>3148</v>
      </c>
      <c r="K1143">
        <v>11220</v>
      </c>
      <c r="L1143" t="s">
        <v>3185</v>
      </c>
      <c r="N1143" t="s">
        <v>3186</v>
      </c>
      <c r="Q1143" t="s">
        <v>3638</v>
      </c>
      <c r="S1143" t="s">
        <v>218</v>
      </c>
      <c r="T1143" t="s">
        <v>3660</v>
      </c>
      <c r="U1143" t="s">
        <v>3185</v>
      </c>
      <c r="W1143" t="s">
        <v>3670</v>
      </c>
      <c r="Y1143">
        <v>0</v>
      </c>
      <c r="Z1143" t="s">
        <v>3691</v>
      </c>
      <c r="AC1143" t="s">
        <v>4730</v>
      </c>
      <c r="AE1143" t="s">
        <v>5782</v>
      </c>
      <c r="AF1143">
        <v>54</v>
      </c>
      <c r="AH1143" t="s">
        <v>5826</v>
      </c>
      <c r="AI1143">
        <v>0</v>
      </c>
      <c r="AJ1143">
        <v>3</v>
      </c>
      <c r="AK1143">
        <v>0</v>
      </c>
      <c r="AL1143">
        <v>88.05</v>
      </c>
      <c r="AO1143" t="s">
        <v>5843</v>
      </c>
      <c r="AP1143">
        <v>18780</v>
      </c>
      <c r="AV1143">
        <v>22.95</v>
      </c>
      <c r="AW1143" t="s">
        <v>291</v>
      </c>
      <c r="AX1143" t="s">
        <v>131</v>
      </c>
    </row>
    <row r="1144" spans="1:50">
      <c r="A1144" s="1">
        <f>HYPERLINK("https://lsnyc.legalserver.org/matter/dynamic-profile/view/1905109","19-1905109")</f>
        <v>0</v>
      </c>
      <c r="B1144" t="s">
        <v>104</v>
      </c>
      <c r="C1144" t="s">
        <v>191</v>
      </c>
      <c r="D1144" t="s">
        <v>249</v>
      </c>
      <c r="F1144" t="s">
        <v>1164</v>
      </c>
      <c r="G1144" t="s">
        <v>1659</v>
      </c>
      <c r="H1144" t="s">
        <v>2790</v>
      </c>
      <c r="I1144" t="s">
        <v>2822</v>
      </c>
      <c r="J1144" t="s">
        <v>3148</v>
      </c>
      <c r="K1144">
        <v>11220</v>
      </c>
      <c r="L1144" t="s">
        <v>3185</v>
      </c>
      <c r="M1144" t="s">
        <v>3189</v>
      </c>
      <c r="N1144" t="s">
        <v>3186</v>
      </c>
      <c r="P1144" t="s">
        <v>3612</v>
      </c>
      <c r="Q1144" t="s">
        <v>3638</v>
      </c>
      <c r="S1144" t="s">
        <v>218</v>
      </c>
      <c r="T1144" t="s">
        <v>3660</v>
      </c>
      <c r="U1144" t="s">
        <v>3185</v>
      </c>
      <c r="W1144" t="s">
        <v>3670</v>
      </c>
      <c r="Y1144">
        <v>0</v>
      </c>
      <c r="Z1144" t="s">
        <v>3691</v>
      </c>
      <c r="AC1144" t="s">
        <v>4731</v>
      </c>
      <c r="AE1144" t="s">
        <v>5783</v>
      </c>
      <c r="AF1144">
        <v>54</v>
      </c>
      <c r="AI1144">
        <v>0</v>
      </c>
      <c r="AJ1144">
        <v>4</v>
      </c>
      <c r="AK1144">
        <v>0</v>
      </c>
      <c r="AL1144">
        <v>155.34</v>
      </c>
      <c r="AO1144" t="s">
        <v>5843</v>
      </c>
      <c r="AP1144">
        <v>40000</v>
      </c>
      <c r="AV1144">
        <v>0.2</v>
      </c>
      <c r="AW1144" t="s">
        <v>249</v>
      </c>
      <c r="AX1144" t="s">
        <v>131</v>
      </c>
    </row>
    <row r="1145" spans="1:50">
      <c r="A1145" s="1">
        <f>HYPERLINK("https://lsnyc.legalserver.org/matter/dynamic-profile/view/1905193","19-1905193")</f>
        <v>0</v>
      </c>
      <c r="B1145" t="s">
        <v>104</v>
      </c>
      <c r="C1145" t="s">
        <v>191</v>
      </c>
      <c r="D1145" t="s">
        <v>254</v>
      </c>
      <c r="F1145" t="s">
        <v>1165</v>
      </c>
      <c r="G1145" t="s">
        <v>1274</v>
      </c>
      <c r="H1145" t="s">
        <v>2790</v>
      </c>
      <c r="I1145" t="s">
        <v>2849</v>
      </c>
      <c r="J1145" t="s">
        <v>3148</v>
      </c>
      <c r="K1145">
        <v>11220</v>
      </c>
      <c r="L1145" t="s">
        <v>3185</v>
      </c>
      <c r="M1145" t="s">
        <v>3189</v>
      </c>
      <c r="N1145" t="s">
        <v>3186</v>
      </c>
      <c r="P1145" t="s">
        <v>3612</v>
      </c>
      <c r="Q1145" t="s">
        <v>3638</v>
      </c>
      <c r="S1145" t="s">
        <v>218</v>
      </c>
      <c r="T1145" t="s">
        <v>3660</v>
      </c>
      <c r="U1145" t="s">
        <v>3185</v>
      </c>
      <c r="V1145" t="s">
        <v>3663</v>
      </c>
      <c r="W1145" t="s">
        <v>3670</v>
      </c>
      <c r="Y1145">
        <v>0</v>
      </c>
      <c r="Z1145" t="s">
        <v>3691</v>
      </c>
      <c r="AC1145" t="s">
        <v>4732</v>
      </c>
      <c r="AE1145" t="s">
        <v>5784</v>
      </c>
      <c r="AF1145">
        <v>54</v>
      </c>
      <c r="AI1145">
        <v>0</v>
      </c>
      <c r="AJ1145">
        <v>1</v>
      </c>
      <c r="AK1145">
        <v>0</v>
      </c>
      <c r="AL1145">
        <v>333.07</v>
      </c>
      <c r="AO1145" t="s">
        <v>5843</v>
      </c>
      <c r="AP1145">
        <v>41600</v>
      </c>
      <c r="AV1145">
        <v>0.2</v>
      </c>
      <c r="AW1145" t="s">
        <v>254</v>
      </c>
      <c r="AX1145" t="s">
        <v>131</v>
      </c>
    </row>
    <row r="1146" spans="1:50">
      <c r="A1146" s="1">
        <f>HYPERLINK("https://lsnyc.legalserver.org/matter/dynamic-profile/view/1907063","19-1907063")</f>
        <v>0</v>
      </c>
      <c r="B1146" t="s">
        <v>104</v>
      </c>
      <c r="C1146" t="s">
        <v>191</v>
      </c>
      <c r="D1146" t="s">
        <v>281</v>
      </c>
      <c r="F1146" t="s">
        <v>1166</v>
      </c>
      <c r="G1146" t="s">
        <v>1942</v>
      </c>
      <c r="H1146" t="s">
        <v>2792</v>
      </c>
      <c r="I1146" t="s">
        <v>2951</v>
      </c>
      <c r="J1146" t="s">
        <v>3148</v>
      </c>
      <c r="K1146">
        <v>11213</v>
      </c>
      <c r="L1146" t="s">
        <v>3185</v>
      </c>
      <c r="M1146" t="s">
        <v>3188</v>
      </c>
      <c r="N1146" t="s">
        <v>3186</v>
      </c>
      <c r="P1146" t="s">
        <v>3622</v>
      </c>
      <c r="Q1146" t="s">
        <v>3635</v>
      </c>
      <c r="S1146" t="s">
        <v>226</v>
      </c>
      <c r="T1146" t="s">
        <v>3660</v>
      </c>
      <c r="W1146" t="s">
        <v>3670</v>
      </c>
      <c r="Y1146">
        <v>0</v>
      </c>
      <c r="Z1146" t="s">
        <v>3691</v>
      </c>
      <c r="AC1146" t="s">
        <v>4733</v>
      </c>
      <c r="AE1146" t="s">
        <v>5785</v>
      </c>
      <c r="AF1146">
        <v>38</v>
      </c>
      <c r="AI1146">
        <v>0</v>
      </c>
      <c r="AJ1146">
        <v>2</v>
      </c>
      <c r="AK1146">
        <v>0</v>
      </c>
      <c r="AL1146">
        <v>839.15</v>
      </c>
      <c r="AO1146" t="s">
        <v>5843</v>
      </c>
      <c r="AP1146">
        <v>141900</v>
      </c>
      <c r="AV1146">
        <v>1.4</v>
      </c>
      <c r="AW1146" t="s">
        <v>281</v>
      </c>
      <c r="AX1146" t="s">
        <v>131</v>
      </c>
    </row>
    <row r="1147" spans="1:50">
      <c r="A1147" s="1">
        <f>HYPERLINK("https://lsnyc.legalserver.org/matter/dynamic-profile/view/1899801","19-1899801")</f>
        <v>0</v>
      </c>
      <c r="B1147" t="s">
        <v>160</v>
      </c>
      <c r="C1147" t="s">
        <v>191</v>
      </c>
      <c r="D1147" t="s">
        <v>204</v>
      </c>
      <c r="F1147" t="s">
        <v>1167</v>
      </c>
      <c r="G1147" t="s">
        <v>1943</v>
      </c>
      <c r="H1147" t="s">
        <v>2793</v>
      </c>
      <c r="J1147" t="s">
        <v>3159</v>
      </c>
      <c r="K1147">
        <v>10303</v>
      </c>
      <c r="L1147" t="s">
        <v>3186</v>
      </c>
      <c r="M1147" t="s">
        <v>3189</v>
      </c>
      <c r="N1147" t="s">
        <v>3186</v>
      </c>
      <c r="O1147" t="s">
        <v>3594</v>
      </c>
      <c r="Q1147" t="s">
        <v>3638</v>
      </c>
      <c r="T1147" t="s">
        <v>3661</v>
      </c>
      <c r="W1147" t="s">
        <v>3671</v>
      </c>
      <c r="Y1147">
        <v>0</v>
      </c>
      <c r="Z1147" t="s">
        <v>3692</v>
      </c>
      <c r="AC1147" t="s">
        <v>4734</v>
      </c>
      <c r="AF1147">
        <v>0</v>
      </c>
      <c r="AI1147">
        <v>0</v>
      </c>
      <c r="AJ1147">
        <v>4</v>
      </c>
      <c r="AK1147">
        <v>3</v>
      </c>
      <c r="AL1147">
        <v>113.82</v>
      </c>
      <c r="AM1147" t="s">
        <v>5835</v>
      </c>
      <c r="AN1147" t="s">
        <v>5840</v>
      </c>
      <c r="AO1147" t="s">
        <v>5843</v>
      </c>
      <c r="AP1147">
        <v>44400</v>
      </c>
      <c r="AV1147">
        <v>22.8</v>
      </c>
      <c r="AW1147" t="s">
        <v>196</v>
      </c>
      <c r="AX1147" t="s">
        <v>160</v>
      </c>
    </row>
    <row r="1148" spans="1:50">
      <c r="A1148" s="1">
        <f>HYPERLINK("https://lsnyc.legalserver.org/matter/dynamic-profile/view/1907514","19-1907514")</f>
        <v>0</v>
      </c>
      <c r="B1148" t="s">
        <v>104</v>
      </c>
      <c r="C1148" t="s">
        <v>191</v>
      </c>
      <c r="D1148" t="s">
        <v>234</v>
      </c>
      <c r="F1148" t="s">
        <v>655</v>
      </c>
      <c r="G1148" t="s">
        <v>1944</v>
      </c>
      <c r="H1148" t="s">
        <v>2176</v>
      </c>
      <c r="I1148" t="s">
        <v>3133</v>
      </c>
      <c r="J1148" t="s">
        <v>3148</v>
      </c>
      <c r="K1148">
        <v>11225</v>
      </c>
      <c r="L1148" t="s">
        <v>3185</v>
      </c>
      <c r="M1148" t="s">
        <v>3189</v>
      </c>
      <c r="N1148" t="s">
        <v>3186</v>
      </c>
      <c r="P1148" t="s">
        <v>3622</v>
      </c>
      <c r="Q1148" t="s">
        <v>3635</v>
      </c>
      <c r="S1148" t="s">
        <v>234</v>
      </c>
      <c r="T1148" t="s">
        <v>3660</v>
      </c>
      <c r="U1148" t="s">
        <v>3185</v>
      </c>
      <c r="V1148" t="s">
        <v>3663</v>
      </c>
      <c r="W1148" t="s">
        <v>3670</v>
      </c>
      <c r="Y1148">
        <v>0</v>
      </c>
      <c r="Z1148" t="s">
        <v>3691</v>
      </c>
      <c r="AC1148" t="s">
        <v>4527</v>
      </c>
      <c r="AF1148">
        <v>46</v>
      </c>
      <c r="AI1148">
        <v>0</v>
      </c>
      <c r="AJ1148">
        <v>3</v>
      </c>
      <c r="AK1148">
        <v>2</v>
      </c>
      <c r="AL1148">
        <v>0</v>
      </c>
      <c r="AO1148" t="s">
        <v>5843</v>
      </c>
      <c r="AP1148">
        <v>0</v>
      </c>
      <c r="AV1148">
        <v>0</v>
      </c>
      <c r="AX1148" t="s">
        <v>61</v>
      </c>
    </row>
    <row r="1149" spans="1:50">
      <c r="A1149" s="1">
        <f>HYPERLINK("https://lsnyc.legalserver.org/matter/dynamic-profile/view/1907304","19-1907304")</f>
        <v>0</v>
      </c>
      <c r="B1149" t="s">
        <v>104</v>
      </c>
      <c r="C1149" t="s">
        <v>191</v>
      </c>
      <c r="D1149" t="s">
        <v>234</v>
      </c>
      <c r="F1149" t="s">
        <v>478</v>
      </c>
      <c r="G1149" t="s">
        <v>1945</v>
      </c>
      <c r="H1149" t="s">
        <v>2176</v>
      </c>
      <c r="I1149" t="s">
        <v>3134</v>
      </c>
      <c r="J1149" t="s">
        <v>3148</v>
      </c>
      <c r="K1149">
        <v>11225</v>
      </c>
      <c r="L1149" t="s">
        <v>3185</v>
      </c>
      <c r="N1149" t="s">
        <v>3186</v>
      </c>
      <c r="P1149" t="s">
        <v>3622</v>
      </c>
      <c r="Q1149" t="s">
        <v>3635</v>
      </c>
      <c r="S1149" t="s">
        <v>234</v>
      </c>
      <c r="T1149" t="s">
        <v>3660</v>
      </c>
      <c r="U1149" t="s">
        <v>3185</v>
      </c>
      <c r="V1149" t="s">
        <v>3663</v>
      </c>
      <c r="W1149" t="s">
        <v>3670</v>
      </c>
      <c r="Y1149">
        <v>0</v>
      </c>
      <c r="Z1149" t="s">
        <v>3691</v>
      </c>
      <c r="AC1149" t="s">
        <v>4735</v>
      </c>
      <c r="AE1149" t="s">
        <v>5786</v>
      </c>
      <c r="AF1149">
        <v>46</v>
      </c>
      <c r="AI1149">
        <v>0</v>
      </c>
      <c r="AJ1149">
        <v>3</v>
      </c>
      <c r="AK1149">
        <v>0</v>
      </c>
      <c r="AL1149">
        <v>16.37</v>
      </c>
      <c r="AO1149" t="s">
        <v>5844</v>
      </c>
      <c r="AP1149">
        <v>3492</v>
      </c>
      <c r="AV1149">
        <v>0</v>
      </c>
      <c r="AX1149" t="s">
        <v>61</v>
      </c>
    </row>
    <row r="1150" spans="1:50">
      <c r="A1150" s="1">
        <f>HYPERLINK("https://lsnyc.legalserver.org/matter/dynamic-profile/view/1907469","19-1907469")</f>
        <v>0</v>
      </c>
      <c r="B1150" t="s">
        <v>104</v>
      </c>
      <c r="C1150" t="s">
        <v>191</v>
      </c>
      <c r="D1150" t="s">
        <v>234</v>
      </c>
      <c r="F1150" t="s">
        <v>1168</v>
      </c>
      <c r="G1150" t="s">
        <v>1946</v>
      </c>
      <c r="H1150" t="s">
        <v>2176</v>
      </c>
      <c r="I1150" t="s">
        <v>3135</v>
      </c>
      <c r="J1150" t="s">
        <v>3148</v>
      </c>
      <c r="K1150">
        <v>11225</v>
      </c>
      <c r="L1150" t="s">
        <v>3185</v>
      </c>
      <c r="M1150" t="s">
        <v>3189</v>
      </c>
      <c r="N1150" t="s">
        <v>3186</v>
      </c>
      <c r="P1150" t="s">
        <v>3622</v>
      </c>
      <c r="Q1150" t="s">
        <v>3635</v>
      </c>
      <c r="S1150" t="s">
        <v>234</v>
      </c>
      <c r="T1150" t="s">
        <v>3660</v>
      </c>
      <c r="U1150" t="s">
        <v>3185</v>
      </c>
      <c r="V1150" t="s">
        <v>3663</v>
      </c>
      <c r="W1150" t="s">
        <v>3670</v>
      </c>
      <c r="Y1150">
        <v>0</v>
      </c>
      <c r="Z1150" t="s">
        <v>3691</v>
      </c>
      <c r="AC1150" t="s">
        <v>4736</v>
      </c>
      <c r="AF1150">
        <v>46</v>
      </c>
      <c r="AI1150">
        <v>0</v>
      </c>
      <c r="AJ1150">
        <v>3</v>
      </c>
      <c r="AK1150">
        <v>0</v>
      </c>
      <c r="AL1150">
        <v>90.01000000000001</v>
      </c>
      <c r="AO1150" t="s">
        <v>5843</v>
      </c>
      <c r="AP1150">
        <v>19200</v>
      </c>
      <c r="AV1150">
        <v>0</v>
      </c>
      <c r="AX1150" t="s">
        <v>61</v>
      </c>
    </row>
    <row r="1151" spans="1:50">
      <c r="A1151" s="1">
        <f>HYPERLINK("https://lsnyc.legalserver.org/matter/dynamic-profile/view/1907460","19-1907460")</f>
        <v>0</v>
      </c>
      <c r="B1151" t="s">
        <v>104</v>
      </c>
      <c r="C1151" t="s">
        <v>191</v>
      </c>
      <c r="D1151" t="s">
        <v>234</v>
      </c>
      <c r="F1151" t="s">
        <v>1169</v>
      </c>
      <c r="G1151" t="s">
        <v>1947</v>
      </c>
      <c r="H1151" t="s">
        <v>2176</v>
      </c>
      <c r="I1151" t="s">
        <v>2840</v>
      </c>
      <c r="J1151" t="s">
        <v>3148</v>
      </c>
      <c r="K1151">
        <v>11225</v>
      </c>
      <c r="L1151" t="s">
        <v>3185</v>
      </c>
      <c r="M1151" t="s">
        <v>3189</v>
      </c>
      <c r="N1151" t="s">
        <v>3186</v>
      </c>
      <c r="P1151" t="s">
        <v>3622</v>
      </c>
      <c r="Q1151" t="s">
        <v>3635</v>
      </c>
      <c r="S1151" t="s">
        <v>234</v>
      </c>
      <c r="T1151" t="s">
        <v>3660</v>
      </c>
      <c r="U1151" t="s">
        <v>3185</v>
      </c>
      <c r="V1151" t="s">
        <v>3663</v>
      </c>
      <c r="W1151" t="s">
        <v>3670</v>
      </c>
      <c r="Y1151">
        <v>0</v>
      </c>
      <c r="Z1151" t="s">
        <v>3691</v>
      </c>
      <c r="AC1151" t="s">
        <v>4737</v>
      </c>
      <c r="AE1151" t="s">
        <v>5787</v>
      </c>
      <c r="AF1151">
        <v>46</v>
      </c>
      <c r="AI1151">
        <v>0</v>
      </c>
      <c r="AJ1151">
        <v>2</v>
      </c>
      <c r="AK1151">
        <v>0</v>
      </c>
      <c r="AL1151">
        <v>124.19</v>
      </c>
      <c r="AO1151" t="s">
        <v>5843</v>
      </c>
      <c r="AP1151">
        <v>21000</v>
      </c>
      <c r="AV1151">
        <v>0</v>
      </c>
      <c r="AX1151" t="s">
        <v>61</v>
      </c>
    </row>
    <row r="1152" spans="1:50">
      <c r="A1152" s="1">
        <f>HYPERLINK("https://lsnyc.legalserver.org/matter/dynamic-profile/view/1907507","19-1907507")</f>
        <v>0</v>
      </c>
      <c r="B1152" t="s">
        <v>104</v>
      </c>
      <c r="C1152" t="s">
        <v>191</v>
      </c>
      <c r="D1152" t="s">
        <v>234</v>
      </c>
      <c r="F1152" t="s">
        <v>1170</v>
      </c>
      <c r="G1152" t="s">
        <v>1948</v>
      </c>
      <c r="H1152" t="s">
        <v>2176</v>
      </c>
      <c r="I1152" t="s">
        <v>3136</v>
      </c>
      <c r="J1152" t="s">
        <v>3148</v>
      </c>
      <c r="K1152">
        <v>11225</v>
      </c>
      <c r="L1152" t="s">
        <v>3185</v>
      </c>
      <c r="M1152" t="s">
        <v>3189</v>
      </c>
      <c r="N1152" t="s">
        <v>3186</v>
      </c>
      <c r="P1152" t="s">
        <v>3622</v>
      </c>
      <c r="Q1152" t="s">
        <v>3635</v>
      </c>
      <c r="S1152" t="s">
        <v>234</v>
      </c>
      <c r="T1152" t="s">
        <v>3660</v>
      </c>
      <c r="U1152" t="s">
        <v>3185</v>
      </c>
      <c r="W1152" t="s">
        <v>3670</v>
      </c>
      <c r="Y1152">
        <v>0</v>
      </c>
      <c r="Z1152" t="s">
        <v>3691</v>
      </c>
      <c r="AC1152" t="s">
        <v>4738</v>
      </c>
      <c r="AE1152" t="s">
        <v>5788</v>
      </c>
      <c r="AF1152">
        <v>46</v>
      </c>
      <c r="AI1152">
        <v>0</v>
      </c>
      <c r="AJ1152">
        <v>1</v>
      </c>
      <c r="AK1152">
        <v>0</v>
      </c>
      <c r="AL1152">
        <v>1136.91</v>
      </c>
      <c r="AO1152" t="s">
        <v>5843</v>
      </c>
      <c r="AP1152">
        <v>142000</v>
      </c>
      <c r="AV1152">
        <v>0</v>
      </c>
      <c r="AX1152" t="s">
        <v>61</v>
      </c>
    </row>
    <row r="1153" spans="1:50">
      <c r="A1153" s="1">
        <f>HYPERLINK("https://lsnyc.legalserver.org/matter/dynamic-profile/view/1907743","19-1907743")</f>
        <v>0</v>
      </c>
      <c r="B1153" t="s">
        <v>104</v>
      </c>
      <c r="C1153" t="s">
        <v>191</v>
      </c>
      <c r="D1153" t="s">
        <v>225</v>
      </c>
      <c r="F1153" t="s">
        <v>1171</v>
      </c>
      <c r="G1153" t="s">
        <v>1949</v>
      </c>
      <c r="H1153" t="s">
        <v>2794</v>
      </c>
      <c r="I1153" t="s">
        <v>2838</v>
      </c>
      <c r="J1153" t="s">
        <v>3148</v>
      </c>
      <c r="K1153">
        <v>11210</v>
      </c>
      <c r="L1153" t="s">
        <v>3185</v>
      </c>
      <c r="M1153" t="s">
        <v>3189</v>
      </c>
      <c r="N1153" t="s">
        <v>3186</v>
      </c>
      <c r="O1153" t="s">
        <v>3595</v>
      </c>
      <c r="P1153" t="s">
        <v>3613</v>
      </c>
      <c r="Q1153" t="s">
        <v>3638</v>
      </c>
      <c r="S1153" t="s">
        <v>225</v>
      </c>
      <c r="T1153" t="s">
        <v>3660</v>
      </c>
      <c r="W1153" t="s">
        <v>3670</v>
      </c>
      <c r="Y1153">
        <v>1400</v>
      </c>
      <c r="Z1153" t="s">
        <v>3691</v>
      </c>
      <c r="AC1153" t="s">
        <v>4739</v>
      </c>
      <c r="AE1153" t="s">
        <v>5789</v>
      </c>
      <c r="AF1153">
        <v>42</v>
      </c>
      <c r="AG1153" t="s">
        <v>5813</v>
      </c>
      <c r="AI1153">
        <v>23</v>
      </c>
      <c r="AJ1153">
        <v>1</v>
      </c>
      <c r="AK1153">
        <v>2</v>
      </c>
      <c r="AL1153">
        <v>0</v>
      </c>
      <c r="AO1153" t="s">
        <v>5843</v>
      </c>
      <c r="AP1153">
        <v>0</v>
      </c>
      <c r="AV1153">
        <v>6.35</v>
      </c>
      <c r="AW1153" t="s">
        <v>243</v>
      </c>
      <c r="AX1153" t="s">
        <v>6011</v>
      </c>
    </row>
    <row r="1154" spans="1:50">
      <c r="A1154" s="1">
        <f>HYPERLINK("https://lsnyc.legalserver.org/matter/dynamic-profile/view/1908938","19-1908938")</f>
        <v>0</v>
      </c>
      <c r="B1154" t="s">
        <v>104</v>
      </c>
      <c r="C1154" t="s">
        <v>191</v>
      </c>
      <c r="D1154" t="s">
        <v>211</v>
      </c>
      <c r="F1154" t="s">
        <v>1078</v>
      </c>
      <c r="G1154" t="s">
        <v>1950</v>
      </c>
      <c r="H1154" t="s">
        <v>2176</v>
      </c>
      <c r="I1154" t="s">
        <v>2858</v>
      </c>
      <c r="J1154" t="s">
        <v>3148</v>
      </c>
      <c r="K1154">
        <v>11225</v>
      </c>
      <c r="L1154" t="s">
        <v>3185</v>
      </c>
      <c r="N1154" t="s">
        <v>3186</v>
      </c>
      <c r="P1154" t="s">
        <v>3622</v>
      </c>
      <c r="Q1154" t="s">
        <v>3639</v>
      </c>
      <c r="S1154" t="s">
        <v>211</v>
      </c>
      <c r="T1154" t="s">
        <v>3660</v>
      </c>
      <c r="U1154" t="s">
        <v>3184</v>
      </c>
      <c r="W1154" t="s">
        <v>3670</v>
      </c>
      <c r="Y1154">
        <v>600</v>
      </c>
      <c r="Z1154" t="s">
        <v>3691</v>
      </c>
      <c r="AC1154" t="s">
        <v>4740</v>
      </c>
      <c r="AE1154" t="s">
        <v>5790</v>
      </c>
      <c r="AF1154">
        <v>46</v>
      </c>
      <c r="AI1154">
        <v>20</v>
      </c>
      <c r="AJ1154">
        <v>2</v>
      </c>
      <c r="AK1154">
        <v>0</v>
      </c>
      <c r="AL1154">
        <v>61.81</v>
      </c>
      <c r="AO1154" t="s">
        <v>5843</v>
      </c>
      <c r="AP1154">
        <v>10452</v>
      </c>
      <c r="AV1154">
        <v>0</v>
      </c>
      <c r="AX1154" t="s">
        <v>61</v>
      </c>
    </row>
    <row r="1155" spans="1:50">
      <c r="A1155" s="1">
        <f>HYPERLINK("https://lsnyc.legalserver.org/matter/dynamic-profile/view/1904585","19-1904585")</f>
        <v>0</v>
      </c>
      <c r="B1155" t="s">
        <v>188</v>
      </c>
      <c r="C1155" t="s">
        <v>191</v>
      </c>
      <c r="D1155" t="s">
        <v>233</v>
      </c>
      <c r="F1155" t="s">
        <v>1172</v>
      </c>
      <c r="G1155" t="s">
        <v>1951</v>
      </c>
      <c r="H1155" t="s">
        <v>2795</v>
      </c>
      <c r="I1155" t="s">
        <v>2957</v>
      </c>
      <c r="J1155" t="s">
        <v>3146</v>
      </c>
      <c r="K1155">
        <v>10002</v>
      </c>
      <c r="L1155" t="s">
        <v>3185</v>
      </c>
      <c r="M1155" t="s">
        <v>3189</v>
      </c>
      <c r="N1155" t="s">
        <v>3186</v>
      </c>
      <c r="P1155" t="s">
        <v>3615</v>
      </c>
      <c r="Q1155" t="s">
        <v>3636</v>
      </c>
      <c r="T1155" t="s">
        <v>3660</v>
      </c>
      <c r="W1155" t="s">
        <v>3670</v>
      </c>
      <c r="Y1155">
        <v>1035.79</v>
      </c>
      <c r="Z1155" t="s">
        <v>3689</v>
      </c>
      <c r="AA1155" t="s">
        <v>3704</v>
      </c>
      <c r="AC1155" t="s">
        <v>4741</v>
      </c>
      <c r="AE1155" t="s">
        <v>5791</v>
      </c>
      <c r="AF1155">
        <v>0</v>
      </c>
      <c r="AG1155" t="s">
        <v>3263</v>
      </c>
      <c r="AI1155">
        <v>3</v>
      </c>
      <c r="AJ1155">
        <v>1</v>
      </c>
      <c r="AK1155">
        <v>1</v>
      </c>
      <c r="AL1155">
        <v>197.68</v>
      </c>
      <c r="AO1155" t="s">
        <v>5844</v>
      </c>
      <c r="AP1155">
        <v>33428</v>
      </c>
      <c r="AV1155">
        <v>2.35</v>
      </c>
      <c r="AW1155" t="s">
        <v>216</v>
      </c>
      <c r="AX1155" t="s">
        <v>6041</v>
      </c>
    </row>
    <row r="1156" spans="1:50">
      <c r="A1156" s="1">
        <f>HYPERLINK("https://lsnyc.legalserver.org/matter/dynamic-profile/view/1905375","19-1905375")</f>
        <v>0</v>
      </c>
      <c r="B1156" t="s">
        <v>144</v>
      </c>
      <c r="C1156" t="s">
        <v>192</v>
      </c>
      <c r="D1156" t="s">
        <v>210</v>
      </c>
      <c r="E1156" t="s">
        <v>270</v>
      </c>
      <c r="F1156" t="s">
        <v>452</v>
      </c>
      <c r="G1156" t="s">
        <v>1306</v>
      </c>
      <c r="H1156" t="s">
        <v>2796</v>
      </c>
      <c r="I1156" t="s">
        <v>3002</v>
      </c>
      <c r="J1156" t="s">
        <v>3148</v>
      </c>
      <c r="K1156">
        <v>11233</v>
      </c>
      <c r="L1156" t="s">
        <v>3185</v>
      </c>
      <c r="M1156" t="s">
        <v>3189</v>
      </c>
      <c r="N1156" t="s">
        <v>3186</v>
      </c>
      <c r="O1156" t="s">
        <v>3191</v>
      </c>
      <c r="P1156" t="s">
        <v>3257</v>
      </c>
      <c r="Q1156" t="s">
        <v>3634</v>
      </c>
      <c r="R1156" t="s">
        <v>3642</v>
      </c>
      <c r="S1156" t="s">
        <v>210</v>
      </c>
      <c r="T1156" t="s">
        <v>3660</v>
      </c>
      <c r="U1156" t="s">
        <v>3184</v>
      </c>
      <c r="W1156" t="s">
        <v>3670</v>
      </c>
      <c r="X1156" t="s">
        <v>3681</v>
      </c>
      <c r="Y1156">
        <v>550</v>
      </c>
      <c r="Z1156" t="s">
        <v>3691</v>
      </c>
      <c r="AB1156" t="s">
        <v>3712</v>
      </c>
      <c r="AC1156" t="s">
        <v>4742</v>
      </c>
      <c r="AD1156" t="s">
        <v>4872</v>
      </c>
      <c r="AE1156" t="s">
        <v>5792</v>
      </c>
      <c r="AF1156">
        <v>6</v>
      </c>
      <c r="AG1156" t="s">
        <v>5813</v>
      </c>
      <c r="AH1156" t="s">
        <v>3188</v>
      </c>
      <c r="AI1156">
        <v>44</v>
      </c>
      <c r="AJ1156">
        <v>1</v>
      </c>
      <c r="AK1156">
        <v>0</v>
      </c>
      <c r="AL1156">
        <v>72.15000000000001</v>
      </c>
      <c r="AO1156" t="s">
        <v>5844</v>
      </c>
      <c r="AP1156">
        <v>9012</v>
      </c>
      <c r="AV1156">
        <v>1.25</v>
      </c>
      <c r="AW1156" t="s">
        <v>260</v>
      </c>
      <c r="AX1156" t="s">
        <v>158</v>
      </c>
    </row>
    <row r="1157" spans="1:50">
      <c r="A1157" s="1">
        <f>HYPERLINK("https://lsnyc.legalserver.org/matter/dynamic-profile/view/1897018","19-1897018")</f>
        <v>0</v>
      </c>
      <c r="B1157" t="s">
        <v>144</v>
      </c>
      <c r="C1157" t="s">
        <v>192</v>
      </c>
      <c r="D1157" t="s">
        <v>410</v>
      </c>
      <c r="E1157" t="s">
        <v>200</v>
      </c>
      <c r="F1157" t="s">
        <v>1173</v>
      </c>
      <c r="G1157" t="s">
        <v>1577</v>
      </c>
      <c r="H1157" t="s">
        <v>2797</v>
      </c>
      <c r="I1157" t="s">
        <v>2942</v>
      </c>
      <c r="J1157" t="s">
        <v>3148</v>
      </c>
      <c r="K1157">
        <v>11217</v>
      </c>
      <c r="L1157" t="s">
        <v>3185</v>
      </c>
      <c r="M1157" t="s">
        <v>3189</v>
      </c>
      <c r="N1157" t="s">
        <v>3184</v>
      </c>
      <c r="O1157" t="s">
        <v>3191</v>
      </c>
      <c r="P1157" t="s">
        <v>3615</v>
      </c>
      <c r="Q1157" t="s">
        <v>3636</v>
      </c>
      <c r="R1157" t="s">
        <v>3642</v>
      </c>
      <c r="S1157" t="s">
        <v>229</v>
      </c>
      <c r="T1157" t="s">
        <v>3660</v>
      </c>
      <c r="U1157" t="s">
        <v>3184</v>
      </c>
      <c r="W1157" t="s">
        <v>3670</v>
      </c>
      <c r="X1157" t="s">
        <v>3681</v>
      </c>
      <c r="Y1157">
        <v>2019.37</v>
      </c>
      <c r="Z1157" t="s">
        <v>3691</v>
      </c>
      <c r="AA1157" t="s">
        <v>3703</v>
      </c>
      <c r="AB1157" t="s">
        <v>3712</v>
      </c>
      <c r="AC1157" t="s">
        <v>4743</v>
      </c>
      <c r="AE1157" t="s">
        <v>5793</v>
      </c>
      <c r="AF1157">
        <v>363</v>
      </c>
      <c r="AG1157" t="s">
        <v>5813</v>
      </c>
      <c r="AH1157" t="s">
        <v>5829</v>
      </c>
      <c r="AI1157">
        <v>2</v>
      </c>
      <c r="AJ1157">
        <v>1</v>
      </c>
      <c r="AK1157">
        <v>0</v>
      </c>
      <c r="AL1157">
        <v>67.25</v>
      </c>
      <c r="AO1157" t="s">
        <v>5843</v>
      </c>
      <c r="AP1157">
        <v>8400</v>
      </c>
      <c r="AV1157">
        <v>5.45</v>
      </c>
      <c r="AW1157" t="s">
        <v>200</v>
      </c>
      <c r="AX1157" t="s">
        <v>158</v>
      </c>
    </row>
    <row r="1158" spans="1:50">
      <c r="A1158" s="1">
        <f>HYPERLINK("https://lsnyc.legalserver.org/matter/dynamic-profile/view/1897715","19-1897715")</f>
        <v>0</v>
      </c>
      <c r="B1158" t="s">
        <v>151</v>
      </c>
      <c r="C1158" t="s">
        <v>191</v>
      </c>
      <c r="D1158" t="s">
        <v>342</v>
      </c>
      <c r="F1158" t="s">
        <v>630</v>
      </c>
      <c r="G1158" t="s">
        <v>1952</v>
      </c>
      <c r="H1158" t="s">
        <v>2798</v>
      </c>
      <c r="I1158" t="s">
        <v>3062</v>
      </c>
      <c r="J1158" t="s">
        <v>3159</v>
      </c>
      <c r="K1158">
        <v>10306</v>
      </c>
      <c r="L1158" t="s">
        <v>3184</v>
      </c>
      <c r="M1158" t="s">
        <v>3189</v>
      </c>
      <c r="N1158" t="s">
        <v>3186</v>
      </c>
      <c r="O1158" t="s">
        <v>3596</v>
      </c>
      <c r="P1158" t="s">
        <v>3613</v>
      </c>
      <c r="Q1158" t="s">
        <v>3638</v>
      </c>
      <c r="T1158" t="s">
        <v>3660</v>
      </c>
      <c r="U1158" t="s">
        <v>3184</v>
      </c>
      <c r="W1158" t="s">
        <v>3670</v>
      </c>
      <c r="X1158" t="s">
        <v>3681</v>
      </c>
      <c r="Y1158">
        <v>600</v>
      </c>
      <c r="Z1158" t="s">
        <v>3692</v>
      </c>
      <c r="AA1158" t="s">
        <v>3697</v>
      </c>
      <c r="AC1158" t="s">
        <v>4744</v>
      </c>
      <c r="AE1158" t="s">
        <v>5794</v>
      </c>
      <c r="AF1158">
        <v>0</v>
      </c>
      <c r="AG1158" t="s">
        <v>5814</v>
      </c>
      <c r="AH1158" t="s">
        <v>3188</v>
      </c>
      <c r="AI1158">
        <v>-1</v>
      </c>
      <c r="AJ1158">
        <v>1</v>
      </c>
      <c r="AK1158">
        <v>0</v>
      </c>
      <c r="AL1158">
        <v>72.06</v>
      </c>
      <c r="AO1158" t="s">
        <v>5843</v>
      </c>
      <c r="AP1158">
        <v>9000</v>
      </c>
      <c r="AR1158" t="s">
        <v>5935</v>
      </c>
      <c r="AS1158" t="s">
        <v>3632</v>
      </c>
      <c r="AV1158">
        <v>36.51</v>
      </c>
      <c r="AW1158" t="s">
        <v>261</v>
      </c>
      <c r="AX1158" t="s">
        <v>6017</v>
      </c>
    </row>
    <row r="1159" spans="1:50">
      <c r="A1159" s="1">
        <f>HYPERLINK("https://lsnyc.legalserver.org/matter/dynamic-profile/view/1895441","19-1895441")</f>
        <v>0</v>
      </c>
      <c r="B1159" t="s">
        <v>160</v>
      </c>
      <c r="C1159" t="s">
        <v>191</v>
      </c>
      <c r="D1159" t="s">
        <v>374</v>
      </c>
      <c r="F1159" t="s">
        <v>697</v>
      </c>
      <c r="G1159" t="s">
        <v>1953</v>
      </c>
      <c r="H1159" t="s">
        <v>2799</v>
      </c>
      <c r="I1159" t="s">
        <v>3137</v>
      </c>
      <c r="J1159" t="s">
        <v>3159</v>
      </c>
      <c r="K1159">
        <v>10306</v>
      </c>
      <c r="L1159" t="s">
        <v>3184</v>
      </c>
      <c r="N1159" t="s">
        <v>3185</v>
      </c>
      <c r="O1159" t="s">
        <v>3597</v>
      </c>
      <c r="P1159" t="s">
        <v>3610</v>
      </c>
      <c r="Q1159" t="s">
        <v>3638</v>
      </c>
      <c r="T1159" t="s">
        <v>3660</v>
      </c>
      <c r="U1159" t="s">
        <v>3184</v>
      </c>
      <c r="W1159" t="s">
        <v>3670</v>
      </c>
      <c r="X1159" t="s">
        <v>3681</v>
      </c>
      <c r="Y1159">
        <v>1200</v>
      </c>
      <c r="Z1159" t="s">
        <v>3692</v>
      </c>
      <c r="AA1159" t="s">
        <v>3706</v>
      </c>
      <c r="AC1159" t="s">
        <v>4745</v>
      </c>
      <c r="AF1159">
        <v>0</v>
      </c>
      <c r="AI1159">
        <v>2</v>
      </c>
      <c r="AJ1159">
        <v>2</v>
      </c>
      <c r="AK1159">
        <v>0</v>
      </c>
      <c r="AL1159">
        <v>114.96</v>
      </c>
      <c r="AO1159" t="s">
        <v>5843</v>
      </c>
      <c r="AP1159">
        <v>19440</v>
      </c>
      <c r="AV1159">
        <v>15.95</v>
      </c>
      <c r="AW1159" t="s">
        <v>252</v>
      </c>
      <c r="AX1159" t="s">
        <v>160</v>
      </c>
    </row>
    <row r="1160" spans="1:50">
      <c r="A1160" s="1">
        <f>HYPERLINK("https://lsnyc.legalserver.org/matter/dynamic-profile/view/1903865","19-1903865")</f>
        <v>0</v>
      </c>
      <c r="B1160" t="s">
        <v>144</v>
      </c>
      <c r="C1160" t="s">
        <v>191</v>
      </c>
      <c r="D1160" t="s">
        <v>194</v>
      </c>
      <c r="F1160" t="s">
        <v>983</v>
      </c>
      <c r="G1160" t="s">
        <v>1224</v>
      </c>
      <c r="H1160" t="s">
        <v>2800</v>
      </c>
      <c r="I1160" t="s">
        <v>2894</v>
      </c>
      <c r="J1160" t="s">
        <v>3148</v>
      </c>
      <c r="K1160">
        <v>11233</v>
      </c>
      <c r="L1160" t="s">
        <v>3185</v>
      </c>
      <c r="M1160" t="s">
        <v>3190</v>
      </c>
      <c r="N1160" t="s">
        <v>3186</v>
      </c>
      <c r="O1160" t="s">
        <v>3598</v>
      </c>
      <c r="P1160" t="s">
        <v>3610</v>
      </c>
      <c r="Q1160" t="s">
        <v>3636</v>
      </c>
      <c r="S1160" t="s">
        <v>194</v>
      </c>
      <c r="T1160" t="s">
        <v>3660</v>
      </c>
      <c r="U1160" t="s">
        <v>3184</v>
      </c>
      <c r="W1160" t="s">
        <v>3670</v>
      </c>
      <c r="X1160" t="s">
        <v>3683</v>
      </c>
      <c r="Y1160">
        <v>1050</v>
      </c>
      <c r="Z1160" t="s">
        <v>3691</v>
      </c>
      <c r="AA1160" t="s">
        <v>3697</v>
      </c>
      <c r="AC1160" t="s">
        <v>4746</v>
      </c>
      <c r="AD1160" t="s">
        <v>4873</v>
      </c>
      <c r="AE1160" t="s">
        <v>5795</v>
      </c>
      <c r="AF1160">
        <v>8</v>
      </c>
      <c r="AG1160" t="s">
        <v>5813</v>
      </c>
      <c r="AH1160" t="s">
        <v>3188</v>
      </c>
      <c r="AI1160">
        <v>17</v>
      </c>
      <c r="AJ1160">
        <v>2</v>
      </c>
      <c r="AK1160">
        <v>2</v>
      </c>
      <c r="AL1160">
        <v>19.69</v>
      </c>
      <c r="AO1160" t="s">
        <v>5843</v>
      </c>
      <c r="AP1160">
        <v>5070</v>
      </c>
      <c r="AV1160">
        <v>5.75</v>
      </c>
      <c r="AW1160" t="s">
        <v>291</v>
      </c>
      <c r="AX1160" t="s">
        <v>158</v>
      </c>
    </row>
    <row r="1161" spans="1:50">
      <c r="A1161" s="1">
        <f>HYPERLINK("https://lsnyc.legalserver.org/matter/dynamic-profile/view/1904512","19-1904512")</f>
        <v>0</v>
      </c>
      <c r="B1161" t="s">
        <v>144</v>
      </c>
      <c r="C1161" t="s">
        <v>191</v>
      </c>
      <c r="D1161" t="s">
        <v>233</v>
      </c>
      <c r="F1161" t="s">
        <v>1174</v>
      </c>
      <c r="G1161" t="s">
        <v>1954</v>
      </c>
      <c r="H1161" t="s">
        <v>2174</v>
      </c>
      <c r="I1161">
        <v>9</v>
      </c>
      <c r="J1161" t="s">
        <v>3148</v>
      </c>
      <c r="K1161">
        <v>11212</v>
      </c>
      <c r="L1161" t="s">
        <v>3185</v>
      </c>
      <c r="M1161" t="s">
        <v>3189</v>
      </c>
      <c r="N1161" t="s">
        <v>3186</v>
      </c>
      <c r="O1161" t="s">
        <v>3599</v>
      </c>
      <c r="P1161" t="s">
        <v>3610</v>
      </c>
      <c r="Q1161" t="s">
        <v>3638</v>
      </c>
      <c r="S1161" t="s">
        <v>229</v>
      </c>
      <c r="T1161" t="s">
        <v>3660</v>
      </c>
      <c r="U1161" t="s">
        <v>3184</v>
      </c>
      <c r="W1161" t="s">
        <v>3670</v>
      </c>
      <c r="X1161" t="s">
        <v>3681</v>
      </c>
      <c r="Y1161">
        <v>1300</v>
      </c>
      <c r="Z1161" t="s">
        <v>3691</v>
      </c>
      <c r="AA1161" t="s">
        <v>3707</v>
      </c>
      <c r="AC1161" t="s">
        <v>4747</v>
      </c>
      <c r="AD1161" t="s">
        <v>4874</v>
      </c>
      <c r="AE1161" t="s">
        <v>5796</v>
      </c>
      <c r="AF1161">
        <v>23</v>
      </c>
      <c r="AG1161" t="s">
        <v>5813</v>
      </c>
      <c r="AH1161" t="s">
        <v>3188</v>
      </c>
      <c r="AI1161">
        <v>1</v>
      </c>
      <c r="AJ1161">
        <v>1</v>
      </c>
      <c r="AK1161">
        <v>2</v>
      </c>
      <c r="AL1161">
        <v>22.5</v>
      </c>
      <c r="AO1161" t="s">
        <v>5843</v>
      </c>
      <c r="AP1161">
        <v>4800</v>
      </c>
      <c r="AV1161">
        <v>4</v>
      </c>
      <c r="AW1161" t="s">
        <v>199</v>
      </c>
      <c r="AX1161" t="s">
        <v>158</v>
      </c>
    </row>
    <row r="1162" spans="1:50">
      <c r="A1162" s="1">
        <f>HYPERLINK("https://lsnyc.legalserver.org/matter/dynamic-profile/view/1905013","19-1905013")</f>
        <v>0</v>
      </c>
      <c r="B1162" t="s">
        <v>144</v>
      </c>
      <c r="C1162" t="s">
        <v>191</v>
      </c>
      <c r="D1162" t="s">
        <v>218</v>
      </c>
      <c r="F1162" t="s">
        <v>1175</v>
      </c>
      <c r="G1162" t="s">
        <v>1955</v>
      </c>
      <c r="H1162" t="s">
        <v>2801</v>
      </c>
      <c r="I1162" t="s">
        <v>2825</v>
      </c>
      <c r="J1162" t="s">
        <v>3148</v>
      </c>
      <c r="K1162">
        <v>11212</v>
      </c>
      <c r="L1162" t="s">
        <v>3185</v>
      </c>
      <c r="M1162" t="s">
        <v>3189</v>
      </c>
      <c r="N1162" t="s">
        <v>3186</v>
      </c>
      <c r="O1162" t="s">
        <v>3600</v>
      </c>
      <c r="P1162" t="s">
        <v>3613</v>
      </c>
      <c r="Q1162" t="s">
        <v>3634</v>
      </c>
      <c r="S1162" t="s">
        <v>229</v>
      </c>
      <c r="T1162" t="s">
        <v>3660</v>
      </c>
      <c r="U1162" t="s">
        <v>3184</v>
      </c>
      <c r="W1162" t="s">
        <v>3670</v>
      </c>
      <c r="Y1162">
        <v>790</v>
      </c>
      <c r="Z1162" t="s">
        <v>3691</v>
      </c>
      <c r="AA1162" t="s">
        <v>3702</v>
      </c>
      <c r="AC1162" t="s">
        <v>4748</v>
      </c>
      <c r="AE1162" t="s">
        <v>5797</v>
      </c>
      <c r="AF1162">
        <v>2</v>
      </c>
      <c r="AG1162" t="s">
        <v>5814</v>
      </c>
      <c r="AH1162" t="s">
        <v>3188</v>
      </c>
      <c r="AI1162">
        <v>5</v>
      </c>
      <c r="AJ1162">
        <v>1</v>
      </c>
      <c r="AK1162">
        <v>0</v>
      </c>
      <c r="AL1162">
        <v>36.12</v>
      </c>
      <c r="AO1162" t="s">
        <v>5843</v>
      </c>
      <c r="AP1162">
        <v>4512</v>
      </c>
      <c r="AV1162">
        <v>8.25</v>
      </c>
      <c r="AW1162" t="s">
        <v>195</v>
      </c>
      <c r="AX1162" t="s">
        <v>6014</v>
      </c>
    </row>
    <row r="1163" spans="1:50">
      <c r="A1163" s="1">
        <f>HYPERLINK("https://lsnyc.legalserver.org/matter/dynamic-profile/view/1903001","19-1903001")</f>
        <v>0</v>
      </c>
      <c r="B1163" t="s">
        <v>144</v>
      </c>
      <c r="C1163" t="s">
        <v>191</v>
      </c>
      <c r="D1163" t="s">
        <v>205</v>
      </c>
      <c r="F1163" t="s">
        <v>1176</v>
      </c>
      <c r="G1163" t="s">
        <v>1464</v>
      </c>
      <c r="H1163" t="s">
        <v>2802</v>
      </c>
      <c r="I1163" t="s">
        <v>2904</v>
      </c>
      <c r="J1163" t="s">
        <v>3148</v>
      </c>
      <c r="K1163">
        <v>11212</v>
      </c>
      <c r="L1163" t="s">
        <v>3185</v>
      </c>
      <c r="M1163" t="s">
        <v>3189</v>
      </c>
      <c r="N1163" t="s">
        <v>3186</v>
      </c>
      <c r="O1163" t="s">
        <v>3601</v>
      </c>
      <c r="P1163" t="s">
        <v>3610</v>
      </c>
      <c r="Q1163" t="s">
        <v>3638</v>
      </c>
      <c r="S1163" t="s">
        <v>229</v>
      </c>
      <c r="T1163" t="s">
        <v>3660</v>
      </c>
      <c r="U1163" t="s">
        <v>3184</v>
      </c>
      <c r="W1163" t="s">
        <v>3670</v>
      </c>
      <c r="Y1163">
        <v>1534</v>
      </c>
      <c r="Z1163" t="s">
        <v>3691</v>
      </c>
      <c r="AA1163" t="s">
        <v>3696</v>
      </c>
      <c r="AC1163" t="s">
        <v>4749</v>
      </c>
      <c r="AD1163">
        <v>9407455</v>
      </c>
      <c r="AE1163" t="s">
        <v>5798</v>
      </c>
      <c r="AF1163">
        <v>21</v>
      </c>
      <c r="AG1163" t="s">
        <v>5813</v>
      </c>
      <c r="AH1163" t="s">
        <v>5825</v>
      </c>
      <c r="AI1163">
        <v>9</v>
      </c>
      <c r="AJ1163">
        <v>1</v>
      </c>
      <c r="AK1163">
        <v>2</v>
      </c>
      <c r="AL1163">
        <v>107.75</v>
      </c>
      <c r="AO1163" t="s">
        <v>5843</v>
      </c>
      <c r="AP1163">
        <v>22984.08</v>
      </c>
      <c r="AV1163">
        <v>32.05</v>
      </c>
      <c r="AW1163" t="s">
        <v>211</v>
      </c>
      <c r="AX1163" t="s">
        <v>82</v>
      </c>
    </row>
    <row r="1164" spans="1:50">
      <c r="A1164" s="1">
        <f>HYPERLINK("https://lsnyc.legalserver.org/matter/dynamic-profile/view/1906058","19-1906058")</f>
        <v>0</v>
      </c>
      <c r="B1164" t="s">
        <v>144</v>
      </c>
      <c r="C1164" t="s">
        <v>191</v>
      </c>
      <c r="D1164" t="s">
        <v>208</v>
      </c>
      <c r="F1164" t="s">
        <v>1177</v>
      </c>
      <c r="G1164" t="s">
        <v>1956</v>
      </c>
      <c r="H1164" t="s">
        <v>2803</v>
      </c>
      <c r="I1164" t="s">
        <v>3138</v>
      </c>
      <c r="J1164" t="s">
        <v>3148</v>
      </c>
      <c r="K1164">
        <v>11233</v>
      </c>
      <c r="L1164" t="s">
        <v>3185</v>
      </c>
      <c r="M1164" t="s">
        <v>3189</v>
      </c>
      <c r="N1164" t="s">
        <v>3186</v>
      </c>
      <c r="O1164" t="s">
        <v>3602</v>
      </c>
      <c r="P1164" t="s">
        <v>3610</v>
      </c>
      <c r="Q1164" t="s">
        <v>3638</v>
      </c>
      <c r="S1164" t="s">
        <v>229</v>
      </c>
      <c r="T1164" t="s">
        <v>3660</v>
      </c>
      <c r="U1164" t="s">
        <v>3184</v>
      </c>
      <c r="W1164" t="s">
        <v>3670</v>
      </c>
      <c r="X1164" t="s">
        <v>3682</v>
      </c>
      <c r="Y1164">
        <v>1100.06</v>
      </c>
      <c r="Z1164" t="s">
        <v>3691</v>
      </c>
      <c r="AA1164" t="s">
        <v>3702</v>
      </c>
      <c r="AC1164" t="s">
        <v>4750</v>
      </c>
      <c r="AD1164" t="s">
        <v>3263</v>
      </c>
      <c r="AE1164" t="s">
        <v>5799</v>
      </c>
      <c r="AF1164">
        <v>43</v>
      </c>
      <c r="AG1164" t="s">
        <v>5813</v>
      </c>
      <c r="AH1164" t="s">
        <v>3188</v>
      </c>
      <c r="AI1164">
        <v>45</v>
      </c>
      <c r="AJ1164">
        <v>3</v>
      </c>
      <c r="AK1164">
        <v>0</v>
      </c>
      <c r="AL1164">
        <v>110.15</v>
      </c>
      <c r="AO1164" t="s">
        <v>5843</v>
      </c>
      <c r="AP1164">
        <v>23496</v>
      </c>
      <c r="AV1164">
        <v>9.050000000000001</v>
      </c>
      <c r="AW1164" t="s">
        <v>291</v>
      </c>
      <c r="AX1164" t="s">
        <v>158</v>
      </c>
    </row>
    <row r="1165" spans="1:50">
      <c r="A1165" s="1">
        <f>HYPERLINK("https://lsnyc.legalserver.org/matter/dynamic-profile/view/1904920","19-1904920")</f>
        <v>0</v>
      </c>
      <c r="B1165" t="s">
        <v>144</v>
      </c>
      <c r="C1165" t="s">
        <v>191</v>
      </c>
      <c r="D1165" t="s">
        <v>218</v>
      </c>
      <c r="F1165" t="s">
        <v>1087</v>
      </c>
      <c r="G1165" t="s">
        <v>1327</v>
      </c>
      <c r="H1165" t="s">
        <v>2804</v>
      </c>
      <c r="I1165" t="s">
        <v>3139</v>
      </c>
      <c r="J1165" t="s">
        <v>3148</v>
      </c>
      <c r="K1165">
        <v>11233</v>
      </c>
      <c r="L1165" t="s">
        <v>3185</v>
      </c>
      <c r="M1165" t="s">
        <v>3189</v>
      </c>
      <c r="N1165" t="s">
        <v>3186</v>
      </c>
      <c r="O1165" t="s">
        <v>3603</v>
      </c>
      <c r="P1165" t="s">
        <v>3610</v>
      </c>
      <c r="Q1165" t="s">
        <v>3634</v>
      </c>
      <c r="S1165" t="s">
        <v>229</v>
      </c>
      <c r="T1165" t="s">
        <v>3660</v>
      </c>
      <c r="U1165" t="s">
        <v>3184</v>
      </c>
      <c r="W1165" t="s">
        <v>3670</v>
      </c>
      <c r="X1165" t="s">
        <v>3681</v>
      </c>
      <c r="Y1165">
        <v>2100</v>
      </c>
      <c r="Z1165" t="s">
        <v>3691</v>
      </c>
      <c r="AA1165" t="s">
        <v>3707</v>
      </c>
      <c r="AC1165" t="s">
        <v>4751</v>
      </c>
      <c r="AD1165" t="s">
        <v>4762</v>
      </c>
      <c r="AE1165" t="s">
        <v>5800</v>
      </c>
      <c r="AF1165">
        <v>3</v>
      </c>
      <c r="AG1165" t="s">
        <v>5814</v>
      </c>
      <c r="AH1165" t="s">
        <v>3632</v>
      </c>
      <c r="AI1165">
        <v>1</v>
      </c>
      <c r="AJ1165">
        <v>1</v>
      </c>
      <c r="AK1165">
        <v>1</v>
      </c>
      <c r="AL1165">
        <v>120.64</v>
      </c>
      <c r="AO1165" t="s">
        <v>5843</v>
      </c>
      <c r="AP1165">
        <v>20400</v>
      </c>
      <c r="AV1165">
        <v>5.25</v>
      </c>
      <c r="AW1165" t="s">
        <v>281</v>
      </c>
      <c r="AX1165" t="s">
        <v>6018</v>
      </c>
    </row>
    <row r="1166" spans="1:50">
      <c r="A1166" s="1">
        <f>HYPERLINK("https://lsnyc.legalserver.org/matter/dynamic-profile/view/1901745","19-1901745")</f>
        <v>0</v>
      </c>
      <c r="B1166" t="s">
        <v>144</v>
      </c>
      <c r="C1166" t="s">
        <v>191</v>
      </c>
      <c r="D1166" t="s">
        <v>267</v>
      </c>
      <c r="F1166" t="s">
        <v>1178</v>
      </c>
      <c r="G1166" t="s">
        <v>1957</v>
      </c>
      <c r="H1166" t="s">
        <v>2805</v>
      </c>
      <c r="I1166" t="s">
        <v>2894</v>
      </c>
      <c r="J1166" t="s">
        <v>3148</v>
      </c>
      <c r="K1166">
        <v>11233</v>
      </c>
      <c r="L1166" t="s">
        <v>3185</v>
      </c>
      <c r="M1166" t="s">
        <v>3189</v>
      </c>
      <c r="N1166" t="s">
        <v>3186</v>
      </c>
      <c r="O1166" t="s">
        <v>3604</v>
      </c>
      <c r="P1166" t="s">
        <v>3610</v>
      </c>
      <c r="Q1166" t="s">
        <v>3638</v>
      </c>
      <c r="S1166" t="s">
        <v>229</v>
      </c>
      <c r="T1166" t="s">
        <v>3660</v>
      </c>
      <c r="U1166" t="s">
        <v>3184</v>
      </c>
      <c r="W1166" t="s">
        <v>3670</v>
      </c>
      <c r="X1166" t="s">
        <v>3681</v>
      </c>
      <c r="Y1166">
        <v>1032</v>
      </c>
      <c r="Z1166" t="s">
        <v>3691</v>
      </c>
      <c r="AC1166" t="s">
        <v>4752</v>
      </c>
      <c r="AD1166" t="s">
        <v>3218</v>
      </c>
      <c r="AE1166" t="s">
        <v>5801</v>
      </c>
      <c r="AF1166">
        <v>6</v>
      </c>
      <c r="AG1166" t="s">
        <v>5813</v>
      </c>
      <c r="AH1166" t="s">
        <v>3188</v>
      </c>
      <c r="AI1166">
        <v>3</v>
      </c>
      <c r="AJ1166">
        <v>1</v>
      </c>
      <c r="AK1166">
        <v>0</v>
      </c>
      <c r="AL1166">
        <v>134.51</v>
      </c>
      <c r="AO1166" t="s">
        <v>5843</v>
      </c>
      <c r="AP1166">
        <v>16800</v>
      </c>
      <c r="AV1166">
        <v>14.25</v>
      </c>
      <c r="AW1166" t="s">
        <v>199</v>
      </c>
      <c r="AX1166" t="s">
        <v>6012</v>
      </c>
    </row>
    <row r="1167" spans="1:50">
      <c r="A1167" s="1">
        <f>HYPERLINK("https://lsnyc.legalserver.org/matter/dynamic-profile/view/1908579","19-1908579")</f>
        <v>0</v>
      </c>
      <c r="B1167" t="s">
        <v>144</v>
      </c>
      <c r="C1167" t="s">
        <v>191</v>
      </c>
      <c r="D1167" t="s">
        <v>216</v>
      </c>
      <c r="F1167" t="s">
        <v>1179</v>
      </c>
      <c r="G1167" t="s">
        <v>1664</v>
      </c>
      <c r="H1167" t="s">
        <v>2806</v>
      </c>
      <c r="I1167" t="s">
        <v>3140</v>
      </c>
      <c r="J1167" t="s">
        <v>3148</v>
      </c>
      <c r="K1167">
        <v>11207</v>
      </c>
      <c r="L1167" t="s">
        <v>3185</v>
      </c>
      <c r="M1167" t="s">
        <v>3189</v>
      </c>
      <c r="N1167" t="s">
        <v>3186</v>
      </c>
      <c r="O1167" t="s">
        <v>3605</v>
      </c>
      <c r="P1167" t="s">
        <v>3610</v>
      </c>
      <c r="Q1167" t="s">
        <v>3637</v>
      </c>
      <c r="T1167" t="s">
        <v>3660</v>
      </c>
      <c r="W1167" t="s">
        <v>3670</v>
      </c>
      <c r="Y1167">
        <v>710</v>
      </c>
      <c r="Z1167" t="s">
        <v>3691</v>
      </c>
      <c r="AA1167" t="s">
        <v>3698</v>
      </c>
      <c r="AC1167" t="s">
        <v>4753</v>
      </c>
      <c r="AE1167" t="s">
        <v>5802</v>
      </c>
      <c r="AF1167">
        <v>0</v>
      </c>
      <c r="AI1167">
        <v>0</v>
      </c>
      <c r="AJ1167">
        <v>1</v>
      </c>
      <c r="AK1167">
        <v>0</v>
      </c>
      <c r="AL1167">
        <v>0</v>
      </c>
      <c r="AO1167" t="s">
        <v>5843</v>
      </c>
      <c r="AP1167">
        <v>0</v>
      </c>
      <c r="AV1167">
        <v>1.5</v>
      </c>
      <c r="AW1167" t="s">
        <v>280</v>
      </c>
      <c r="AX1167" t="s">
        <v>6032</v>
      </c>
    </row>
    <row r="1168" spans="1:50">
      <c r="A1168" s="1">
        <f>HYPERLINK("https://lsnyc.legalserver.org/matter/dynamic-profile/view/1908571","19-1908571")</f>
        <v>0</v>
      </c>
      <c r="B1168" t="s">
        <v>144</v>
      </c>
      <c r="C1168" t="s">
        <v>191</v>
      </c>
      <c r="D1168" t="s">
        <v>216</v>
      </c>
      <c r="F1168" t="s">
        <v>1180</v>
      </c>
      <c r="G1168" t="s">
        <v>1958</v>
      </c>
      <c r="H1168" t="s">
        <v>2807</v>
      </c>
      <c r="I1168" t="s">
        <v>3141</v>
      </c>
      <c r="J1168" t="s">
        <v>3148</v>
      </c>
      <c r="K1168">
        <v>11208</v>
      </c>
      <c r="L1168" t="s">
        <v>3185</v>
      </c>
      <c r="M1168" t="s">
        <v>3189</v>
      </c>
      <c r="N1168" t="s">
        <v>3186</v>
      </c>
      <c r="O1168" t="s">
        <v>3606</v>
      </c>
      <c r="P1168" t="s">
        <v>3613</v>
      </c>
      <c r="Q1168" t="s">
        <v>3634</v>
      </c>
      <c r="T1168" t="s">
        <v>3660</v>
      </c>
      <c r="W1168" t="s">
        <v>3670</v>
      </c>
      <c r="Y1168">
        <v>2199.98</v>
      </c>
      <c r="Z1168" t="s">
        <v>3691</v>
      </c>
      <c r="AA1168" t="s">
        <v>3698</v>
      </c>
      <c r="AC1168" t="s">
        <v>4754</v>
      </c>
      <c r="AD1168" t="s">
        <v>4875</v>
      </c>
      <c r="AE1168" t="s">
        <v>5803</v>
      </c>
      <c r="AF1168">
        <v>0</v>
      </c>
      <c r="AI1168">
        <v>0</v>
      </c>
      <c r="AJ1168">
        <v>1</v>
      </c>
      <c r="AK1168">
        <v>3</v>
      </c>
      <c r="AL1168">
        <v>68.66</v>
      </c>
      <c r="AO1168" t="s">
        <v>5843</v>
      </c>
      <c r="AP1168">
        <v>17680</v>
      </c>
      <c r="AV1168">
        <v>1.25</v>
      </c>
      <c r="AW1168" t="s">
        <v>216</v>
      </c>
      <c r="AX1168" t="s">
        <v>6032</v>
      </c>
    </row>
    <row r="1169" spans="1:50">
      <c r="A1169" s="1">
        <f>HYPERLINK("https://lsnyc.legalserver.org/matter/dynamic-profile/view/1908622","19-1908622")</f>
        <v>0</v>
      </c>
      <c r="B1169" t="s">
        <v>144</v>
      </c>
      <c r="C1169" t="s">
        <v>191</v>
      </c>
      <c r="D1169" t="s">
        <v>231</v>
      </c>
      <c r="F1169" t="s">
        <v>816</v>
      </c>
      <c r="G1169" t="s">
        <v>1207</v>
      </c>
      <c r="H1169" t="s">
        <v>2808</v>
      </c>
      <c r="I1169" t="s">
        <v>2904</v>
      </c>
      <c r="J1169" t="s">
        <v>3148</v>
      </c>
      <c r="K1169">
        <v>11208</v>
      </c>
      <c r="L1169" t="s">
        <v>3185</v>
      </c>
      <c r="M1169" t="s">
        <v>3189</v>
      </c>
      <c r="N1169" t="s">
        <v>3186</v>
      </c>
      <c r="O1169" t="s">
        <v>3607</v>
      </c>
      <c r="P1169" t="s">
        <v>3613</v>
      </c>
      <c r="S1169" t="s">
        <v>212</v>
      </c>
      <c r="T1169" t="s">
        <v>3660</v>
      </c>
      <c r="U1169" t="s">
        <v>3184</v>
      </c>
      <c r="W1169" t="s">
        <v>3670</v>
      </c>
      <c r="X1169" t="s">
        <v>3681</v>
      </c>
      <c r="Y1169">
        <v>0</v>
      </c>
      <c r="Z1169" t="s">
        <v>3691</v>
      </c>
      <c r="AA1169" t="s">
        <v>3632</v>
      </c>
      <c r="AC1169" t="s">
        <v>4535</v>
      </c>
      <c r="AD1169" t="s">
        <v>3188</v>
      </c>
      <c r="AE1169" t="s">
        <v>5804</v>
      </c>
      <c r="AF1169">
        <v>24</v>
      </c>
      <c r="AH1169" t="s">
        <v>3188</v>
      </c>
      <c r="AI1169">
        <v>0</v>
      </c>
      <c r="AJ1169">
        <v>2</v>
      </c>
      <c r="AK1169">
        <v>0</v>
      </c>
      <c r="AL1169">
        <v>201.06</v>
      </c>
      <c r="AO1169" t="s">
        <v>5843</v>
      </c>
      <c r="AP1169">
        <v>34000</v>
      </c>
      <c r="AV1169">
        <v>3.95</v>
      </c>
      <c r="AW1169" t="s">
        <v>291</v>
      </c>
      <c r="AX1169" t="s">
        <v>158</v>
      </c>
    </row>
    <row r="1170" spans="1:50">
      <c r="A1170" s="1">
        <f>HYPERLINK("https://lsnyc.legalserver.org/matter/dynamic-profile/view/1908841","19-1908841")</f>
        <v>0</v>
      </c>
      <c r="B1170" t="s">
        <v>144</v>
      </c>
      <c r="C1170" t="s">
        <v>191</v>
      </c>
      <c r="D1170" t="s">
        <v>280</v>
      </c>
      <c r="F1170" t="s">
        <v>745</v>
      </c>
      <c r="G1170" t="s">
        <v>1683</v>
      </c>
      <c r="H1170" t="s">
        <v>2809</v>
      </c>
      <c r="I1170" t="s">
        <v>3142</v>
      </c>
      <c r="J1170" t="s">
        <v>3148</v>
      </c>
      <c r="K1170">
        <v>11239</v>
      </c>
      <c r="L1170" t="s">
        <v>3185</v>
      </c>
      <c r="M1170" t="s">
        <v>3190</v>
      </c>
      <c r="N1170" t="s">
        <v>3186</v>
      </c>
      <c r="O1170" t="s">
        <v>3608</v>
      </c>
      <c r="P1170" t="s">
        <v>3610</v>
      </c>
      <c r="T1170" t="s">
        <v>3660</v>
      </c>
      <c r="U1170" t="s">
        <v>3184</v>
      </c>
      <c r="W1170" t="s">
        <v>3670</v>
      </c>
      <c r="X1170" t="s">
        <v>3681</v>
      </c>
      <c r="Y1170">
        <v>1896</v>
      </c>
      <c r="Z1170" t="s">
        <v>3691</v>
      </c>
      <c r="AA1170" t="s">
        <v>3698</v>
      </c>
      <c r="AC1170" t="s">
        <v>4755</v>
      </c>
      <c r="AD1170" t="s">
        <v>4876</v>
      </c>
      <c r="AE1170" t="s">
        <v>5805</v>
      </c>
      <c r="AF1170">
        <v>1463</v>
      </c>
      <c r="AG1170" t="s">
        <v>5816</v>
      </c>
      <c r="AH1170" t="s">
        <v>5830</v>
      </c>
      <c r="AI1170">
        <v>0</v>
      </c>
      <c r="AJ1170">
        <v>1</v>
      </c>
      <c r="AK1170">
        <v>1</v>
      </c>
      <c r="AL1170">
        <v>13.7</v>
      </c>
      <c r="AO1170" t="s">
        <v>5843</v>
      </c>
      <c r="AP1170">
        <v>2316</v>
      </c>
      <c r="AV1170">
        <v>2.25</v>
      </c>
      <c r="AW1170" t="s">
        <v>199</v>
      </c>
      <c r="AX1170" t="s">
        <v>6033</v>
      </c>
    </row>
    <row r="1171" spans="1:50">
      <c r="A1171" s="1">
        <f>HYPERLINK("https://lsnyc.legalserver.org/matter/dynamic-profile/view/1907572","19-1907572")</f>
        <v>0</v>
      </c>
      <c r="B1171" t="s">
        <v>50</v>
      </c>
      <c r="C1171" t="s">
        <v>191</v>
      </c>
      <c r="D1171" t="s">
        <v>206</v>
      </c>
      <c r="F1171" t="s">
        <v>1181</v>
      </c>
      <c r="G1171" t="s">
        <v>522</v>
      </c>
      <c r="H1171" t="s">
        <v>2810</v>
      </c>
      <c r="J1171" t="s">
        <v>3164</v>
      </c>
      <c r="K1171">
        <v>11104</v>
      </c>
      <c r="L1171" t="s">
        <v>3186</v>
      </c>
      <c r="N1171" t="s">
        <v>3186</v>
      </c>
      <c r="Q1171" t="s">
        <v>3634</v>
      </c>
      <c r="T1171" t="s">
        <v>3660</v>
      </c>
      <c r="U1171" t="s">
        <v>3184</v>
      </c>
      <c r="W1171" t="s">
        <v>3670</v>
      </c>
      <c r="X1171" t="s">
        <v>3681</v>
      </c>
      <c r="Y1171">
        <v>513.9299999999999</v>
      </c>
      <c r="Z1171" t="s">
        <v>3688</v>
      </c>
      <c r="AA1171" t="s">
        <v>3700</v>
      </c>
      <c r="AF1171">
        <v>8</v>
      </c>
      <c r="AH1171" t="s">
        <v>5826</v>
      </c>
      <c r="AI1171">
        <v>0</v>
      </c>
      <c r="AJ1171">
        <v>1</v>
      </c>
      <c r="AK1171">
        <v>0</v>
      </c>
      <c r="AL1171">
        <v>0</v>
      </c>
      <c r="AO1171" t="s">
        <v>5853</v>
      </c>
      <c r="AP1171">
        <v>0</v>
      </c>
      <c r="AV1171">
        <v>0.2</v>
      </c>
      <c r="AW1171" t="s">
        <v>206</v>
      </c>
      <c r="AX1171" t="s">
        <v>50</v>
      </c>
    </row>
    <row r="1172" spans="1:50">
      <c r="A1172" s="1">
        <f>HYPERLINK("https://lsnyc.legalserver.org/matter/dynamic-profile/view/1868897","18-1868897")</f>
        <v>0</v>
      </c>
      <c r="B1172" t="s">
        <v>178</v>
      </c>
      <c r="C1172" t="s">
        <v>191</v>
      </c>
      <c r="D1172" t="s">
        <v>359</v>
      </c>
      <c r="F1172" t="s">
        <v>1035</v>
      </c>
      <c r="G1172" t="s">
        <v>1959</v>
      </c>
      <c r="H1172" t="s">
        <v>2811</v>
      </c>
      <c r="J1172" t="s">
        <v>507</v>
      </c>
      <c r="K1172">
        <v>23669</v>
      </c>
      <c r="L1172" t="s">
        <v>3186</v>
      </c>
      <c r="N1172" t="s">
        <v>3186</v>
      </c>
      <c r="T1172" t="s">
        <v>3660</v>
      </c>
      <c r="W1172" t="s">
        <v>3670</v>
      </c>
      <c r="Y1172">
        <v>0</v>
      </c>
      <c r="Z1172" t="s">
        <v>3689</v>
      </c>
      <c r="AC1172" t="s">
        <v>4756</v>
      </c>
      <c r="AE1172" t="s">
        <v>5806</v>
      </c>
      <c r="AF1172">
        <v>0</v>
      </c>
      <c r="AI1172">
        <v>0</v>
      </c>
      <c r="AJ1172">
        <v>1</v>
      </c>
      <c r="AK1172">
        <v>0</v>
      </c>
      <c r="AL1172">
        <v>123.86</v>
      </c>
      <c r="AO1172" t="s">
        <v>5843</v>
      </c>
      <c r="AP1172">
        <v>15036</v>
      </c>
      <c r="AV1172">
        <v>15.1</v>
      </c>
      <c r="AW1172" t="s">
        <v>225</v>
      </c>
      <c r="AX1172" t="s">
        <v>6035</v>
      </c>
    </row>
    <row r="1173" spans="1:50">
      <c r="A1173" s="1">
        <f>HYPERLINK("https://lsnyc.legalserver.org/matter/dynamic-profile/view/1903768","19-1903768")</f>
        <v>0</v>
      </c>
      <c r="B1173" t="s">
        <v>189</v>
      </c>
      <c r="C1173" t="s">
        <v>191</v>
      </c>
      <c r="D1173" t="s">
        <v>285</v>
      </c>
      <c r="F1173" t="s">
        <v>1182</v>
      </c>
      <c r="G1173" t="s">
        <v>1195</v>
      </c>
      <c r="H1173" t="s">
        <v>2812</v>
      </c>
      <c r="I1173" t="s">
        <v>2905</v>
      </c>
      <c r="J1173" t="s">
        <v>3148</v>
      </c>
      <c r="K1173">
        <v>11207</v>
      </c>
      <c r="L1173" t="s">
        <v>3185</v>
      </c>
      <c r="M1173" t="s">
        <v>3190</v>
      </c>
      <c r="N1173" t="s">
        <v>3186</v>
      </c>
      <c r="O1173" t="s">
        <v>3257</v>
      </c>
      <c r="P1173" t="s">
        <v>3257</v>
      </c>
      <c r="Q1173" t="s">
        <v>3636</v>
      </c>
      <c r="S1173" t="s">
        <v>285</v>
      </c>
      <c r="T1173" t="s">
        <v>3660</v>
      </c>
      <c r="U1173" t="s">
        <v>3184</v>
      </c>
      <c r="W1173" t="s">
        <v>3670</v>
      </c>
      <c r="X1173" t="s">
        <v>3681</v>
      </c>
      <c r="Y1173">
        <v>1515</v>
      </c>
      <c r="Z1173" t="s">
        <v>3691</v>
      </c>
      <c r="AA1173" t="s">
        <v>3696</v>
      </c>
      <c r="AC1173" t="s">
        <v>4757</v>
      </c>
      <c r="AD1173" t="s">
        <v>4877</v>
      </c>
      <c r="AE1173" t="s">
        <v>5807</v>
      </c>
      <c r="AF1173">
        <v>4</v>
      </c>
      <c r="AG1173" t="s">
        <v>5814</v>
      </c>
      <c r="AH1173" t="s">
        <v>5829</v>
      </c>
      <c r="AI1173">
        <v>1</v>
      </c>
      <c r="AJ1173">
        <v>1</v>
      </c>
      <c r="AK1173">
        <v>2</v>
      </c>
      <c r="AL1173">
        <v>112.52</v>
      </c>
      <c r="AO1173" t="s">
        <v>5843</v>
      </c>
      <c r="AP1173">
        <v>24000</v>
      </c>
      <c r="AV1173">
        <v>7.05</v>
      </c>
      <c r="AW1173" t="s">
        <v>280</v>
      </c>
      <c r="AX1173" t="s">
        <v>189</v>
      </c>
    </row>
    <row r="1174" spans="1:50">
      <c r="A1174" s="1">
        <f>HYPERLINK("https://lsnyc.legalserver.org/matter/dynamic-profile/view/1905941","19-1905941")</f>
        <v>0</v>
      </c>
      <c r="B1174" t="s">
        <v>189</v>
      </c>
      <c r="C1174" t="s">
        <v>191</v>
      </c>
      <c r="D1174" t="s">
        <v>200</v>
      </c>
      <c r="F1174" t="s">
        <v>454</v>
      </c>
      <c r="G1174" t="s">
        <v>1485</v>
      </c>
      <c r="H1174" t="s">
        <v>2541</v>
      </c>
      <c r="I1174" t="s">
        <v>3143</v>
      </c>
      <c r="J1174" t="s">
        <v>3148</v>
      </c>
      <c r="K1174">
        <v>11213</v>
      </c>
      <c r="L1174" t="s">
        <v>3185</v>
      </c>
      <c r="M1174" t="s">
        <v>3189</v>
      </c>
      <c r="N1174" t="s">
        <v>3186</v>
      </c>
      <c r="O1174" t="s">
        <v>3191</v>
      </c>
      <c r="P1174" t="s">
        <v>3257</v>
      </c>
      <c r="Q1174" t="s">
        <v>3637</v>
      </c>
      <c r="S1174" t="s">
        <v>203</v>
      </c>
      <c r="T1174" t="s">
        <v>3660</v>
      </c>
      <c r="U1174" t="s">
        <v>3184</v>
      </c>
      <c r="W1174" t="s">
        <v>3670</v>
      </c>
      <c r="X1174" t="s">
        <v>3681</v>
      </c>
      <c r="Y1174">
        <v>1139.5</v>
      </c>
      <c r="Z1174" t="s">
        <v>3691</v>
      </c>
      <c r="AA1174" t="s">
        <v>3700</v>
      </c>
      <c r="AC1174" t="s">
        <v>4758</v>
      </c>
      <c r="AD1174" t="s">
        <v>3218</v>
      </c>
      <c r="AE1174" t="s">
        <v>5808</v>
      </c>
      <c r="AF1174">
        <v>34</v>
      </c>
      <c r="AG1174" t="s">
        <v>5813</v>
      </c>
      <c r="AH1174" t="s">
        <v>3188</v>
      </c>
      <c r="AI1174">
        <v>1</v>
      </c>
      <c r="AJ1174">
        <v>1</v>
      </c>
      <c r="AK1174">
        <v>1</v>
      </c>
      <c r="AL1174">
        <v>130.1</v>
      </c>
      <c r="AO1174" t="s">
        <v>5843</v>
      </c>
      <c r="AP1174">
        <v>22000</v>
      </c>
      <c r="AV1174">
        <v>1.25</v>
      </c>
      <c r="AW1174" t="s">
        <v>203</v>
      </c>
      <c r="AX1174" t="s">
        <v>158</v>
      </c>
    </row>
    <row r="1175" spans="1:50">
      <c r="A1175" s="1">
        <f>HYPERLINK("https://lsnyc.legalserver.org/matter/dynamic-profile/view/1905948","19-1905948")</f>
        <v>0</v>
      </c>
      <c r="B1175" t="s">
        <v>189</v>
      </c>
      <c r="C1175" t="s">
        <v>191</v>
      </c>
      <c r="D1175" t="s">
        <v>200</v>
      </c>
      <c r="F1175" t="s">
        <v>1183</v>
      </c>
      <c r="G1175" t="s">
        <v>1277</v>
      </c>
      <c r="H1175" t="s">
        <v>2541</v>
      </c>
      <c r="I1175" t="s">
        <v>3144</v>
      </c>
      <c r="J1175" t="s">
        <v>3148</v>
      </c>
      <c r="K1175">
        <v>11213</v>
      </c>
      <c r="L1175" t="s">
        <v>3185</v>
      </c>
      <c r="M1175" t="s">
        <v>3189</v>
      </c>
      <c r="N1175" t="s">
        <v>3186</v>
      </c>
      <c r="O1175" t="s">
        <v>3191</v>
      </c>
      <c r="P1175" t="s">
        <v>3257</v>
      </c>
      <c r="Q1175" t="s">
        <v>3637</v>
      </c>
      <c r="S1175" t="s">
        <v>203</v>
      </c>
      <c r="T1175" t="s">
        <v>3660</v>
      </c>
      <c r="U1175" t="s">
        <v>3184</v>
      </c>
      <c r="W1175" t="s">
        <v>3670</v>
      </c>
      <c r="X1175" t="s">
        <v>3681</v>
      </c>
      <c r="Y1175">
        <v>1025.26</v>
      </c>
      <c r="Z1175" t="s">
        <v>3691</v>
      </c>
      <c r="AA1175" t="s">
        <v>3700</v>
      </c>
      <c r="AC1175" t="s">
        <v>4759</v>
      </c>
      <c r="AD1175" t="s">
        <v>3218</v>
      </c>
      <c r="AF1175">
        <v>34</v>
      </c>
      <c r="AG1175" t="s">
        <v>5813</v>
      </c>
      <c r="AH1175" t="s">
        <v>3188</v>
      </c>
      <c r="AI1175">
        <v>9</v>
      </c>
      <c r="AJ1175">
        <v>1</v>
      </c>
      <c r="AK1175">
        <v>0</v>
      </c>
      <c r="AL1175">
        <v>286.63</v>
      </c>
      <c r="AO1175" t="s">
        <v>5843</v>
      </c>
      <c r="AP1175">
        <v>35800</v>
      </c>
      <c r="AV1175">
        <v>1</v>
      </c>
      <c r="AW1175" t="s">
        <v>203</v>
      </c>
      <c r="AX1175" t="s">
        <v>158</v>
      </c>
    </row>
    <row r="1176" spans="1:50">
      <c r="A1176" s="1">
        <f>HYPERLINK("https://lsnyc.legalserver.org/matter/dynamic-profile/view/1904718","19-1904718")</f>
        <v>0</v>
      </c>
      <c r="B1176" t="s">
        <v>190</v>
      </c>
      <c r="C1176" t="s">
        <v>191</v>
      </c>
      <c r="D1176" t="s">
        <v>214</v>
      </c>
      <c r="F1176" t="s">
        <v>1184</v>
      </c>
      <c r="G1176" t="s">
        <v>1960</v>
      </c>
      <c r="H1176" t="s">
        <v>1965</v>
      </c>
      <c r="I1176" t="s">
        <v>2821</v>
      </c>
      <c r="J1176" t="s">
        <v>3146</v>
      </c>
      <c r="K1176">
        <v>10040</v>
      </c>
      <c r="L1176" t="s">
        <v>3185</v>
      </c>
      <c r="M1176" t="s">
        <v>3189</v>
      </c>
      <c r="N1176" t="s">
        <v>3186</v>
      </c>
      <c r="Q1176" t="s">
        <v>3637</v>
      </c>
      <c r="S1176" t="s">
        <v>214</v>
      </c>
      <c r="T1176" t="s">
        <v>3660</v>
      </c>
      <c r="U1176" t="s">
        <v>3184</v>
      </c>
      <c r="W1176" t="s">
        <v>3670</v>
      </c>
      <c r="Y1176">
        <v>1116.26</v>
      </c>
      <c r="Z1176" t="s">
        <v>3689</v>
      </c>
      <c r="AA1176" t="s">
        <v>3697</v>
      </c>
      <c r="AC1176" t="s">
        <v>4760</v>
      </c>
      <c r="AE1176" t="s">
        <v>5809</v>
      </c>
      <c r="AF1176">
        <v>42</v>
      </c>
      <c r="AG1176" t="s">
        <v>5813</v>
      </c>
      <c r="AH1176" t="s">
        <v>3188</v>
      </c>
      <c r="AI1176">
        <v>22</v>
      </c>
      <c r="AJ1176">
        <v>2</v>
      </c>
      <c r="AK1176">
        <v>0</v>
      </c>
      <c r="AL1176">
        <v>161.44</v>
      </c>
      <c r="AO1176" t="s">
        <v>5844</v>
      </c>
      <c r="AP1176">
        <v>27300</v>
      </c>
      <c r="AV1176">
        <v>7.5</v>
      </c>
      <c r="AW1176" t="s">
        <v>243</v>
      </c>
      <c r="AX117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2019-09-26T14:11:11Z</dcterms:created>
  <dcterms:modified xsi:type="dcterms:W3CDTF">2019-09-26T14:11:11Z</dcterms:modified>
</cp:coreProperties>
</file>